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sago\OneDrive\Ambiente de Trabalho\Files\UFP\2º Semestre\Análise Sistemas\Atividade 1\"/>
    </mc:Choice>
  </mc:AlternateContent>
  <xr:revisionPtr revIDLastSave="0" documentId="13_ncr:1_{36742DD8-98BD-4C08-A4F8-9487FF1D95E7}" xr6:coauthVersionLast="44" xr6:coauthVersionMax="44" xr10:uidLastSave="{00000000-0000-0000-0000-000000000000}"/>
  <bookViews>
    <workbookView xWindow="-110" yWindow="-110" windowWidth="19420" windowHeight="10560" activeTab="4" xr2:uid="{00000000-000D-0000-FFFF-FFFF00000000}"/>
  </bookViews>
  <sheets>
    <sheet name="Tabela1" sheetId="1" r:id="rId1"/>
    <sheet name="Tabela2" sheetId="2" r:id="rId2"/>
    <sheet name="Formulas" sheetId="3" r:id="rId3"/>
    <sheet name="Valores" sheetId="4" r:id="rId4"/>
    <sheet name="Folha2" sheetId="5" r:id="rId5"/>
    <sheet name="Autores" sheetId="6" r:id="rId6"/>
  </sheets>
  <definedNames>
    <definedName name="DadosExternos_1" localSheetId="0">Tabela1!$A$1:$A$128</definedName>
    <definedName name="DadosExternos_2" localSheetId="1">Tabela2!$A$1:$A$770</definedName>
    <definedName name="Z_CC34C980_F2FF_4720_9B24_5767A75B5E30_.wvu.FilterData" localSheetId="2" hidden="1">Formulas!$I$4</definedName>
  </definedNames>
  <calcPr calcId="191029"/>
  <customWorkbookViews>
    <customWorkbookView name="Filtro 1" guid="{CC34C980-F2FF-4720-9B24-5767A75B5E3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gEm6tCLdtIvnbH/syoaQ+awibvmg=="/>
    </ext>
  </extLst>
</workbook>
</file>

<file path=xl/calcChain.xml><?xml version="1.0" encoding="utf-8"?>
<calcChain xmlns="http://schemas.openxmlformats.org/spreadsheetml/2006/main">
  <c r="K896" i="3" l="1"/>
  <c r="H896" i="3"/>
  <c r="I896" i="3" s="1"/>
  <c r="J896" i="3" s="1"/>
  <c r="E896" i="3"/>
  <c r="D896" i="3"/>
  <c r="C896" i="3"/>
  <c r="B896" i="3"/>
  <c r="L895" i="3"/>
  <c r="K895" i="3"/>
  <c r="G895" i="3"/>
  <c r="F895" i="3"/>
  <c r="E895" i="3"/>
  <c r="D895" i="3"/>
  <c r="C895" i="3"/>
  <c r="H895" i="3" s="1"/>
  <c r="I895" i="3" s="1"/>
  <c r="J895" i="3" s="1"/>
  <c r="B895" i="3"/>
  <c r="L894" i="3"/>
  <c r="K894" i="3"/>
  <c r="F894" i="3"/>
  <c r="G894" i="3" s="1"/>
  <c r="E894" i="3"/>
  <c r="B894" i="3"/>
  <c r="M893" i="3"/>
  <c r="L893" i="3"/>
  <c r="K893" i="3"/>
  <c r="F893" i="3"/>
  <c r="G893" i="3" s="1"/>
  <c r="E893" i="3"/>
  <c r="B893" i="3"/>
  <c r="K892" i="3"/>
  <c r="E892" i="3"/>
  <c r="D892" i="3"/>
  <c r="B892" i="3"/>
  <c r="C892" i="3" s="1"/>
  <c r="H892" i="3" s="1"/>
  <c r="I892" i="3" s="1"/>
  <c r="J892" i="3" s="1"/>
  <c r="M891" i="3"/>
  <c r="L891" i="3"/>
  <c r="K891" i="3"/>
  <c r="H891" i="3"/>
  <c r="I891" i="3" s="1"/>
  <c r="J891" i="3" s="1"/>
  <c r="E891" i="3"/>
  <c r="D891" i="3"/>
  <c r="C891" i="3"/>
  <c r="B891" i="3"/>
  <c r="K890" i="3"/>
  <c r="F890" i="3"/>
  <c r="G890" i="3" s="1"/>
  <c r="E890" i="3"/>
  <c r="B890" i="3"/>
  <c r="L889" i="3"/>
  <c r="K889" i="3"/>
  <c r="E889" i="3"/>
  <c r="B889" i="3"/>
  <c r="N888" i="3"/>
  <c r="M888" i="3"/>
  <c r="L888" i="3"/>
  <c r="K888" i="3"/>
  <c r="G888" i="3"/>
  <c r="F888" i="3"/>
  <c r="E888" i="3"/>
  <c r="B888" i="3"/>
  <c r="K887" i="3"/>
  <c r="H887" i="3"/>
  <c r="I887" i="3" s="1"/>
  <c r="J887" i="3" s="1"/>
  <c r="E887" i="3"/>
  <c r="F887" i="3" s="1"/>
  <c r="G887" i="3" s="1"/>
  <c r="D887" i="3"/>
  <c r="B887" i="3"/>
  <c r="C887" i="3" s="1"/>
  <c r="L886" i="3"/>
  <c r="K886" i="3"/>
  <c r="G886" i="3"/>
  <c r="E886" i="3"/>
  <c r="F886" i="3" s="1"/>
  <c r="D886" i="3"/>
  <c r="C886" i="3"/>
  <c r="H886" i="3" s="1"/>
  <c r="I886" i="3" s="1"/>
  <c r="J886" i="3" s="1"/>
  <c r="B886" i="3"/>
  <c r="K885" i="3"/>
  <c r="I885" i="3"/>
  <c r="J885" i="3" s="1"/>
  <c r="E885" i="3"/>
  <c r="D885" i="3"/>
  <c r="B885" i="3"/>
  <c r="C885" i="3" s="1"/>
  <c r="H885" i="3" s="1"/>
  <c r="K884" i="3"/>
  <c r="H884" i="3"/>
  <c r="I884" i="3" s="1"/>
  <c r="J884" i="3" s="1"/>
  <c r="G884" i="3"/>
  <c r="F884" i="3"/>
  <c r="E884" i="3"/>
  <c r="D884" i="3"/>
  <c r="C884" i="3"/>
  <c r="B884" i="3"/>
  <c r="L883" i="3"/>
  <c r="K883" i="3"/>
  <c r="F883" i="3"/>
  <c r="G883" i="3" s="1"/>
  <c r="E883" i="3"/>
  <c r="C883" i="3"/>
  <c r="H883" i="3" s="1"/>
  <c r="I883" i="3" s="1"/>
  <c r="J883" i="3" s="1"/>
  <c r="B883" i="3"/>
  <c r="D883" i="3" s="1"/>
  <c r="L882" i="3"/>
  <c r="K882" i="3"/>
  <c r="I882" i="3"/>
  <c r="J882" i="3" s="1"/>
  <c r="E882" i="3"/>
  <c r="D882" i="3"/>
  <c r="B882" i="3"/>
  <c r="C882" i="3" s="1"/>
  <c r="H882" i="3" s="1"/>
  <c r="L881" i="3"/>
  <c r="K881" i="3"/>
  <c r="H881" i="3"/>
  <c r="I881" i="3" s="1"/>
  <c r="J881" i="3" s="1"/>
  <c r="E881" i="3"/>
  <c r="F881" i="3" s="1"/>
  <c r="G881" i="3" s="1"/>
  <c r="D881" i="3"/>
  <c r="C881" i="3"/>
  <c r="B881" i="3"/>
  <c r="L880" i="3"/>
  <c r="K880" i="3"/>
  <c r="G880" i="3"/>
  <c r="F880" i="3"/>
  <c r="E880" i="3"/>
  <c r="D880" i="3"/>
  <c r="C880" i="3"/>
  <c r="H880" i="3" s="1"/>
  <c r="I880" i="3" s="1"/>
  <c r="J880" i="3" s="1"/>
  <c r="B880" i="3"/>
  <c r="L879" i="3"/>
  <c r="K879" i="3"/>
  <c r="G879" i="3"/>
  <c r="F879" i="3"/>
  <c r="E879" i="3"/>
  <c r="B879" i="3"/>
  <c r="L878" i="3"/>
  <c r="K878" i="3"/>
  <c r="E878" i="3"/>
  <c r="B878" i="3"/>
  <c r="L877" i="3"/>
  <c r="K877" i="3"/>
  <c r="H877" i="3"/>
  <c r="I877" i="3" s="1"/>
  <c r="J877" i="3" s="1"/>
  <c r="E877" i="3"/>
  <c r="D877" i="3"/>
  <c r="C877" i="3"/>
  <c r="B877" i="3"/>
  <c r="K876" i="3"/>
  <c r="F876" i="3"/>
  <c r="G876" i="3" s="1"/>
  <c r="E876" i="3"/>
  <c r="B876" i="3"/>
  <c r="K875" i="3"/>
  <c r="I875" i="3"/>
  <c r="J875" i="3" s="1"/>
  <c r="H875" i="3"/>
  <c r="E875" i="3"/>
  <c r="F875" i="3" s="1"/>
  <c r="G875" i="3" s="1"/>
  <c r="D875" i="3"/>
  <c r="C875" i="3"/>
  <c r="B875" i="3"/>
  <c r="K874" i="3"/>
  <c r="F874" i="3"/>
  <c r="G874" i="3" s="1"/>
  <c r="E874" i="3"/>
  <c r="C874" i="3"/>
  <c r="H874" i="3" s="1"/>
  <c r="I874" i="3" s="1"/>
  <c r="J874" i="3" s="1"/>
  <c r="B874" i="3"/>
  <c r="D874" i="3" s="1"/>
  <c r="K873" i="3"/>
  <c r="H873" i="3"/>
  <c r="I873" i="3" s="1"/>
  <c r="J873" i="3" s="1"/>
  <c r="E873" i="3"/>
  <c r="D873" i="3"/>
  <c r="C873" i="3"/>
  <c r="B873" i="3"/>
  <c r="K872" i="3"/>
  <c r="G872" i="3"/>
  <c r="F872" i="3"/>
  <c r="E872" i="3"/>
  <c r="B872" i="3"/>
  <c r="K871" i="3"/>
  <c r="H871" i="3"/>
  <c r="I871" i="3" s="1"/>
  <c r="J871" i="3" s="1"/>
  <c r="E871" i="3"/>
  <c r="F871" i="3" s="1"/>
  <c r="G871" i="3" s="1"/>
  <c r="D871" i="3"/>
  <c r="C871" i="3"/>
  <c r="B871" i="3"/>
  <c r="L870" i="3"/>
  <c r="K870" i="3"/>
  <c r="G870" i="3"/>
  <c r="F870" i="3"/>
  <c r="E870" i="3"/>
  <c r="D870" i="3"/>
  <c r="C870" i="3"/>
  <c r="H870" i="3" s="1"/>
  <c r="I870" i="3" s="1"/>
  <c r="J870" i="3" s="1"/>
  <c r="B870" i="3"/>
  <c r="K869" i="3"/>
  <c r="I869" i="3"/>
  <c r="J869" i="3" s="1"/>
  <c r="E869" i="3"/>
  <c r="D869" i="3"/>
  <c r="B869" i="3"/>
  <c r="C869" i="3" s="1"/>
  <c r="H869" i="3" s="1"/>
  <c r="K868" i="3"/>
  <c r="G868" i="3"/>
  <c r="F868" i="3"/>
  <c r="E868" i="3"/>
  <c r="D868" i="3"/>
  <c r="C868" i="3"/>
  <c r="H868" i="3" s="1"/>
  <c r="I868" i="3" s="1"/>
  <c r="J868" i="3" s="1"/>
  <c r="B868" i="3"/>
  <c r="L867" i="3"/>
  <c r="K867" i="3"/>
  <c r="F867" i="3"/>
  <c r="G867" i="3" s="1"/>
  <c r="E867" i="3"/>
  <c r="C867" i="3"/>
  <c r="H867" i="3" s="1"/>
  <c r="I867" i="3" s="1"/>
  <c r="J867" i="3" s="1"/>
  <c r="B867" i="3"/>
  <c r="D867" i="3" s="1"/>
  <c r="L866" i="3"/>
  <c r="K866" i="3"/>
  <c r="E866" i="3"/>
  <c r="D866" i="3"/>
  <c r="B866" i="3"/>
  <c r="C866" i="3" s="1"/>
  <c r="H866" i="3" s="1"/>
  <c r="I866" i="3" s="1"/>
  <c r="J866" i="3" s="1"/>
  <c r="L865" i="3"/>
  <c r="K865" i="3"/>
  <c r="H865" i="3"/>
  <c r="I865" i="3" s="1"/>
  <c r="J865" i="3" s="1"/>
  <c r="E865" i="3"/>
  <c r="D865" i="3"/>
  <c r="C865" i="3"/>
  <c r="B865" i="3"/>
  <c r="L864" i="3"/>
  <c r="K864" i="3"/>
  <c r="G864" i="3"/>
  <c r="F864" i="3"/>
  <c r="E864" i="3"/>
  <c r="D864" i="3"/>
  <c r="C864" i="3"/>
  <c r="H864" i="3" s="1"/>
  <c r="I864" i="3" s="1"/>
  <c r="J864" i="3" s="1"/>
  <c r="B864" i="3"/>
  <c r="K863" i="3"/>
  <c r="E863" i="3"/>
  <c r="B863" i="3"/>
  <c r="D863" i="3" s="1"/>
  <c r="L862" i="3"/>
  <c r="K862" i="3"/>
  <c r="I862" i="3"/>
  <c r="J862" i="3" s="1"/>
  <c r="H862" i="3"/>
  <c r="E862" i="3"/>
  <c r="D862" i="3"/>
  <c r="C862" i="3"/>
  <c r="B862" i="3"/>
  <c r="L861" i="3"/>
  <c r="K861" i="3"/>
  <c r="G861" i="3"/>
  <c r="F861" i="3"/>
  <c r="E861" i="3"/>
  <c r="D861" i="3"/>
  <c r="C861" i="3"/>
  <c r="H861" i="3" s="1"/>
  <c r="I861" i="3" s="1"/>
  <c r="J861" i="3" s="1"/>
  <c r="B861" i="3"/>
  <c r="L860" i="3"/>
  <c r="K860" i="3"/>
  <c r="F860" i="3"/>
  <c r="G860" i="3" s="1"/>
  <c r="E860" i="3"/>
  <c r="B860" i="3"/>
  <c r="M859" i="3"/>
  <c r="L859" i="3"/>
  <c r="K859" i="3"/>
  <c r="F859" i="3"/>
  <c r="G859" i="3" s="1"/>
  <c r="E859" i="3"/>
  <c r="B859" i="3"/>
  <c r="D859" i="3" s="1"/>
  <c r="L858" i="3"/>
  <c r="K858" i="3"/>
  <c r="F858" i="3"/>
  <c r="E858" i="3"/>
  <c r="B858" i="3"/>
  <c r="D858" i="3" s="1"/>
  <c r="M857" i="3"/>
  <c r="L857" i="3"/>
  <c r="K857" i="3"/>
  <c r="E857" i="3"/>
  <c r="B857" i="3"/>
  <c r="M856" i="3"/>
  <c r="L856" i="3"/>
  <c r="K856" i="3"/>
  <c r="F856" i="3"/>
  <c r="E856" i="3"/>
  <c r="B856" i="3"/>
  <c r="D856" i="3" s="1"/>
  <c r="L855" i="3"/>
  <c r="K855" i="3"/>
  <c r="H855" i="3"/>
  <c r="I855" i="3" s="1"/>
  <c r="J855" i="3" s="1"/>
  <c r="E855" i="3"/>
  <c r="D855" i="3"/>
  <c r="C855" i="3"/>
  <c r="B855" i="3"/>
  <c r="L854" i="3"/>
  <c r="K854" i="3"/>
  <c r="G854" i="3"/>
  <c r="F854" i="3"/>
  <c r="E854" i="3"/>
  <c r="D854" i="3"/>
  <c r="C854" i="3"/>
  <c r="H854" i="3" s="1"/>
  <c r="I854" i="3" s="1"/>
  <c r="J854" i="3" s="1"/>
  <c r="B854" i="3"/>
  <c r="M853" i="3"/>
  <c r="L853" i="3"/>
  <c r="K853" i="3"/>
  <c r="G853" i="3"/>
  <c r="F853" i="3"/>
  <c r="E853" i="3"/>
  <c r="D853" i="3"/>
  <c r="C853" i="3"/>
  <c r="H853" i="3" s="1"/>
  <c r="I853" i="3" s="1"/>
  <c r="J853" i="3" s="1"/>
  <c r="B853" i="3"/>
  <c r="L852" i="3"/>
  <c r="K852" i="3"/>
  <c r="F852" i="3"/>
  <c r="G852" i="3" s="1"/>
  <c r="E852" i="3"/>
  <c r="C852" i="3"/>
  <c r="H852" i="3" s="1"/>
  <c r="I852" i="3" s="1"/>
  <c r="J852" i="3" s="1"/>
  <c r="B852" i="3"/>
  <c r="D852" i="3" s="1"/>
  <c r="L851" i="3"/>
  <c r="K851" i="3"/>
  <c r="E851" i="3"/>
  <c r="B851" i="3"/>
  <c r="D851" i="3" s="1"/>
  <c r="W850" i="3"/>
  <c r="V850" i="3"/>
  <c r="U850" i="3"/>
  <c r="T850" i="3"/>
  <c r="S850" i="3"/>
  <c r="R850" i="3"/>
  <c r="Q850" i="3"/>
  <c r="P850" i="3"/>
  <c r="O850" i="3"/>
  <c r="N850" i="3"/>
  <c r="M850" i="3"/>
  <c r="L850" i="3"/>
  <c r="K850" i="3"/>
  <c r="G850" i="3"/>
  <c r="F850" i="3"/>
  <c r="E850" i="3"/>
  <c r="D850" i="3"/>
  <c r="C850" i="3"/>
  <c r="H850" i="3" s="1"/>
  <c r="I850" i="3" s="1"/>
  <c r="J850" i="3" s="1"/>
  <c r="B850" i="3"/>
  <c r="L849" i="3"/>
  <c r="K849" i="3"/>
  <c r="G849" i="3"/>
  <c r="F849" i="3"/>
  <c r="E849" i="3"/>
  <c r="B849" i="3"/>
  <c r="L848" i="3"/>
  <c r="K848" i="3"/>
  <c r="E848" i="3"/>
  <c r="B848" i="3"/>
  <c r="L847" i="3"/>
  <c r="K847" i="3"/>
  <c r="H847" i="3"/>
  <c r="I847" i="3" s="1"/>
  <c r="J847" i="3" s="1"/>
  <c r="E847" i="3"/>
  <c r="D847" i="3"/>
  <c r="C847" i="3"/>
  <c r="B847" i="3"/>
  <c r="L846" i="3"/>
  <c r="K846" i="3"/>
  <c r="G846" i="3"/>
  <c r="F846" i="3"/>
  <c r="E846" i="3"/>
  <c r="D846" i="3"/>
  <c r="C846" i="3"/>
  <c r="H846" i="3" s="1"/>
  <c r="I846" i="3" s="1"/>
  <c r="J846" i="3" s="1"/>
  <c r="B846" i="3"/>
  <c r="L845" i="3"/>
  <c r="K845" i="3"/>
  <c r="F845" i="3"/>
  <c r="G845" i="3" s="1"/>
  <c r="E845" i="3"/>
  <c r="C845" i="3"/>
  <c r="H845" i="3" s="1"/>
  <c r="I845" i="3" s="1"/>
  <c r="J845" i="3" s="1"/>
  <c r="B845" i="3"/>
  <c r="D845" i="3" s="1"/>
  <c r="L844" i="3"/>
  <c r="K844" i="3"/>
  <c r="F844" i="3"/>
  <c r="E844" i="3"/>
  <c r="B844" i="3"/>
  <c r="L843" i="3"/>
  <c r="K843" i="3"/>
  <c r="I843" i="3"/>
  <c r="J843" i="3" s="1"/>
  <c r="H843" i="3"/>
  <c r="E843" i="3"/>
  <c r="D843" i="3"/>
  <c r="C843" i="3"/>
  <c r="B843" i="3"/>
  <c r="L842" i="3"/>
  <c r="K842" i="3"/>
  <c r="G842" i="3"/>
  <c r="F842" i="3"/>
  <c r="E842" i="3"/>
  <c r="D842" i="3"/>
  <c r="C842" i="3"/>
  <c r="H842" i="3" s="1"/>
  <c r="I842" i="3" s="1"/>
  <c r="J842" i="3" s="1"/>
  <c r="B842" i="3"/>
  <c r="L841" i="3"/>
  <c r="K841" i="3"/>
  <c r="F841" i="3"/>
  <c r="G841" i="3" s="1"/>
  <c r="E841" i="3"/>
  <c r="C841" i="3"/>
  <c r="H841" i="3" s="1"/>
  <c r="I841" i="3" s="1"/>
  <c r="J841" i="3" s="1"/>
  <c r="B841" i="3"/>
  <c r="D841" i="3" s="1"/>
  <c r="L840" i="3"/>
  <c r="K840" i="3"/>
  <c r="F840" i="3"/>
  <c r="E840" i="3"/>
  <c r="B840" i="3"/>
  <c r="L839" i="3"/>
  <c r="K839" i="3"/>
  <c r="I839" i="3"/>
  <c r="J839" i="3" s="1"/>
  <c r="H839" i="3"/>
  <c r="E839" i="3"/>
  <c r="D839" i="3"/>
  <c r="C839" i="3"/>
  <c r="B839" i="3"/>
  <c r="L838" i="3"/>
  <c r="K838" i="3"/>
  <c r="G838" i="3"/>
  <c r="F838" i="3"/>
  <c r="E838" i="3"/>
  <c r="D838" i="3"/>
  <c r="C838" i="3"/>
  <c r="H838" i="3" s="1"/>
  <c r="I838" i="3" s="1"/>
  <c r="J838" i="3" s="1"/>
  <c r="B838" i="3"/>
  <c r="L837" i="3"/>
  <c r="K837" i="3"/>
  <c r="G837" i="3"/>
  <c r="F837" i="3"/>
  <c r="E837" i="3"/>
  <c r="B837" i="3"/>
  <c r="L836" i="3"/>
  <c r="K836" i="3"/>
  <c r="E836" i="3"/>
  <c r="B836" i="3"/>
  <c r="L835" i="3"/>
  <c r="K835" i="3"/>
  <c r="H835" i="3"/>
  <c r="I835" i="3" s="1"/>
  <c r="J835" i="3" s="1"/>
  <c r="E835" i="3"/>
  <c r="D835" i="3"/>
  <c r="C835" i="3"/>
  <c r="B835" i="3"/>
  <c r="L834" i="3"/>
  <c r="K834" i="3"/>
  <c r="G834" i="3"/>
  <c r="F834" i="3"/>
  <c r="E834" i="3"/>
  <c r="D834" i="3"/>
  <c r="C834" i="3"/>
  <c r="H834" i="3" s="1"/>
  <c r="I834" i="3" s="1"/>
  <c r="J834" i="3" s="1"/>
  <c r="B834" i="3"/>
  <c r="L833" i="3"/>
  <c r="K833" i="3"/>
  <c r="J833" i="3"/>
  <c r="F833" i="3"/>
  <c r="E833" i="3"/>
  <c r="G833" i="3" s="1"/>
  <c r="C833" i="3"/>
  <c r="H833" i="3" s="1"/>
  <c r="I833" i="3" s="1"/>
  <c r="B833" i="3"/>
  <c r="D833" i="3" s="1"/>
  <c r="L832" i="3"/>
  <c r="K832" i="3"/>
  <c r="F832" i="3"/>
  <c r="E832" i="3"/>
  <c r="B832" i="3"/>
  <c r="L831" i="3"/>
  <c r="K831" i="3"/>
  <c r="I831" i="3"/>
  <c r="J831" i="3" s="1"/>
  <c r="H831" i="3"/>
  <c r="G831" i="3"/>
  <c r="E831" i="3"/>
  <c r="F831" i="3" s="1"/>
  <c r="D831" i="3"/>
  <c r="C831" i="3"/>
  <c r="B831" i="3"/>
  <c r="L830" i="3"/>
  <c r="K830" i="3"/>
  <c r="G830" i="3"/>
  <c r="F830" i="3"/>
  <c r="E830" i="3"/>
  <c r="B830" i="3"/>
  <c r="L829" i="3"/>
  <c r="K829" i="3"/>
  <c r="F829" i="3"/>
  <c r="G829" i="3" s="1"/>
  <c r="E829" i="3"/>
  <c r="C829" i="3"/>
  <c r="H829" i="3" s="1"/>
  <c r="I829" i="3" s="1"/>
  <c r="J829" i="3" s="1"/>
  <c r="B829" i="3"/>
  <c r="D829" i="3" s="1"/>
  <c r="M828" i="3"/>
  <c r="L828" i="3"/>
  <c r="K828" i="3"/>
  <c r="F828" i="3"/>
  <c r="E828" i="3"/>
  <c r="G828" i="3" s="1"/>
  <c r="C828" i="3"/>
  <c r="H828" i="3" s="1"/>
  <c r="I828" i="3" s="1"/>
  <c r="J828" i="3" s="1"/>
  <c r="B828" i="3"/>
  <c r="D828" i="3" s="1"/>
  <c r="L827" i="3"/>
  <c r="K827" i="3"/>
  <c r="H827" i="3"/>
  <c r="I827" i="3" s="1"/>
  <c r="J827" i="3" s="1"/>
  <c r="E827" i="3"/>
  <c r="D827" i="3"/>
  <c r="B827" i="3"/>
  <c r="C827" i="3" s="1"/>
  <c r="K826" i="3"/>
  <c r="G826" i="3"/>
  <c r="F826" i="3"/>
  <c r="E826" i="3"/>
  <c r="D826" i="3"/>
  <c r="C826" i="3"/>
  <c r="H826" i="3" s="1"/>
  <c r="I826" i="3" s="1"/>
  <c r="J826" i="3" s="1"/>
  <c r="B826" i="3"/>
  <c r="K825" i="3"/>
  <c r="I825" i="3"/>
  <c r="J825" i="3" s="1"/>
  <c r="H825" i="3"/>
  <c r="E825" i="3"/>
  <c r="D825" i="3"/>
  <c r="B825" i="3"/>
  <c r="C825" i="3" s="1"/>
  <c r="K824" i="3"/>
  <c r="F824" i="3"/>
  <c r="G824" i="3" s="1"/>
  <c r="E824" i="3"/>
  <c r="D824" i="3"/>
  <c r="B824" i="3"/>
  <c r="C824" i="3" s="1"/>
  <c r="H824" i="3" s="1"/>
  <c r="I824" i="3" s="1"/>
  <c r="J824" i="3" s="1"/>
  <c r="L823" i="3"/>
  <c r="K823" i="3"/>
  <c r="I823" i="3"/>
  <c r="J823" i="3" s="1"/>
  <c r="G823" i="3"/>
  <c r="F823" i="3"/>
  <c r="E823" i="3"/>
  <c r="C823" i="3"/>
  <c r="H823" i="3" s="1"/>
  <c r="B823" i="3"/>
  <c r="D823" i="3" s="1"/>
  <c r="L822" i="3"/>
  <c r="K822" i="3"/>
  <c r="E822" i="3"/>
  <c r="B822" i="3"/>
  <c r="L821" i="3"/>
  <c r="K821" i="3"/>
  <c r="I821" i="3"/>
  <c r="J821" i="3" s="1"/>
  <c r="E821" i="3"/>
  <c r="F821" i="3" s="1"/>
  <c r="D821" i="3"/>
  <c r="C821" i="3"/>
  <c r="H821" i="3" s="1"/>
  <c r="B821" i="3"/>
  <c r="L820" i="3"/>
  <c r="K820" i="3"/>
  <c r="G820" i="3"/>
  <c r="F820" i="3"/>
  <c r="E820" i="3"/>
  <c r="B820" i="3"/>
  <c r="D820" i="3" s="1"/>
  <c r="L819" i="3"/>
  <c r="K819" i="3"/>
  <c r="E819" i="3"/>
  <c r="C819" i="3"/>
  <c r="H819" i="3" s="1"/>
  <c r="I819" i="3" s="1"/>
  <c r="J819" i="3" s="1"/>
  <c r="B819" i="3"/>
  <c r="D819" i="3" s="1"/>
  <c r="L818" i="3"/>
  <c r="K818" i="3"/>
  <c r="I818" i="3"/>
  <c r="J818" i="3" s="1"/>
  <c r="H818" i="3"/>
  <c r="E818" i="3"/>
  <c r="D818" i="3"/>
  <c r="B818" i="3"/>
  <c r="C818" i="3" s="1"/>
  <c r="M817" i="3"/>
  <c r="L817" i="3"/>
  <c r="K817" i="3"/>
  <c r="H817" i="3"/>
  <c r="I817" i="3" s="1"/>
  <c r="J817" i="3" s="1"/>
  <c r="F817" i="3"/>
  <c r="E817" i="3"/>
  <c r="D817" i="3"/>
  <c r="B817" i="3"/>
  <c r="C817" i="3" s="1"/>
  <c r="L816" i="3"/>
  <c r="K816" i="3"/>
  <c r="H816" i="3"/>
  <c r="I816" i="3" s="1"/>
  <c r="J816" i="3" s="1"/>
  <c r="G816" i="3"/>
  <c r="E816" i="3"/>
  <c r="F816" i="3" s="1"/>
  <c r="D816" i="3"/>
  <c r="C816" i="3"/>
  <c r="B816" i="3"/>
  <c r="L815" i="3"/>
  <c r="K815" i="3"/>
  <c r="J815" i="3"/>
  <c r="F815" i="3"/>
  <c r="G815" i="3" s="1"/>
  <c r="E815" i="3"/>
  <c r="D815" i="3"/>
  <c r="B815" i="3"/>
  <c r="C815" i="3" s="1"/>
  <c r="H815" i="3" s="1"/>
  <c r="I815" i="3" s="1"/>
  <c r="K814" i="3"/>
  <c r="E814" i="3"/>
  <c r="B814" i="3"/>
  <c r="L813" i="3"/>
  <c r="K813" i="3"/>
  <c r="E813" i="3"/>
  <c r="D813" i="3"/>
  <c r="C813" i="3"/>
  <c r="H813" i="3" s="1"/>
  <c r="I813" i="3" s="1"/>
  <c r="J813" i="3" s="1"/>
  <c r="B813" i="3"/>
  <c r="L812" i="3"/>
  <c r="K812" i="3"/>
  <c r="G812" i="3"/>
  <c r="F812" i="3"/>
  <c r="E812" i="3"/>
  <c r="D812" i="3"/>
  <c r="C812" i="3"/>
  <c r="H812" i="3" s="1"/>
  <c r="I812" i="3" s="1"/>
  <c r="J812" i="3" s="1"/>
  <c r="B812" i="3"/>
  <c r="L811" i="3"/>
  <c r="K811" i="3"/>
  <c r="G811" i="3"/>
  <c r="F811" i="3"/>
  <c r="E811" i="3"/>
  <c r="B811" i="3"/>
  <c r="D811" i="3" s="1"/>
  <c r="M810" i="3"/>
  <c r="L810" i="3"/>
  <c r="K810" i="3"/>
  <c r="E810" i="3"/>
  <c r="F810" i="3" s="1"/>
  <c r="G810" i="3" s="1"/>
  <c r="B810" i="3"/>
  <c r="M809" i="3"/>
  <c r="L809" i="3"/>
  <c r="K809" i="3"/>
  <c r="E809" i="3"/>
  <c r="B809" i="3"/>
  <c r="L808" i="3"/>
  <c r="K808" i="3"/>
  <c r="F808" i="3"/>
  <c r="E808" i="3"/>
  <c r="D808" i="3"/>
  <c r="B808" i="3"/>
  <c r="C808" i="3" s="1"/>
  <c r="H808" i="3" s="1"/>
  <c r="I808" i="3" s="1"/>
  <c r="J808" i="3" s="1"/>
  <c r="M807" i="3"/>
  <c r="L807" i="3"/>
  <c r="K807" i="3"/>
  <c r="I807" i="3"/>
  <c r="J807" i="3" s="1"/>
  <c r="H807" i="3"/>
  <c r="F807" i="3"/>
  <c r="E807" i="3"/>
  <c r="D807" i="3"/>
  <c r="B807" i="3"/>
  <c r="C807" i="3" s="1"/>
  <c r="M806" i="3"/>
  <c r="L806" i="3"/>
  <c r="K806" i="3"/>
  <c r="I806" i="3"/>
  <c r="J806" i="3" s="1"/>
  <c r="H806" i="3"/>
  <c r="F806" i="3"/>
  <c r="E806" i="3"/>
  <c r="D806" i="3"/>
  <c r="B806" i="3"/>
  <c r="C806" i="3" s="1"/>
  <c r="N805" i="3"/>
  <c r="M805" i="3"/>
  <c r="L805" i="3"/>
  <c r="K805" i="3"/>
  <c r="E805" i="3"/>
  <c r="B805" i="3"/>
  <c r="M804" i="3"/>
  <c r="L804" i="3"/>
  <c r="K804" i="3"/>
  <c r="E804" i="3"/>
  <c r="C804" i="3"/>
  <c r="H804" i="3" s="1"/>
  <c r="I804" i="3" s="1"/>
  <c r="J804" i="3" s="1"/>
  <c r="B804" i="3"/>
  <c r="D804" i="3" s="1"/>
  <c r="M803" i="3"/>
  <c r="L803" i="3"/>
  <c r="K803" i="3"/>
  <c r="G803" i="3"/>
  <c r="F803" i="3"/>
  <c r="E803" i="3"/>
  <c r="B803" i="3"/>
  <c r="L802" i="3"/>
  <c r="K802" i="3"/>
  <c r="E802" i="3"/>
  <c r="C802" i="3"/>
  <c r="H802" i="3" s="1"/>
  <c r="I802" i="3" s="1"/>
  <c r="J802" i="3" s="1"/>
  <c r="B802" i="3"/>
  <c r="D802" i="3" s="1"/>
  <c r="L801" i="3"/>
  <c r="K801" i="3"/>
  <c r="E801" i="3"/>
  <c r="D801" i="3"/>
  <c r="B801" i="3"/>
  <c r="C801" i="3" s="1"/>
  <c r="H801" i="3" s="1"/>
  <c r="I801" i="3" s="1"/>
  <c r="J801" i="3" s="1"/>
  <c r="L800" i="3"/>
  <c r="K800" i="3"/>
  <c r="E800" i="3"/>
  <c r="F800" i="3" s="1"/>
  <c r="G800" i="3" s="1"/>
  <c r="C800" i="3"/>
  <c r="H800" i="3" s="1"/>
  <c r="I800" i="3" s="1"/>
  <c r="J800" i="3" s="1"/>
  <c r="B800" i="3"/>
  <c r="D800" i="3" s="1"/>
  <c r="L799" i="3"/>
  <c r="K799" i="3"/>
  <c r="F799" i="3"/>
  <c r="E799" i="3"/>
  <c r="G799" i="3" s="1"/>
  <c r="B799" i="3"/>
  <c r="C799" i="3" s="1"/>
  <c r="H799" i="3" s="1"/>
  <c r="I799" i="3" s="1"/>
  <c r="J799" i="3" s="1"/>
  <c r="L798" i="3"/>
  <c r="K798" i="3"/>
  <c r="E798" i="3"/>
  <c r="D798" i="3"/>
  <c r="C798" i="3"/>
  <c r="H798" i="3" s="1"/>
  <c r="I798" i="3" s="1"/>
  <c r="J798" i="3" s="1"/>
  <c r="B798" i="3"/>
  <c r="L797" i="3"/>
  <c r="K797" i="3"/>
  <c r="H797" i="3"/>
  <c r="I797" i="3" s="1"/>
  <c r="J797" i="3" s="1"/>
  <c r="F797" i="3"/>
  <c r="G797" i="3" s="1"/>
  <c r="E797" i="3"/>
  <c r="D797" i="3"/>
  <c r="B797" i="3"/>
  <c r="C797" i="3" s="1"/>
  <c r="M796" i="3"/>
  <c r="L796" i="3"/>
  <c r="K796" i="3"/>
  <c r="H796" i="3"/>
  <c r="I796" i="3" s="1"/>
  <c r="J796" i="3" s="1"/>
  <c r="E796" i="3"/>
  <c r="D796" i="3"/>
  <c r="B796" i="3"/>
  <c r="C796" i="3" s="1"/>
  <c r="L795" i="3"/>
  <c r="K795" i="3"/>
  <c r="H795" i="3"/>
  <c r="I795" i="3" s="1"/>
  <c r="J795" i="3" s="1"/>
  <c r="E795" i="3"/>
  <c r="F795" i="3" s="1"/>
  <c r="G795" i="3" s="1"/>
  <c r="C795" i="3"/>
  <c r="B795" i="3"/>
  <c r="D795" i="3" s="1"/>
  <c r="T794" i="3"/>
  <c r="S794" i="3"/>
  <c r="R794" i="3"/>
  <c r="Q794" i="3"/>
  <c r="P794" i="3"/>
  <c r="O794" i="3"/>
  <c r="N794" i="3"/>
  <c r="M794" i="3"/>
  <c r="L794" i="3"/>
  <c r="K794" i="3"/>
  <c r="F794" i="3"/>
  <c r="E794" i="3"/>
  <c r="D794" i="3"/>
  <c r="C794" i="3"/>
  <c r="H794" i="3" s="1"/>
  <c r="I794" i="3" s="1"/>
  <c r="J794" i="3" s="1"/>
  <c r="B794" i="3"/>
  <c r="N793" i="3"/>
  <c r="M793" i="3"/>
  <c r="L793" i="3"/>
  <c r="K793" i="3"/>
  <c r="H793" i="3"/>
  <c r="I793" i="3" s="1"/>
  <c r="J793" i="3" s="1"/>
  <c r="G793" i="3"/>
  <c r="E793" i="3"/>
  <c r="F793" i="3" s="1"/>
  <c r="C793" i="3"/>
  <c r="B793" i="3"/>
  <c r="D793" i="3" s="1"/>
  <c r="L792" i="3"/>
  <c r="K792" i="3"/>
  <c r="J792" i="3"/>
  <c r="F792" i="3"/>
  <c r="E792" i="3"/>
  <c r="D792" i="3"/>
  <c r="C792" i="3"/>
  <c r="H792" i="3" s="1"/>
  <c r="I792" i="3" s="1"/>
  <c r="B792" i="3"/>
  <c r="L791" i="3"/>
  <c r="K791" i="3"/>
  <c r="I791" i="3"/>
  <c r="J791" i="3" s="1"/>
  <c r="G791" i="3"/>
  <c r="F791" i="3"/>
  <c r="E791" i="3"/>
  <c r="D791" i="3"/>
  <c r="C791" i="3"/>
  <c r="H791" i="3" s="1"/>
  <c r="B791" i="3"/>
  <c r="L790" i="3"/>
  <c r="K790" i="3"/>
  <c r="F790" i="3"/>
  <c r="G790" i="3" s="1"/>
  <c r="E790" i="3"/>
  <c r="B790" i="3"/>
  <c r="L789" i="3"/>
  <c r="K789" i="3"/>
  <c r="G789" i="3"/>
  <c r="E789" i="3"/>
  <c r="F789" i="3" s="1"/>
  <c r="D789" i="3"/>
  <c r="C789" i="3"/>
  <c r="H789" i="3" s="1"/>
  <c r="I789" i="3" s="1"/>
  <c r="J789" i="3" s="1"/>
  <c r="B789" i="3"/>
  <c r="L788" i="3"/>
  <c r="K788" i="3"/>
  <c r="F788" i="3"/>
  <c r="G788" i="3" s="1"/>
  <c r="E788" i="3"/>
  <c r="B788" i="3"/>
  <c r="L787" i="3"/>
  <c r="K787" i="3"/>
  <c r="J787" i="3"/>
  <c r="E787" i="3"/>
  <c r="C787" i="3"/>
  <c r="H787" i="3" s="1"/>
  <c r="I787" i="3" s="1"/>
  <c r="B787" i="3"/>
  <c r="D787" i="3" s="1"/>
  <c r="L786" i="3"/>
  <c r="K786" i="3"/>
  <c r="H786" i="3"/>
  <c r="I786" i="3" s="1"/>
  <c r="J786" i="3" s="1"/>
  <c r="F786" i="3"/>
  <c r="E786" i="3"/>
  <c r="D786" i="3"/>
  <c r="B786" i="3"/>
  <c r="C786" i="3" s="1"/>
  <c r="M785" i="3"/>
  <c r="L785" i="3"/>
  <c r="K785" i="3"/>
  <c r="I785" i="3"/>
  <c r="J785" i="3" s="1"/>
  <c r="H785" i="3"/>
  <c r="F785" i="3"/>
  <c r="G785" i="3" s="1"/>
  <c r="E785" i="3"/>
  <c r="D785" i="3"/>
  <c r="B785" i="3"/>
  <c r="C785" i="3" s="1"/>
  <c r="L784" i="3"/>
  <c r="K784" i="3"/>
  <c r="G784" i="3"/>
  <c r="E784" i="3"/>
  <c r="F784" i="3" s="1"/>
  <c r="D784" i="3"/>
  <c r="C784" i="3"/>
  <c r="H784" i="3" s="1"/>
  <c r="I784" i="3" s="1"/>
  <c r="J784" i="3" s="1"/>
  <c r="B784" i="3"/>
  <c r="L783" i="3"/>
  <c r="K783" i="3"/>
  <c r="G783" i="3"/>
  <c r="F783" i="3"/>
  <c r="E783" i="3"/>
  <c r="B783" i="3"/>
  <c r="L782" i="3"/>
  <c r="K782" i="3"/>
  <c r="E782" i="3"/>
  <c r="B782" i="3"/>
  <c r="D782" i="3" s="1"/>
  <c r="M781" i="3"/>
  <c r="L781" i="3"/>
  <c r="K781" i="3"/>
  <c r="I781" i="3"/>
  <c r="J781" i="3" s="1"/>
  <c r="G781" i="3"/>
  <c r="F781" i="3"/>
  <c r="E781" i="3"/>
  <c r="D781" i="3"/>
  <c r="C781" i="3"/>
  <c r="H781" i="3" s="1"/>
  <c r="B781" i="3"/>
  <c r="L780" i="3"/>
  <c r="K780" i="3"/>
  <c r="F780" i="3"/>
  <c r="G780" i="3" s="1"/>
  <c r="E780" i="3"/>
  <c r="B780" i="3"/>
  <c r="L779" i="3"/>
  <c r="K779" i="3"/>
  <c r="G779" i="3"/>
  <c r="E779" i="3"/>
  <c r="F779" i="3" s="1"/>
  <c r="D779" i="3"/>
  <c r="C779" i="3"/>
  <c r="H779" i="3" s="1"/>
  <c r="I779" i="3" s="1"/>
  <c r="J779" i="3" s="1"/>
  <c r="B779" i="3"/>
  <c r="M778" i="3"/>
  <c r="L778" i="3"/>
  <c r="K778" i="3"/>
  <c r="I778" i="3"/>
  <c r="J778" i="3" s="1"/>
  <c r="H778" i="3"/>
  <c r="G778" i="3"/>
  <c r="E778" i="3"/>
  <c r="F778" i="3" s="1"/>
  <c r="C778" i="3"/>
  <c r="B778" i="3"/>
  <c r="D778" i="3" s="1"/>
  <c r="L777" i="3"/>
  <c r="K777" i="3"/>
  <c r="F777" i="3"/>
  <c r="E777" i="3"/>
  <c r="G777" i="3" s="1"/>
  <c r="B777" i="3"/>
  <c r="L776" i="3"/>
  <c r="K776" i="3"/>
  <c r="F776" i="3"/>
  <c r="G776" i="3" s="1"/>
  <c r="E776" i="3"/>
  <c r="D776" i="3"/>
  <c r="C776" i="3"/>
  <c r="H776" i="3" s="1"/>
  <c r="I776" i="3" s="1"/>
  <c r="J776" i="3" s="1"/>
  <c r="B776" i="3"/>
  <c r="L775" i="3"/>
  <c r="K775" i="3"/>
  <c r="F775" i="3"/>
  <c r="G775" i="3" s="1"/>
  <c r="E775" i="3"/>
  <c r="B775" i="3"/>
  <c r="L774" i="3"/>
  <c r="K774" i="3"/>
  <c r="G774" i="3"/>
  <c r="E774" i="3"/>
  <c r="F774" i="3" s="1"/>
  <c r="D774" i="3"/>
  <c r="C774" i="3"/>
  <c r="H774" i="3" s="1"/>
  <c r="I774" i="3" s="1"/>
  <c r="J774" i="3" s="1"/>
  <c r="B774" i="3"/>
  <c r="M773" i="3"/>
  <c r="L773" i="3"/>
  <c r="K773" i="3"/>
  <c r="E773" i="3"/>
  <c r="F773" i="3" s="1"/>
  <c r="G773" i="3" s="1"/>
  <c r="C773" i="3"/>
  <c r="H773" i="3" s="1"/>
  <c r="I773" i="3" s="1"/>
  <c r="J773" i="3" s="1"/>
  <c r="B773" i="3"/>
  <c r="D773" i="3" s="1"/>
  <c r="L772" i="3"/>
  <c r="K772" i="3"/>
  <c r="F772" i="3"/>
  <c r="E772" i="3"/>
  <c r="B772" i="3"/>
  <c r="K771" i="3"/>
  <c r="F771" i="3"/>
  <c r="E771" i="3"/>
  <c r="D771" i="3"/>
  <c r="B771" i="3"/>
  <c r="C771" i="3" s="1"/>
  <c r="H771" i="3" s="1"/>
  <c r="I771" i="3" s="1"/>
  <c r="J771" i="3" s="1"/>
  <c r="K770" i="3"/>
  <c r="F770" i="3"/>
  <c r="G770" i="3" s="1"/>
  <c r="E770" i="3"/>
  <c r="B770" i="3"/>
  <c r="K769" i="3"/>
  <c r="I769" i="3"/>
  <c r="J769" i="3" s="1"/>
  <c r="H769" i="3"/>
  <c r="F769" i="3"/>
  <c r="G769" i="3" s="1"/>
  <c r="E769" i="3"/>
  <c r="D769" i="3"/>
  <c r="B769" i="3"/>
  <c r="C769" i="3" s="1"/>
  <c r="K768" i="3"/>
  <c r="J768" i="3"/>
  <c r="F768" i="3"/>
  <c r="E768" i="3"/>
  <c r="D768" i="3"/>
  <c r="C768" i="3"/>
  <c r="H768" i="3" s="1"/>
  <c r="I768" i="3" s="1"/>
  <c r="B768" i="3"/>
  <c r="K767" i="3"/>
  <c r="H767" i="3"/>
  <c r="I767" i="3" s="1"/>
  <c r="J767" i="3" s="1"/>
  <c r="E767" i="3"/>
  <c r="D767" i="3"/>
  <c r="B767" i="3"/>
  <c r="C767" i="3" s="1"/>
  <c r="K766" i="3"/>
  <c r="G766" i="3"/>
  <c r="F766" i="3"/>
  <c r="E766" i="3"/>
  <c r="C766" i="3"/>
  <c r="H766" i="3" s="1"/>
  <c r="I766" i="3" s="1"/>
  <c r="J766" i="3" s="1"/>
  <c r="B766" i="3"/>
  <c r="D766" i="3" s="1"/>
  <c r="K765" i="3"/>
  <c r="H765" i="3"/>
  <c r="I765" i="3" s="1"/>
  <c r="J765" i="3" s="1"/>
  <c r="E765" i="3"/>
  <c r="D765" i="3"/>
  <c r="B765" i="3"/>
  <c r="C765" i="3" s="1"/>
  <c r="K764" i="3"/>
  <c r="G764" i="3"/>
  <c r="F764" i="3"/>
  <c r="E764" i="3"/>
  <c r="D764" i="3"/>
  <c r="C764" i="3"/>
  <c r="H764" i="3" s="1"/>
  <c r="I764" i="3" s="1"/>
  <c r="J764" i="3" s="1"/>
  <c r="B764" i="3"/>
  <c r="K763" i="3"/>
  <c r="E763" i="3"/>
  <c r="D763" i="3"/>
  <c r="B763" i="3"/>
  <c r="C763" i="3" s="1"/>
  <c r="H763" i="3" s="1"/>
  <c r="I763" i="3" s="1"/>
  <c r="J763" i="3" s="1"/>
  <c r="K762" i="3"/>
  <c r="G762" i="3"/>
  <c r="F762" i="3"/>
  <c r="E762" i="3"/>
  <c r="B762" i="3"/>
  <c r="K761" i="3"/>
  <c r="E761" i="3"/>
  <c r="D761" i="3"/>
  <c r="B761" i="3"/>
  <c r="C761" i="3" s="1"/>
  <c r="H761" i="3" s="1"/>
  <c r="I761" i="3" s="1"/>
  <c r="J761" i="3" s="1"/>
  <c r="K760" i="3"/>
  <c r="F760" i="3"/>
  <c r="G760" i="3" s="1"/>
  <c r="E760" i="3"/>
  <c r="C760" i="3"/>
  <c r="H760" i="3" s="1"/>
  <c r="I760" i="3" s="1"/>
  <c r="J760" i="3" s="1"/>
  <c r="B760" i="3"/>
  <c r="D760" i="3" s="1"/>
  <c r="K759" i="3"/>
  <c r="F759" i="3"/>
  <c r="E759" i="3"/>
  <c r="D759" i="3"/>
  <c r="B759" i="3"/>
  <c r="C759" i="3" s="1"/>
  <c r="H759" i="3" s="1"/>
  <c r="I759" i="3" s="1"/>
  <c r="J759" i="3" s="1"/>
  <c r="K758" i="3"/>
  <c r="F758" i="3"/>
  <c r="G758" i="3" s="1"/>
  <c r="E758" i="3"/>
  <c r="B758" i="3"/>
  <c r="K757" i="3"/>
  <c r="J757" i="3"/>
  <c r="I757" i="3"/>
  <c r="H757" i="3"/>
  <c r="E757" i="3"/>
  <c r="D757" i="3"/>
  <c r="B757" i="3"/>
  <c r="C757" i="3" s="1"/>
  <c r="K756" i="3"/>
  <c r="J756" i="3"/>
  <c r="G756" i="3"/>
  <c r="F756" i="3"/>
  <c r="E756" i="3"/>
  <c r="D756" i="3"/>
  <c r="C756" i="3"/>
  <c r="H756" i="3" s="1"/>
  <c r="I756" i="3" s="1"/>
  <c r="B756" i="3"/>
  <c r="K755" i="3"/>
  <c r="H755" i="3"/>
  <c r="I755" i="3" s="1"/>
  <c r="J755" i="3" s="1"/>
  <c r="F755" i="3"/>
  <c r="E755" i="3"/>
  <c r="D755" i="3"/>
  <c r="B755" i="3"/>
  <c r="C755" i="3" s="1"/>
  <c r="K754" i="3"/>
  <c r="J754" i="3"/>
  <c r="H754" i="3"/>
  <c r="I754" i="3" s="1"/>
  <c r="G754" i="3"/>
  <c r="F754" i="3"/>
  <c r="E754" i="3"/>
  <c r="C754" i="3"/>
  <c r="B754" i="3"/>
  <c r="D754" i="3" s="1"/>
  <c r="K753" i="3"/>
  <c r="H753" i="3"/>
  <c r="I753" i="3" s="1"/>
  <c r="J753" i="3" s="1"/>
  <c r="E753" i="3"/>
  <c r="B753" i="3"/>
  <c r="C753" i="3" s="1"/>
  <c r="K752" i="3"/>
  <c r="G752" i="3"/>
  <c r="F752" i="3"/>
  <c r="E752" i="3"/>
  <c r="B752" i="3"/>
  <c r="D752" i="3" s="1"/>
  <c r="K751" i="3"/>
  <c r="H751" i="3"/>
  <c r="I751" i="3" s="1"/>
  <c r="J751" i="3" s="1"/>
  <c r="E751" i="3"/>
  <c r="D751" i="3"/>
  <c r="B751" i="3"/>
  <c r="C751" i="3" s="1"/>
  <c r="K750" i="3"/>
  <c r="G750" i="3"/>
  <c r="F750" i="3"/>
  <c r="E750" i="3"/>
  <c r="C750" i="3"/>
  <c r="H750" i="3" s="1"/>
  <c r="I750" i="3" s="1"/>
  <c r="J750" i="3" s="1"/>
  <c r="B750" i="3"/>
  <c r="D750" i="3" s="1"/>
  <c r="K749" i="3"/>
  <c r="H749" i="3"/>
  <c r="I749" i="3" s="1"/>
  <c r="J749" i="3" s="1"/>
  <c r="E749" i="3"/>
  <c r="D749" i="3"/>
  <c r="B749" i="3"/>
  <c r="C749" i="3" s="1"/>
  <c r="K748" i="3"/>
  <c r="G748" i="3"/>
  <c r="F748" i="3"/>
  <c r="E748" i="3"/>
  <c r="C748" i="3"/>
  <c r="H748" i="3" s="1"/>
  <c r="I748" i="3" s="1"/>
  <c r="J748" i="3" s="1"/>
  <c r="B748" i="3"/>
  <c r="D748" i="3" s="1"/>
  <c r="K747" i="3"/>
  <c r="E747" i="3"/>
  <c r="D747" i="3"/>
  <c r="B747" i="3"/>
  <c r="C747" i="3" s="1"/>
  <c r="H747" i="3" s="1"/>
  <c r="I747" i="3" s="1"/>
  <c r="J747" i="3" s="1"/>
  <c r="K746" i="3"/>
  <c r="G746" i="3"/>
  <c r="F746" i="3"/>
  <c r="E746" i="3"/>
  <c r="B746" i="3"/>
  <c r="K745" i="3"/>
  <c r="E745" i="3"/>
  <c r="D745" i="3"/>
  <c r="B745" i="3"/>
  <c r="C745" i="3" s="1"/>
  <c r="H745" i="3" s="1"/>
  <c r="I745" i="3" s="1"/>
  <c r="J745" i="3" s="1"/>
  <c r="K744" i="3"/>
  <c r="F744" i="3"/>
  <c r="G744" i="3" s="1"/>
  <c r="E744" i="3"/>
  <c r="C744" i="3"/>
  <c r="H744" i="3" s="1"/>
  <c r="I744" i="3" s="1"/>
  <c r="J744" i="3" s="1"/>
  <c r="B744" i="3"/>
  <c r="D744" i="3" s="1"/>
  <c r="K743" i="3"/>
  <c r="F743" i="3"/>
  <c r="E743" i="3"/>
  <c r="D743" i="3"/>
  <c r="B743" i="3"/>
  <c r="C743" i="3" s="1"/>
  <c r="H743" i="3" s="1"/>
  <c r="I743" i="3" s="1"/>
  <c r="J743" i="3" s="1"/>
  <c r="M742" i="3"/>
  <c r="L742" i="3"/>
  <c r="K742" i="3"/>
  <c r="E742" i="3"/>
  <c r="D742" i="3"/>
  <c r="B742" i="3"/>
  <c r="C742" i="3" s="1"/>
  <c r="H742" i="3" s="1"/>
  <c r="I742" i="3" s="1"/>
  <c r="J742" i="3" s="1"/>
  <c r="K741" i="3"/>
  <c r="F741" i="3"/>
  <c r="G741" i="3" s="1"/>
  <c r="E741" i="3"/>
  <c r="C741" i="3"/>
  <c r="H741" i="3" s="1"/>
  <c r="I741" i="3" s="1"/>
  <c r="J741" i="3" s="1"/>
  <c r="B741" i="3"/>
  <c r="D741" i="3" s="1"/>
  <c r="K740" i="3"/>
  <c r="F740" i="3"/>
  <c r="E740" i="3"/>
  <c r="D740" i="3"/>
  <c r="B740" i="3"/>
  <c r="C740" i="3" s="1"/>
  <c r="H740" i="3" s="1"/>
  <c r="I740" i="3" s="1"/>
  <c r="J740" i="3" s="1"/>
  <c r="K739" i="3"/>
  <c r="F739" i="3"/>
  <c r="G739" i="3" s="1"/>
  <c r="E739" i="3"/>
  <c r="B739" i="3"/>
  <c r="K738" i="3"/>
  <c r="J738" i="3"/>
  <c r="I738" i="3"/>
  <c r="H738" i="3"/>
  <c r="E738" i="3"/>
  <c r="D738" i="3"/>
  <c r="B738" i="3"/>
  <c r="C738" i="3" s="1"/>
  <c r="K737" i="3"/>
  <c r="J737" i="3"/>
  <c r="G737" i="3"/>
  <c r="F737" i="3"/>
  <c r="E737" i="3"/>
  <c r="D737" i="3"/>
  <c r="C737" i="3"/>
  <c r="H737" i="3" s="1"/>
  <c r="I737" i="3" s="1"/>
  <c r="B737" i="3"/>
  <c r="K736" i="3"/>
  <c r="H736" i="3"/>
  <c r="I736" i="3" s="1"/>
  <c r="J736" i="3" s="1"/>
  <c r="F736" i="3"/>
  <c r="E736" i="3"/>
  <c r="D736" i="3"/>
  <c r="C736" i="3"/>
  <c r="B736" i="3"/>
  <c r="K735" i="3"/>
  <c r="H735" i="3"/>
  <c r="I735" i="3" s="1"/>
  <c r="J735" i="3" s="1"/>
  <c r="E735" i="3"/>
  <c r="F735" i="3" s="1"/>
  <c r="G735" i="3" s="1"/>
  <c r="C735" i="3"/>
  <c r="B735" i="3"/>
  <c r="D735" i="3" s="1"/>
  <c r="K734" i="3"/>
  <c r="I734" i="3"/>
  <c r="J734" i="3" s="1"/>
  <c r="H734" i="3"/>
  <c r="E734" i="3"/>
  <c r="F734" i="3" s="1"/>
  <c r="D734" i="3"/>
  <c r="B734" i="3"/>
  <c r="C734" i="3" s="1"/>
  <c r="K733" i="3"/>
  <c r="G733" i="3"/>
  <c r="F733" i="3"/>
  <c r="E733" i="3"/>
  <c r="B733" i="3"/>
  <c r="K732" i="3"/>
  <c r="I732" i="3"/>
  <c r="J732" i="3" s="1"/>
  <c r="H732" i="3"/>
  <c r="E732" i="3"/>
  <c r="D732" i="3"/>
  <c r="C732" i="3"/>
  <c r="B732" i="3"/>
  <c r="K731" i="3"/>
  <c r="G731" i="3"/>
  <c r="F731" i="3"/>
  <c r="E731" i="3"/>
  <c r="C731" i="3"/>
  <c r="H731" i="3" s="1"/>
  <c r="I731" i="3" s="1"/>
  <c r="J731" i="3" s="1"/>
  <c r="B731" i="3"/>
  <c r="D731" i="3" s="1"/>
  <c r="K730" i="3"/>
  <c r="G730" i="3"/>
  <c r="E730" i="3"/>
  <c r="F730" i="3" s="1"/>
  <c r="B730" i="3"/>
  <c r="K729" i="3"/>
  <c r="F729" i="3"/>
  <c r="E729" i="3"/>
  <c r="D729" i="3"/>
  <c r="C729" i="3"/>
  <c r="H729" i="3" s="1"/>
  <c r="I729" i="3" s="1"/>
  <c r="J729" i="3" s="1"/>
  <c r="B729" i="3"/>
  <c r="K728" i="3"/>
  <c r="H728" i="3"/>
  <c r="I728" i="3" s="1"/>
  <c r="J728" i="3" s="1"/>
  <c r="F728" i="3"/>
  <c r="E728" i="3"/>
  <c r="G728" i="3" s="1"/>
  <c r="C728" i="3"/>
  <c r="B728" i="3"/>
  <c r="D728" i="3" s="1"/>
  <c r="K727" i="3"/>
  <c r="E727" i="3"/>
  <c r="B727" i="3"/>
  <c r="K726" i="3"/>
  <c r="G726" i="3"/>
  <c r="F726" i="3"/>
  <c r="E726" i="3"/>
  <c r="B726" i="3"/>
  <c r="K725" i="3"/>
  <c r="I725" i="3"/>
  <c r="J725" i="3" s="1"/>
  <c r="F725" i="3"/>
  <c r="E725" i="3"/>
  <c r="D725" i="3"/>
  <c r="C725" i="3"/>
  <c r="H725" i="3" s="1"/>
  <c r="B725" i="3"/>
  <c r="K724" i="3"/>
  <c r="H724" i="3"/>
  <c r="I724" i="3" s="1"/>
  <c r="J724" i="3" s="1"/>
  <c r="F724" i="3"/>
  <c r="E724" i="3"/>
  <c r="C724" i="3"/>
  <c r="B724" i="3"/>
  <c r="D724" i="3" s="1"/>
  <c r="K723" i="3"/>
  <c r="E723" i="3"/>
  <c r="B723" i="3"/>
  <c r="K722" i="3"/>
  <c r="I722" i="3"/>
  <c r="J722" i="3" s="1"/>
  <c r="G722" i="3"/>
  <c r="F722" i="3"/>
  <c r="E722" i="3"/>
  <c r="D722" i="3"/>
  <c r="B722" i="3"/>
  <c r="C722" i="3" s="1"/>
  <c r="H722" i="3" s="1"/>
  <c r="K721" i="3"/>
  <c r="F721" i="3"/>
  <c r="E721" i="3"/>
  <c r="G721" i="3" s="1"/>
  <c r="D721" i="3"/>
  <c r="C721" i="3"/>
  <c r="H721" i="3" s="1"/>
  <c r="I721" i="3" s="1"/>
  <c r="J721" i="3" s="1"/>
  <c r="B721" i="3"/>
  <c r="K720" i="3"/>
  <c r="E720" i="3"/>
  <c r="C720" i="3"/>
  <c r="H720" i="3" s="1"/>
  <c r="I720" i="3" s="1"/>
  <c r="J720" i="3" s="1"/>
  <c r="B720" i="3"/>
  <c r="D720" i="3" s="1"/>
  <c r="K719" i="3"/>
  <c r="E719" i="3"/>
  <c r="F719" i="3" s="1"/>
  <c r="B719" i="3"/>
  <c r="K718" i="3"/>
  <c r="G718" i="3"/>
  <c r="F718" i="3"/>
  <c r="E718" i="3"/>
  <c r="C718" i="3"/>
  <c r="H718" i="3" s="1"/>
  <c r="I718" i="3" s="1"/>
  <c r="J718" i="3" s="1"/>
  <c r="B718" i="3"/>
  <c r="D718" i="3" s="1"/>
  <c r="K717" i="3"/>
  <c r="E717" i="3"/>
  <c r="D717" i="3"/>
  <c r="C717" i="3"/>
  <c r="H717" i="3" s="1"/>
  <c r="I717" i="3" s="1"/>
  <c r="J717" i="3" s="1"/>
  <c r="B717" i="3"/>
  <c r="K716" i="3"/>
  <c r="H716" i="3"/>
  <c r="I716" i="3" s="1"/>
  <c r="J716" i="3" s="1"/>
  <c r="E716" i="3"/>
  <c r="F716" i="3" s="1"/>
  <c r="G716" i="3" s="1"/>
  <c r="C716" i="3"/>
  <c r="B716" i="3"/>
  <c r="D716" i="3" s="1"/>
  <c r="K715" i="3"/>
  <c r="E715" i="3"/>
  <c r="F715" i="3" s="1"/>
  <c r="B715" i="3"/>
  <c r="K714" i="3"/>
  <c r="G714" i="3"/>
  <c r="F714" i="3"/>
  <c r="E714" i="3"/>
  <c r="B714" i="3"/>
  <c r="D714" i="3" s="1"/>
  <c r="K713" i="3"/>
  <c r="I713" i="3"/>
  <c r="J713" i="3" s="1"/>
  <c r="F713" i="3"/>
  <c r="E713" i="3"/>
  <c r="D713" i="3"/>
  <c r="C713" i="3"/>
  <c r="H713" i="3" s="1"/>
  <c r="B713" i="3"/>
  <c r="K712" i="3"/>
  <c r="H712" i="3"/>
  <c r="I712" i="3" s="1"/>
  <c r="J712" i="3" s="1"/>
  <c r="F712" i="3"/>
  <c r="G712" i="3" s="1"/>
  <c r="E712" i="3"/>
  <c r="C712" i="3"/>
  <c r="B712" i="3"/>
  <c r="D712" i="3" s="1"/>
  <c r="K711" i="3"/>
  <c r="G711" i="3"/>
  <c r="E711" i="3"/>
  <c r="F711" i="3" s="1"/>
  <c r="B711" i="3"/>
  <c r="K710" i="3"/>
  <c r="G710" i="3"/>
  <c r="F710" i="3"/>
  <c r="E710" i="3"/>
  <c r="D710" i="3"/>
  <c r="B710" i="3"/>
  <c r="C710" i="3" s="1"/>
  <c r="H710" i="3" s="1"/>
  <c r="I710" i="3" s="1"/>
  <c r="J710" i="3" s="1"/>
  <c r="K709" i="3"/>
  <c r="I709" i="3"/>
  <c r="J709" i="3" s="1"/>
  <c r="F709" i="3"/>
  <c r="E709" i="3"/>
  <c r="D709" i="3"/>
  <c r="C709" i="3"/>
  <c r="H709" i="3" s="1"/>
  <c r="B709" i="3"/>
  <c r="K708" i="3"/>
  <c r="F708" i="3"/>
  <c r="E708" i="3"/>
  <c r="C708" i="3"/>
  <c r="H708" i="3" s="1"/>
  <c r="I708" i="3" s="1"/>
  <c r="J708" i="3" s="1"/>
  <c r="B708" i="3"/>
  <c r="D708" i="3" s="1"/>
  <c r="K707" i="3"/>
  <c r="G707" i="3"/>
  <c r="E707" i="3"/>
  <c r="F707" i="3" s="1"/>
  <c r="B707" i="3"/>
  <c r="K706" i="3"/>
  <c r="G706" i="3"/>
  <c r="F706" i="3"/>
  <c r="E706" i="3"/>
  <c r="D706" i="3"/>
  <c r="C706" i="3"/>
  <c r="H706" i="3" s="1"/>
  <c r="I706" i="3" s="1"/>
  <c r="J706" i="3" s="1"/>
  <c r="B706" i="3"/>
  <c r="K705" i="3"/>
  <c r="E705" i="3"/>
  <c r="D705" i="3"/>
  <c r="C705" i="3"/>
  <c r="H705" i="3" s="1"/>
  <c r="I705" i="3" s="1"/>
  <c r="J705" i="3" s="1"/>
  <c r="B705" i="3"/>
  <c r="K704" i="3"/>
  <c r="E704" i="3"/>
  <c r="C704" i="3"/>
  <c r="H704" i="3" s="1"/>
  <c r="I704" i="3" s="1"/>
  <c r="J704" i="3" s="1"/>
  <c r="B704" i="3"/>
  <c r="D704" i="3" s="1"/>
  <c r="K703" i="3"/>
  <c r="E703" i="3"/>
  <c r="F703" i="3" s="1"/>
  <c r="B703" i="3"/>
  <c r="K702" i="3"/>
  <c r="J702" i="3"/>
  <c r="G702" i="3"/>
  <c r="F702" i="3"/>
  <c r="E702" i="3"/>
  <c r="C702" i="3"/>
  <c r="H702" i="3" s="1"/>
  <c r="I702" i="3" s="1"/>
  <c r="B702" i="3"/>
  <c r="D702" i="3" s="1"/>
  <c r="K701" i="3"/>
  <c r="E701" i="3"/>
  <c r="D701" i="3"/>
  <c r="C701" i="3"/>
  <c r="H701" i="3" s="1"/>
  <c r="I701" i="3" s="1"/>
  <c r="J701" i="3" s="1"/>
  <c r="B701" i="3"/>
  <c r="K700" i="3"/>
  <c r="H700" i="3"/>
  <c r="I700" i="3" s="1"/>
  <c r="J700" i="3" s="1"/>
  <c r="E700" i="3"/>
  <c r="F700" i="3" s="1"/>
  <c r="G700" i="3" s="1"/>
  <c r="C700" i="3"/>
  <c r="B700" i="3"/>
  <c r="D700" i="3" s="1"/>
  <c r="K699" i="3"/>
  <c r="E699" i="3"/>
  <c r="F699" i="3" s="1"/>
  <c r="B699" i="3"/>
  <c r="K698" i="3"/>
  <c r="G698" i="3"/>
  <c r="F698" i="3"/>
  <c r="E698" i="3"/>
  <c r="B698" i="3"/>
  <c r="D698" i="3" s="1"/>
  <c r="K697" i="3"/>
  <c r="I697" i="3"/>
  <c r="J697" i="3" s="1"/>
  <c r="F697" i="3"/>
  <c r="E697" i="3"/>
  <c r="D697" i="3"/>
  <c r="C697" i="3"/>
  <c r="H697" i="3" s="1"/>
  <c r="B697" i="3"/>
  <c r="K696" i="3"/>
  <c r="H696" i="3"/>
  <c r="I696" i="3" s="1"/>
  <c r="J696" i="3" s="1"/>
  <c r="F696" i="3"/>
  <c r="G696" i="3" s="1"/>
  <c r="E696" i="3"/>
  <c r="C696" i="3"/>
  <c r="B696" i="3"/>
  <c r="D696" i="3" s="1"/>
  <c r="L695" i="3"/>
  <c r="K695" i="3"/>
  <c r="F695" i="3"/>
  <c r="E695" i="3"/>
  <c r="B695" i="3"/>
  <c r="D695" i="3" s="1"/>
  <c r="L694" i="3"/>
  <c r="K694" i="3"/>
  <c r="I694" i="3"/>
  <c r="J694" i="3" s="1"/>
  <c r="F694" i="3"/>
  <c r="E694" i="3"/>
  <c r="D694" i="3"/>
  <c r="C694" i="3"/>
  <c r="H694" i="3" s="1"/>
  <c r="B694" i="3"/>
  <c r="L693" i="3"/>
  <c r="K693" i="3"/>
  <c r="H693" i="3"/>
  <c r="I693" i="3" s="1"/>
  <c r="J693" i="3" s="1"/>
  <c r="G693" i="3"/>
  <c r="F693" i="3"/>
  <c r="E693" i="3"/>
  <c r="D693" i="3"/>
  <c r="C693" i="3"/>
  <c r="B693" i="3"/>
  <c r="L692" i="3"/>
  <c r="K692" i="3"/>
  <c r="G692" i="3"/>
  <c r="F692" i="3"/>
  <c r="E692" i="3"/>
  <c r="D692" i="3"/>
  <c r="B692" i="3"/>
  <c r="C692" i="3" s="1"/>
  <c r="H692" i="3" s="1"/>
  <c r="I692" i="3" s="1"/>
  <c r="J692" i="3" s="1"/>
  <c r="K691" i="3"/>
  <c r="E691" i="3"/>
  <c r="D691" i="3"/>
  <c r="C691" i="3"/>
  <c r="H691" i="3" s="1"/>
  <c r="I691" i="3" s="1"/>
  <c r="J691" i="3" s="1"/>
  <c r="B691" i="3"/>
  <c r="K690" i="3"/>
  <c r="E690" i="3"/>
  <c r="C690" i="3"/>
  <c r="H690" i="3" s="1"/>
  <c r="I690" i="3" s="1"/>
  <c r="J690" i="3" s="1"/>
  <c r="B690" i="3"/>
  <c r="D690" i="3" s="1"/>
  <c r="K689" i="3"/>
  <c r="E689" i="3"/>
  <c r="F689" i="3" s="1"/>
  <c r="B689" i="3"/>
  <c r="K688" i="3"/>
  <c r="G688" i="3"/>
  <c r="F688" i="3"/>
  <c r="E688" i="3"/>
  <c r="B688" i="3"/>
  <c r="K687" i="3"/>
  <c r="I687" i="3"/>
  <c r="J687" i="3" s="1"/>
  <c r="F687" i="3"/>
  <c r="E687" i="3"/>
  <c r="D687" i="3"/>
  <c r="C687" i="3"/>
  <c r="H687" i="3" s="1"/>
  <c r="B687" i="3"/>
  <c r="K686" i="3"/>
  <c r="H686" i="3"/>
  <c r="I686" i="3" s="1"/>
  <c r="J686" i="3" s="1"/>
  <c r="G686" i="3"/>
  <c r="F686" i="3"/>
  <c r="E686" i="3"/>
  <c r="C686" i="3"/>
  <c r="B686" i="3"/>
  <c r="D686" i="3" s="1"/>
  <c r="K685" i="3"/>
  <c r="G685" i="3"/>
  <c r="E685" i="3"/>
  <c r="F685" i="3" s="1"/>
  <c r="B685" i="3"/>
  <c r="K684" i="3"/>
  <c r="G684" i="3"/>
  <c r="F684" i="3"/>
  <c r="E684" i="3"/>
  <c r="B684" i="3"/>
  <c r="D684" i="3" s="1"/>
  <c r="K683" i="3"/>
  <c r="I683" i="3"/>
  <c r="J683" i="3" s="1"/>
  <c r="E683" i="3"/>
  <c r="D683" i="3"/>
  <c r="C683" i="3"/>
  <c r="H683" i="3" s="1"/>
  <c r="B683" i="3"/>
  <c r="K682" i="3"/>
  <c r="E682" i="3"/>
  <c r="C682" i="3"/>
  <c r="H682" i="3" s="1"/>
  <c r="I682" i="3" s="1"/>
  <c r="J682" i="3" s="1"/>
  <c r="B682" i="3"/>
  <c r="D682" i="3" s="1"/>
  <c r="K681" i="3"/>
  <c r="G681" i="3"/>
  <c r="E681" i="3"/>
  <c r="F681" i="3" s="1"/>
  <c r="B681" i="3"/>
  <c r="L680" i="3"/>
  <c r="K680" i="3"/>
  <c r="E680" i="3"/>
  <c r="D680" i="3"/>
  <c r="C680" i="3"/>
  <c r="H680" i="3" s="1"/>
  <c r="I680" i="3" s="1"/>
  <c r="J680" i="3" s="1"/>
  <c r="B680" i="3"/>
  <c r="K679" i="3"/>
  <c r="E679" i="3"/>
  <c r="B679" i="3"/>
  <c r="L678" i="3"/>
  <c r="K678" i="3"/>
  <c r="E678" i="3"/>
  <c r="F678" i="3" s="1"/>
  <c r="B678" i="3"/>
  <c r="L677" i="3"/>
  <c r="K677" i="3"/>
  <c r="E677" i="3"/>
  <c r="D677" i="3"/>
  <c r="C677" i="3"/>
  <c r="H677" i="3" s="1"/>
  <c r="I677" i="3" s="1"/>
  <c r="J677" i="3" s="1"/>
  <c r="B677" i="3"/>
  <c r="L676" i="3"/>
  <c r="K676" i="3"/>
  <c r="E676" i="3"/>
  <c r="C676" i="3"/>
  <c r="H676" i="3" s="1"/>
  <c r="I676" i="3" s="1"/>
  <c r="J676" i="3" s="1"/>
  <c r="B676" i="3"/>
  <c r="D676" i="3" s="1"/>
  <c r="K675" i="3"/>
  <c r="E675" i="3"/>
  <c r="B675" i="3"/>
  <c r="L674" i="3"/>
  <c r="K674" i="3"/>
  <c r="E674" i="3"/>
  <c r="C674" i="3"/>
  <c r="H674" i="3" s="1"/>
  <c r="I674" i="3" s="1"/>
  <c r="J674" i="3" s="1"/>
  <c r="B674" i="3"/>
  <c r="D674" i="3" s="1"/>
  <c r="L673" i="3"/>
  <c r="K673" i="3"/>
  <c r="E673" i="3"/>
  <c r="C673" i="3"/>
  <c r="H673" i="3" s="1"/>
  <c r="I673" i="3" s="1"/>
  <c r="J673" i="3" s="1"/>
  <c r="B673" i="3"/>
  <c r="D673" i="3" s="1"/>
  <c r="L672" i="3"/>
  <c r="K672" i="3"/>
  <c r="F672" i="3"/>
  <c r="E672" i="3"/>
  <c r="G672" i="3" s="1"/>
  <c r="C672" i="3"/>
  <c r="H672" i="3" s="1"/>
  <c r="I672" i="3" s="1"/>
  <c r="J672" i="3" s="1"/>
  <c r="B672" i="3"/>
  <c r="D672" i="3" s="1"/>
  <c r="L671" i="3"/>
  <c r="K671" i="3"/>
  <c r="E671" i="3"/>
  <c r="D671" i="3"/>
  <c r="C671" i="3"/>
  <c r="H671" i="3" s="1"/>
  <c r="I671" i="3" s="1"/>
  <c r="J671" i="3" s="1"/>
  <c r="B671" i="3"/>
  <c r="L670" i="3"/>
  <c r="K670" i="3"/>
  <c r="H670" i="3"/>
  <c r="I670" i="3" s="1"/>
  <c r="J670" i="3" s="1"/>
  <c r="F670" i="3"/>
  <c r="G670" i="3" s="1"/>
  <c r="E670" i="3"/>
  <c r="D670" i="3"/>
  <c r="C670" i="3"/>
  <c r="B670" i="3"/>
  <c r="L669" i="3"/>
  <c r="K669" i="3"/>
  <c r="F669" i="3"/>
  <c r="G669" i="3" s="1"/>
  <c r="E669" i="3"/>
  <c r="B669" i="3"/>
  <c r="D669" i="3" s="1"/>
  <c r="L668" i="3"/>
  <c r="K668" i="3"/>
  <c r="I668" i="3"/>
  <c r="J668" i="3" s="1"/>
  <c r="E668" i="3"/>
  <c r="F668" i="3" s="1"/>
  <c r="G668" i="3" s="1"/>
  <c r="B668" i="3"/>
  <c r="C668" i="3" s="1"/>
  <c r="H668" i="3" s="1"/>
  <c r="L667" i="3"/>
  <c r="K667" i="3"/>
  <c r="E667" i="3"/>
  <c r="F667" i="3" s="1"/>
  <c r="B667" i="3"/>
  <c r="M666" i="3"/>
  <c r="L666" i="3"/>
  <c r="K666" i="3"/>
  <c r="E666" i="3"/>
  <c r="D666" i="3"/>
  <c r="C666" i="3"/>
  <c r="H666" i="3" s="1"/>
  <c r="I666" i="3" s="1"/>
  <c r="J666" i="3" s="1"/>
  <c r="B666" i="3"/>
  <c r="L665" i="3"/>
  <c r="K665" i="3"/>
  <c r="F665" i="3"/>
  <c r="G665" i="3" s="1"/>
  <c r="E665" i="3"/>
  <c r="B665" i="3"/>
  <c r="D665" i="3" s="1"/>
  <c r="L664" i="3"/>
  <c r="K664" i="3"/>
  <c r="E664" i="3"/>
  <c r="F664" i="3" s="1"/>
  <c r="G664" i="3" s="1"/>
  <c r="B664" i="3"/>
  <c r="L663" i="3"/>
  <c r="K663" i="3"/>
  <c r="E663" i="3"/>
  <c r="B663" i="3"/>
  <c r="C663" i="3" s="1"/>
  <c r="H663" i="3" s="1"/>
  <c r="I663" i="3" s="1"/>
  <c r="J663" i="3" s="1"/>
  <c r="L662" i="3"/>
  <c r="K662" i="3"/>
  <c r="H662" i="3"/>
  <c r="I662" i="3" s="1"/>
  <c r="J662" i="3" s="1"/>
  <c r="E662" i="3"/>
  <c r="D662" i="3"/>
  <c r="C662" i="3"/>
  <c r="B662" i="3"/>
  <c r="L661" i="3"/>
  <c r="K661" i="3"/>
  <c r="G661" i="3"/>
  <c r="F661" i="3"/>
  <c r="E661" i="3"/>
  <c r="B661" i="3"/>
  <c r="K660" i="3"/>
  <c r="H660" i="3"/>
  <c r="I660" i="3" s="1"/>
  <c r="J660" i="3" s="1"/>
  <c r="G660" i="3"/>
  <c r="E660" i="3"/>
  <c r="F660" i="3" s="1"/>
  <c r="B660" i="3"/>
  <c r="C660" i="3" s="1"/>
  <c r="K659" i="3"/>
  <c r="H659" i="3"/>
  <c r="I659" i="3" s="1"/>
  <c r="J659" i="3" s="1"/>
  <c r="F659" i="3"/>
  <c r="G659" i="3" s="1"/>
  <c r="E659" i="3"/>
  <c r="C659" i="3"/>
  <c r="B659" i="3"/>
  <c r="D659" i="3" s="1"/>
  <c r="K658" i="3"/>
  <c r="E658" i="3"/>
  <c r="B658" i="3"/>
  <c r="D658" i="3" s="1"/>
  <c r="K657" i="3"/>
  <c r="E657" i="3"/>
  <c r="D657" i="3"/>
  <c r="C657" i="3"/>
  <c r="H657" i="3" s="1"/>
  <c r="I657" i="3" s="1"/>
  <c r="J657" i="3" s="1"/>
  <c r="B657" i="3"/>
  <c r="K656" i="3"/>
  <c r="H656" i="3"/>
  <c r="I656" i="3" s="1"/>
  <c r="J656" i="3" s="1"/>
  <c r="E656" i="3"/>
  <c r="D656" i="3"/>
  <c r="B656" i="3"/>
  <c r="C656" i="3" s="1"/>
  <c r="K655" i="3"/>
  <c r="F655" i="3"/>
  <c r="G655" i="3" s="1"/>
  <c r="E655" i="3"/>
  <c r="B655" i="3"/>
  <c r="K654" i="3"/>
  <c r="H654" i="3"/>
  <c r="I654" i="3" s="1"/>
  <c r="J654" i="3" s="1"/>
  <c r="F654" i="3"/>
  <c r="E654" i="3"/>
  <c r="C654" i="3"/>
  <c r="B654" i="3"/>
  <c r="D654" i="3" s="1"/>
  <c r="L653" i="3"/>
  <c r="K653" i="3"/>
  <c r="H653" i="3"/>
  <c r="I653" i="3" s="1"/>
  <c r="J653" i="3" s="1"/>
  <c r="E653" i="3"/>
  <c r="D653" i="3"/>
  <c r="C653" i="3"/>
  <c r="B653" i="3"/>
  <c r="K652" i="3"/>
  <c r="E652" i="3"/>
  <c r="C652" i="3"/>
  <c r="H652" i="3" s="1"/>
  <c r="I652" i="3" s="1"/>
  <c r="J652" i="3" s="1"/>
  <c r="B652" i="3"/>
  <c r="D652" i="3" s="1"/>
  <c r="K651" i="3"/>
  <c r="E651" i="3"/>
  <c r="F651" i="3" s="1"/>
  <c r="C651" i="3"/>
  <c r="H651" i="3" s="1"/>
  <c r="I651" i="3" s="1"/>
  <c r="J651" i="3" s="1"/>
  <c r="B651" i="3"/>
  <c r="D651" i="3" s="1"/>
  <c r="K650" i="3"/>
  <c r="E650" i="3"/>
  <c r="F650" i="3" s="1"/>
  <c r="G650" i="3" s="1"/>
  <c r="D650" i="3"/>
  <c r="C650" i="3"/>
  <c r="H650" i="3" s="1"/>
  <c r="I650" i="3" s="1"/>
  <c r="J650" i="3" s="1"/>
  <c r="B650" i="3"/>
  <c r="K649" i="3"/>
  <c r="H649" i="3"/>
  <c r="I649" i="3" s="1"/>
  <c r="J649" i="3" s="1"/>
  <c r="E649" i="3"/>
  <c r="D649" i="3"/>
  <c r="C649" i="3"/>
  <c r="B649" i="3"/>
  <c r="K648" i="3"/>
  <c r="G648" i="3"/>
  <c r="F648" i="3"/>
  <c r="E648" i="3"/>
  <c r="B648" i="3"/>
  <c r="K647" i="3"/>
  <c r="G647" i="3"/>
  <c r="E647" i="3"/>
  <c r="F647" i="3" s="1"/>
  <c r="C647" i="3"/>
  <c r="H647" i="3" s="1"/>
  <c r="I647" i="3" s="1"/>
  <c r="J647" i="3" s="1"/>
  <c r="B647" i="3"/>
  <c r="D647" i="3" s="1"/>
  <c r="K646" i="3"/>
  <c r="J646" i="3"/>
  <c r="E646" i="3"/>
  <c r="F646" i="3" s="1"/>
  <c r="G646" i="3" s="1"/>
  <c r="D646" i="3"/>
  <c r="C646" i="3"/>
  <c r="H646" i="3" s="1"/>
  <c r="I646" i="3" s="1"/>
  <c r="B646" i="3"/>
  <c r="K645" i="3"/>
  <c r="E645" i="3"/>
  <c r="D645" i="3"/>
  <c r="C645" i="3"/>
  <c r="H645" i="3" s="1"/>
  <c r="I645" i="3" s="1"/>
  <c r="J645" i="3" s="1"/>
  <c r="B645" i="3"/>
  <c r="K644" i="3"/>
  <c r="E644" i="3"/>
  <c r="F644" i="3" s="1"/>
  <c r="G644" i="3" s="1"/>
  <c r="C644" i="3"/>
  <c r="H644" i="3" s="1"/>
  <c r="I644" i="3" s="1"/>
  <c r="J644" i="3" s="1"/>
  <c r="B644" i="3"/>
  <c r="D644" i="3" s="1"/>
  <c r="K643" i="3"/>
  <c r="E643" i="3"/>
  <c r="B643" i="3"/>
  <c r="K642" i="3"/>
  <c r="I642" i="3"/>
  <c r="J642" i="3" s="1"/>
  <c r="E642" i="3"/>
  <c r="D642" i="3"/>
  <c r="C642" i="3"/>
  <c r="H642" i="3" s="1"/>
  <c r="B642" i="3"/>
  <c r="K641" i="3"/>
  <c r="I641" i="3"/>
  <c r="J641" i="3" s="1"/>
  <c r="H641" i="3"/>
  <c r="F641" i="3"/>
  <c r="G641" i="3" s="1"/>
  <c r="E641" i="3"/>
  <c r="D641" i="3"/>
  <c r="C641" i="3"/>
  <c r="B641" i="3"/>
  <c r="K640" i="3"/>
  <c r="F640" i="3"/>
  <c r="G640" i="3" s="1"/>
  <c r="E640" i="3"/>
  <c r="B640" i="3"/>
  <c r="K639" i="3"/>
  <c r="G639" i="3"/>
  <c r="E639" i="3"/>
  <c r="F639" i="3" s="1"/>
  <c r="C639" i="3"/>
  <c r="H639" i="3" s="1"/>
  <c r="I639" i="3" s="1"/>
  <c r="J639" i="3" s="1"/>
  <c r="B639" i="3"/>
  <c r="D639" i="3" s="1"/>
  <c r="K638" i="3"/>
  <c r="G638" i="3"/>
  <c r="E638" i="3"/>
  <c r="F638" i="3" s="1"/>
  <c r="B638" i="3"/>
  <c r="D638" i="3" s="1"/>
  <c r="K637" i="3"/>
  <c r="E637" i="3"/>
  <c r="D637" i="3"/>
  <c r="C637" i="3"/>
  <c r="H637" i="3" s="1"/>
  <c r="I637" i="3" s="1"/>
  <c r="J637" i="3" s="1"/>
  <c r="B637" i="3"/>
  <c r="K636" i="3"/>
  <c r="E636" i="3"/>
  <c r="B636" i="3"/>
  <c r="D636" i="3" s="1"/>
  <c r="K635" i="3"/>
  <c r="H635" i="3"/>
  <c r="I635" i="3" s="1"/>
  <c r="J635" i="3" s="1"/>
  <c r="G635" i="3"/>
  <c r="E635" i="3"/>
  <c r="F635" i="3" s="1"/>
  <c r="C635" i="3"/>
  <c r="B635" i="3"/>
  <c r="D635" i="3" s="1"/>
  <c r="K634" i="3"/>
  <c r="I634" i="3"/>
  <c r="J634" i="3" s="1"/>
  <c r="G634" i="3"/>
  <c r="F634" i="3"/>
  <c r="E634" i="3"/>
  <c r="D634" i="3"/>
  <c r="C634" i="3"/>
  <c r="H634" i="3" s="1"/>
  <c r="B634" i="3"/>
  <c r="K633" i="3"/>
  <c r="H633" i="3"/>
  <c r="I633" i="3" s="1"/>
  <c r="J633" i="3" s="1"/>
  <c r="G633" i="3"/>
  <c r="F633" i="3"/>
  <c r="E633" i="3"/>
  <c r="D633" i="3"/>
  <c r="C633" i="3"/>
  <c r="B633" i="3"/>
  <c r="K632" i="3"/>
  <c r="F632" i="3"/>
  <c r="G632" i="3" s="1"/>
  <c r="E632" i="3"/>
  <c r="B632" i="3"/>
  <c r="K631" i="3"/>
  <c r="E631" i="3"/>
  <c r="F631" i="3" s="1"/>
  <c r="G631" i="3" s="1"/>
  <c r="B631" i="3"/>
  <c r="L630" i="3"/>
  <c r="K630" i="3"/>
  <c r="J630" i="3"/>
  <c r="F630" i="3"/>
  <c r="E630" i="3"/>
  <c r="G630" i="3" s="1"/>
  <c r="C630" i="3"/>
  <c r="H630" i="3" s="1"/>
  <c r="I630" i="3" s="1"/>
  <c r="B630" i="3"/>
  <c r="D630" i="3" s="1"/>
  <c r="K629" i="3"/>
  <c r="E629" i="3"/>
  <c r="F629" i="3" s="1"/>
  <c r="G629" i="3" s="1"/>
  <c r="D629" i="3"/>
  <c r="B629" i="3"/>
  <c r="C629" i="3" s="1"/>
  <c r="H629" i="3" s="1"/>
  <c r="I629" i="3" s="1"/>
  <c r="J629" i="3" s="1"/>
  <c r="K628" i="3"/>
  <c r="F628" i="3"/>
  <c r="G628" i="3" s="1"/>
  <c r="E628" i="3"/>
  <c r="C628" i="3"/>
  <c r="H628" i="3" s="1"/>
  <c r="I628" i="3" s="1"/>
  <c r="J628" i="3" s="1"/>
  <c r="B628" i="3"/>
  <c r="D628" i="3" s="1"/>
  <c r="K627" i="3"/>
  <c r="I627" i="3"/>
  <c r="J627" i="3" s="1"/>
  <c r="E627" i="3"/>
  <c r="D627" i="3"/>
  <c r="C627" i="3"/>
  <c r="H627" i="3" s="1"/>
  <c r="B627" i="3"/>
  <c r="K626" i="3"/>
  <c r="E626" i="3"/>
  <c r="F626" i="3" s="1"/>
  <c r="G626" i="3" s="1"/>
  <c r="D626" i="3"/>
  <c r="C626" i="3"/>
  <c r="H626" i="3" s="1"/>
  <c r="I626" i="3" s="1"/>
  <c r="J626" i="3" s="1"/>
  <c r="B626" i="3"/>
  <c r="K625" i="3"/>
  <c r="E625" i="3"/>
  <c r="D625" i="3"/>
  <c r="B625" i="3"/>
  <c r="C625" i="3" s="1"/>
  <c r="H625" i="3" s="1"/>
  <c r="I625" i="3" s="1"/>
  <c r="J625" i="3" s="1"/>
  <c r="K624" i="3"/>
  <c r="F624" i="3"/>
  <c r="G624" i="3" s="1"/>
  <c r="E624" i="3"/>
  <c r="B624" i="3"/>
  <c r="D624" i="3" s="1"/>
  <c r="K623" i="3"/>
  <c r="E623" i="3"/>
  <c r="B623" i="3"/>
  <c r="D623" i="3" s="1"/>
  <c r="K622" i="3"/>
  <c r="J622" i="3"/>
  <c r="E622" i="3"/>
  <c r="D622" i="3"/>
  <c r="C622" i="3"/>
  <c r="H622" i="3" s="1"/>
  <c r="I622" i="3" s="1"/>
  <c r="B622" i="3"/>
  <c r="K621" i="3"/>
  <c r="E621" i="3"/>
  <c r="D621" i="3"/>
  <c r="B621" i="3"/>
  <c r="C621" i="3" s="1"/>
  <c r="H621" i="3" s="1"/>
  <c r="I621" i="3" s="1"/>
  <c r="J621" i="3" s="1"/>
  <c r="K620" i="3"/>
  <c r="F620" i="3"/>
  <c r="G620" i="3" s="1"/>
  <c r="E620" i="3"/>
  <c r="C620" i="3"/>
  <c r="H620" i="3" s="1"/>
  <c r="I620" i="3" s="1"/>
  <c r="J620" i="3" s="1"/>
  <c r="B620" i="3"/>
  <c r="D620" i="3" s="1"/>
  <c r="K619" i="3"/>
  <c r="H619" i="3"/>
  <c r="I619" i="3" s="1"/>
  <c r="J619" i="3" s="1"/>
  <c r="E619" i="3"/>
  <c r="D619" i="3"/>
  <c r="C619" i="3"/>
  <c r="B619" i="3"/>
  <c r="K618" i="3"/>
  <c r="E618" i="3"/>
  <c r="D618" i="3"/>
  <c r="C618" i="3"/>
  <c r="H618" i="3" s="1"/>
  <c r="I618" i="3" s="1"/>
  <c r="J618" i="3" s="1"/>
  <c r="B618" i="3"/>
  <c r="K617" i="3"/>
  <c r="H617" i="3"/>
  <c r="I617" i="3" s="1"/>
  <c r="J617" i="3" s="1"/>
  <c r="E617" i="3"/>
  <c r="D617" i="3"/>
  <c r="B617" i="3"/>
  <c r="C617" i="3" s="1"/>
  <c r="K616" i="3"/>
  <c r="F616" i="3"/>
  <c r="G616" i="3" s="1"/>
  <c r="E616" i="3"/>
  <c r="B616" i="3"/>
  <c r="K615" i="3"/>
  <c r="E615" i="3"/>
  <c r="B615" i="3"/>
  <c r="C615" i="3" s="1"/>
  <c r="H615" i="3" s="1"/>
  <c r="I615" i="3" s="1"/>
  <c r="J615" i="3" s="1"/>
  <c r="K614" i="3"/>
  <c r="G614" i="3"/>
  <c r="F614" i="3"/>
  <c r="E614" i="3"/>
  <c r="B614" i="3"/>
  <c r="C614" i="3" s="1"/>
  <c r="H614" i="3" s="1"/>
  <c r="I614" i="3" s="1"/>
  <c r="J614" i="3" s="1"/>
  <c r="K613" i="3"/>
  <c r="H613" i="3"/>
  <c r="I613" i="3" s="1"/>
  <c r="J613" i="3" s="1"/>
  <c r="F613" i="3"/>
  <c r="E613" i="3"/>
  <c r="G613" i="3" s="1"/>
  <c r="D613" i="3"/>
  <c r="B613" i="3"/>
  <c r="C613" i="3" s="1"/>
  <c r="K612" i="3"/>
  <c r="H612" i="3"/>
  <c r="I612" i="3" s="1"/>
  <c r="J612" i="3" s="1"/>
  <c r="F612" i="3"/>
  <c r="G612" i="3" s="1"/>
  <c r="E612" i="3"/>
  <c r="C612" i="3"/>
  <c r="B612" i="3"/>
  <c r="D612" i="3" s="1"/>
  <c r="K611" i="3"/>
  <c r="I611" i="3"/>
  <c r="J611" i="3" s="1"/>
  <c r="H611" i="3"/>
  <c r="E611" i="3"/>
  <c r="D611" i="3"/>
  <c r="C611" i="3"/>
  <c r="B611" i="3"/>
  <c r="K610" i="3"/>
  <c r="E610" i="3"/>
  <c r="D610" i="3"/>
  <c r="C610" i="3"/>
  <c r="H610" i="3" s="1"/>
  <c r="I610" i="3" s="1"/>
  <c r="J610" i="3" s="1"/>
  <c r="B610" i="3"/>
  <c r="K609" i="3"/>
  <c r="H609" i="3"/>
  <c r="I609" i="3" s="1"/>
  <c r="J609" i="3" s="1"/>
  <c r="F609" i="3"/>
  <c r="G609" i="3" s="1"/>
  <c r="E609" i="3"/>
  <c r="D609" i="3"/>
  <c r="B609" i="3"/>
  <c r="C609" i="3" s="1"/>
  <c r="K608" i="3"/>
  <c r="G608" i="3"/>
  <c r="F608" i="3"/>
  <c r="E608" i="3"/>
  <c r="B608" i="3"/>
  <c r="D608" i="3" s="1"/>
  <c r="K607" i="3"/>
  <c r="I607" i="3"/>
  <c r="J607" i="3" s="1"/>
  <c r="H607" i="3"/>
  <c r="E607" i="3"/>
  <c r="D607" i="3"/>
  <c r="B607" i="3"/>
  <c r="C607" i="3" s="1"/>
  <c r="K606" i="3"/>
  <c r="G606" i="3"/>
  <c r="E606" i="3"/>
  <c r="F606" i="3" s="1"/>
  <c r="C606" i="3"/>
  <c r="H606" i="3" s="1"/>
  <c r="I606" i="3" s="1"/>
  <c r="J606" i="3" s="1"/>
  <c r="B606" i="3"/>
  <c r="D606" i="3" s="1"/>
  <c r="K605" i="3"/>
  <c r="E605" i="3"/>
  <c r="F605" i="3" s="1"/>
  <c r="B605" i="3"/>
  <c r="K604" i="3"/>
  <c r="F604" i="3"/>
  <c r="G604" i="3" s="1"/>
  <c r="E604" i="3"/>
  <c r="B604" i="3"/>
  <c r="K603" i="3"/>
  <c r="F603" i="3"/>
  <c r="E603" i="3"/>
  <c r="D603" i="3"/>
  <c r="C603" i="3"/>
  <c r="H603" i="3" s="1"/>
  <c r="I603" i="3" s="1"/>
  <c r="J603" i="3" s="1"/>
  <c r="B603" i="3"/>
  <c r="K602" i="3"/>
  <c r="F602" i="3"/>
  <c r="G602" i="3" s="1"/>
  <c r="E602" i="3"/>
  <c r="D602" i="3"/>
  <c r="B602" i="3"/>
  <c r="C602" i="3" s="1"/>
  <c r="H602" i="3" s="1"/>
  <c r="I602" i="3" s="1"/>
  <c r="J602" i="3" s="1"/>
  <c r="K601" i="3"/>
  <c r="J601" i="3"/>
  <c r="I601" i="3"/>
  <c r="H601" i="3"/>
  <c r="G601" i="3"/>
  <c r="F601" i="3"/>
  <c r="E601" i="3"/>
  <c r="D601" i="3"/>
  <c r="B601" i="3"/>
  <c r="C601" i="3" s="1"/>
  <c r="K600" i="3"/>
  <c r="G600" i="3"/>
  <c r="F600" i="3"/>
  <c r="E600" i="3"/>
  <c r="C600" i="3"/>
  <c r="H600" i="3" s="1"/>
  <c r="I600" i="3" s="1"/>
  <c r="J600" i="3" s="1"/>
  <c r="B600" i="3"/>
  <c r="D600" i="3" s="1"/>
  <c r="K599" i="3"/>
  <c r="F599" i="3"/>
  <c r="E599" i="3"/>
  <c r="C599" i="3"/>
  <c r="H599" i="3" s="1"/>
  <c r="I599" i="3" s="1"/>
  <c r="J599" i="3" s="1"/>
  <c r="B599" i="3"/>
  <c r="D599" i="3" s="1"/>
  <c r="K598" i="3"/>
  <c r="G598" i="3"/>
  <c r="E598" i="3"/>
  <c r="F598" i="3" s="1"/>
  <c r="B598" i="3"/>
  <c r="K597" i="3"/>
  <c r="F597" i="3"/>
  <c r="G597" i="3" s="1"/>
  <c r="E597" i="3"/>
  <c r="D597" i="3"/>
  <c r="B597" i="3"/>
  <c r="C597" i="3" s="1"/>
  <c r="H597" i="3" s="1"/>
  <c r="I597" i="3" s="1"/>
  <c r="J597" i="3" s="1"/>
  <c r="L596" i="3"/>
  <c r="K596" i="3"/>
  <c r="G596" i="3"/>
  <c r="E596" i="3"/>
  <c r="F596" i="3" s="1"/>
  <c r="D596" i="3"/>
  <c r="B596" i="3"/>
  <c r="C596" i="3" s="1"/>
  <c r="H596" i="3" s="1"/>
  <c r="I596" i="3" s="1"/>
  <c r="J596" i="3" s="1"/>
  <c r="K595" i="3"/>
  <c r="F595" i="3"/>
  <c r="G595" i="3" s="1"/>
  <c r="E595" i="3"/>
  <c r="D595" i="3"/>
  <c r="C595" i="3"/>
  <c r="H595" i="3" s="1"/>
  <c r="I595" i="3" s="1"/>
  <c r="J595" i="3" s="1"/>
  <c r="B595" i="3"/>
  <c r="K594" i="3"/>
  <c r="I594" i="3"/>
  <c r="J594" i="3" s="1"/>
  <c r="H594" i="3"/>
  <c r="G594" i="3"/>
  <c r="F594" i="3"/>
  <c r="E594" i="3"/>
  <c r="D594" i="3"/>
  <c r="C594" i="3"/>
  <c r="B594" i="3"/>
  <c r="K593" i="3"/>
  <c r="F593" i="3"/>
  <c r="G593" i="3" s="1"/>
  <c r="E593" i="3"/>
  <c r="C593" i="3"/>
  <c r="H593" i="3" s="1"/>
  <c r="I593" i="3" s="1"/>
  <c r="J593" i="3" s="1"/>
  <c r="B593" i="3"/>
  <c r="D593" i="3" s="1"/>
  <c r="K592" i="3"/>
  <c r="G592" i="3"/>
  <c r="E592" i="3"/>
  <c r="F592" i="3" s="1"/>
  <c r="C592" i="3"/>
  <c r="H592" i="3" s="1"/>
  <c r="I592" i="3" s="1"/>
  <c r="J592" i="3" s="1"/>
  <c r="B592" i="3"/>
  <c r="D592" i="3" s="1"/>
  <c r="L591" i="3"/>
  <c r="K591" i="3"/>
  <c r="F591" i="3"/>
  <c r="E591" i="3"/>
  <c r="G591" i="3" s="1"/>
  <c r="D591" i="3"/>
  <c r="C591" i="3"/>
  <c r="H591" i="3" s="1"/>
  <c r="I591" i="3" s="1"/>
  <c r="J591" i="3" s="1"/>
  <c r="B591" i="3"/>
  <c r="K590" i="3"/>
  <c r="E590" i="3"/>
  <c r="C590" i="3"/>
  <c r="H590" i="3" s="1"/>
  <c r="I590" i="3" s="1"/>
  <c r="J590" i="3" s="1"/>
  <c r="B590" i="3"/>
  <c r="D590" i="3" s="1"/>
  <c r="K589" i="3"/>
  <c r="H589" i="3"/>
  <c r="I589" i="3" s="1"/>
  <c r="J589" i="3" s="1"/>
  <c r="E589" i="3"/>
  <c r="C589" i="3"/>
  <c r="B589" i="3"/>
  <c r="D589" i="3" s="1"/>
  <c r="K588" i="3"/>
  <c r="G588" i="3"/>
  <c r="E588" i="3"/>
  <c r="F588" i="3" s="1"/>
  <c r="D588" i="3"/>
  <c r="C588" i="3"/>
  <c r="H588" i="3" s="1"/>
  <c r="I588" i="3" s="1"/>
  <c r="J588" i="3" s="1"/>
  <c r="B588" i="3"/>
  <c r="K587" i="3"/>
  <c r="F587" i="3"/>
  <c r="E587" i="3"/>
  <c r="G587" i="3" s="1"/>
  <c r="D587" i="3"/>
  <c r="C587" i="3"/>
  <c r="H587" i="3" s="1"/>
  <c r="I587" i="3" s="1"/>
  <c r="J587" i="3" s="1"/>
  <c r="B587" i="3"/>
  <c r="K586" i="3"/>
  <c r="E586" i="3"/>
  <c r="C586" i="3"/>
  <c r="H586" i="3" s="1"/>
  <c r="I586" i="3" s="1"/>
  <c r="J586" i="3" s="1"/>
  <c r="B586" i="3"/>
  <c r="D586" i="3" s="1"/>
  <c r="K585" i="3"/>
  <c r="H585" i="3"/>
  <c r="I585" i="3" s="1"/>
  <c r="J585" i="3" s="1"/>
  <c r="E585" i="3"/>
  <c r="C585" i="3"/>
  <c r="B585" i="3"/>
  <c r="D585" i="3" s="1"/>
  <c r="K584" i="3"/>
  <c r="G584" i="3"/>
  <c r="E584" i="3"/>
  <c r="F584" i="3" s="1"/>
  <c r="D584" i="3"/>
  <c r="C584" i="3"/>
  <c r="H584" i="3" s="1"/>
  <c r="I584" i="3" s="1"/>
  <c r="J584" i="3" s="1"/>
  <c r="B584" i="3"/>
  <c r="K583" i="3"/>
  <c r="F583" i="3"/>
  <c r="E583" i="3"/>
  <c r="G583" i="3" s="1"/>
  <c r="D583" i="3"/>
  <c r="C583" i="3"/>
  <c r="H583" i="3" s="1"/>
  <c r="I583" i="3" s="1"/>
  <c r="J583" i="3" s="1"/>
  <c r="B583" i="3"/>
  <c r="K582" i="3"/>
  <c r="E582" i="3"/>
  <c r="C582" i="3"/>
  <c r="H582" i="3" s="1"/>
  <c r="I582" i="3" s="1"/>
  <c r="J582" i="3" s="1"/>
  <c r="B582" i="3"/>
  <c r="D582" i="3" s="1"/>
  <c r="K581" i="3"/>
  <c r="H581" i="3"/>
  <c r="I581" i="3" s="1"/>
  <c r="J581" i="3" s="1"/>
  <c r="E581" i="3"/>
  <c r="C581" i="3"/>
  <c r="B581" i="3"/>
  <c r="D581" i="3" s="1"/>
  <c r="K580" i="3"/>
  <c r="G580" i="3"/>
  <c r="E580" i="3"/>
  <c r="F580" i="3" s="1"/>
  <c r="D580" i="3"/>
  <c r="C580" i="3"/>
  <c r="H580" i="3" s="1"/>
  <c r="I580" i="3" s="1"/>
  <c r="J580" i="3" s="1"/>
  <c r="B580" i="3"/>
  <c r="K579" i="3"/>
  <c r="F579" i="3"/>
  <c r="E579" i="3"/>
  <c r="G579" i="3" s="1"/>
  <c r="D579" i="3"/>
  <c r="C579" i="3"/>
  <c r="H579" i="3" s="1"/>
  <c r="I579" i="3" s="1"/>
  <c r="J579" i="3" s="1"/>
  <c r="B579" i="3"/>
  <c r="K578" i="3"/>
  <c r="E578" i="3"/>
  <c r="C578" i="3"/>
  <c r="H578" i="3" s="1"/>
  <c r="I578" i="3" s="1"/>
  <c r="J578" i="3" s="1"/>
  <c r="B578" i="3"/>
  <c r="D578" i="3" s="1"/>
  <c r="K577" i="3"/>
  <c r="H577" i="3"/>
  <c r="I577" i="3" s="1"/>
  <c r="J577" i="3" s="1"/>
  <c r="E577" i="3"/>
  <c r="C577" i="3"/>
  <c r="B577" i="3"/>
  <c r="D577" i="3" s="1"/>
  <c r="K576" i="3"/>
  <c r="G576" i="3"/>
  <c r="E576" i="3"/>
  <c r="F576" i="3" s="1"/>
  <c r="D576" i="3"/>
  <c r="C576" i="3"/>
  <c r="H576" i="3" s="1"/>
  <c r="I576" i="3" s="1"/>
  <c r="J576" i="3" s="1"/>
  <c r="B576" i="3"/>
  <c r="K575" i="3"/>
  <c r="F575" i="3"/>
  <c r="E575" i="3"/>
  <c r="G575" i="3" s="1"/>
  <c r="D575" i="3"/>
  <c r="C575" i="3"/>
  <c r="H575" i="3" s="1"/>
  <c r="I575" i="3" s="1"/>
  <c r="J575" i="3" s="1"/>
  <c r="B575" i="3"/>
  <c r="K574" i="3"/>
  <c r="E574" i="3"/>
  <c r="C574" i="3"/>
  <c r="H574" i="3" s="1"/>
  <c r="I574" i="3" s="1"/>
  <c r="J574" i="3" s="1"/>
  <c r="B574" i="3"/>
  <c r="D574" i="3" s="1"/>
  <c r="K573" i="3"/>
  <c r="H573" i="3"/>
  <c r="I573" i="3" s="1"/>
  <c r="J573" i="3" s="1"/>
  <c r="E573" i="3"/>
  <c r="C573" i="3"/>
  <c r="B573" i="3"/>
  <c r="D573" i="3" s="1"/>
  <c r="K572" i="3"/>
  <c r="G572" i="3"/>
  <c r="E572" i="3"/>
  <c r="F572" i="3" s="1"/>
  <c r="D572" i="3"/>
  <c r="C572" i="3"/>
  <c r="H572" i="3" s="1"/>
  <c r="I572" i="3" s="1"/>
  <c r="J572" i="3" s="1"/>
  <c r="B572" i="3"/>
  <c r="K571" i="3"/>
  <c r="F571" i="3"/>
  <c r="E571" i="3"/>
  <c r="G571" i="3" s="1"/>
  <c r="D571" i="3"/>
  <c r="C571" i="3"/>
  <c r="H571" i="3" s="1"/>
  <c r="I571" i="3" s="1"/>
  <c r="J571" i="3" s="1"/>
  <c r="B571" i="3"/>
  <c r="K570" i="3"/>
  <c r="E570" i="3"/>
  <c r="C570" i="3"/>
  <c r="H570" i="3" s="1"/>
  <c r="I570" i="3" s="1"/>
  <c r="J570" i="3" s="1"/>
  <c r="B570" i="3"/>
  <c r="D570" i="3" s="1"/>
  <c r="K569" i="3"/>
  <c r="H569" i="3"/>
  <c r="I569" i="3" s="1"/>
  <c r="J569" i="3" s="1"/>
  <c r="E569" i="3"/>
  <c r="C569" i="3"/>
  <c r="B569" i="3"/>
  <c r="D569" i="3" s="1"/>
  <c r="K568" i="3"/>
  <c r="G568" i="3"/>
  <c r="E568" i="3"/>
  <c r="F568" i="3" s="1"/>
  <c r="D568" i="3"/>
  <c r="C568" i="3"/>
  <c r="H568" i="3" s="1"/>
  <c r="I568" i="3" s="1"/>
  <c r="J568" i="3" s="1"/>
  <c r="B568" i="3"/>
  <c r="K567" i="3"/>
  <c r="F567" i="3"/>
  <c r="E567" i="3"/>
  <c r="G567" i="3" s="1"/>
  <c r="D567" i="3"/>
  <c r="C567" i="3"/>
  <c r="H567" i="3" s="1"/>
  <c r="I567" i="3" s="1"/>
  <c r="J567" i="3" s="1"/>
  <c r="B567" i="3"/>
  <c r="K566" i="3"/>
  <c r="E566" i="3"/>
  <c r="C566" i="3"/>
  <c r="H566" i="3" s="1"/>
  <c r="I566" i="3" s="1"/>
  <c r="J566" i="3" s="1"/>
  <c r="B566" i="3"/>
  <c r="D566" i="3" s="1"/>
  <c r="K565" i="3"/>
  <c r="H565" i="3"/>
  <c r="I565" i="3" s="1"/>
  <c r="J565" i="3" s="1"/>
  <c r="E565" i="3"/>
  <c r="C565" i="3"/>
  <c r="B565" i="3"/>
  <c r="D565" i="3" s="1"/>
  <c r="K564" i="3"/>
  <c r="G564" i="3"/>
  <c r="E564" i="3"/>
  <c r="F564" i="3" s="1"/>
  <c r="D564" i="3"/>
  <c r="C564" i="3"/>
  <c r="H564" i="3" s="1"/>
  <c r="I564" i="3" s="1"/>
  <c r="J564" i="3" s="1"/>
  <c r="B564" i="3"/>
  <c r="K563" i="3"/>
  <c r="F563" i="3"/>
  <c r="E563" i="3"/>
  <c r="G563" i="3" s="1"/>
  <c r="D563" i="3"/>
  <c r="C563" i="3"/>
  <c r="H563" i="3" s="1"/>
  <c r="I563" i="3" s="1"/>
  <c r="J563" i="3" s="1"/>
  <c r="B563" i="3"/>
  <c r="K562" i="3"/>
  <c r="E562" i="3"/>
  <c r="C562" i="3"/>
  <c r="H562" i="3" s="1"/>
  <c r="I562" i="3" s="1"/>
  <c r="J562" i="3" s="1"/>
  <c r="B562" i="3"/>
  <c r="D562" i="3" s="1"/>
  <c r="K561" i="3"/>
  <c r="H561" i="3"/>
  <c r="I561" i="3" s="1"/>
  <c r="J561" i="3" s="1"/>
  <c r="E561" i="3"/>
  <c r="C561" i="3"/>
  <c r="B561" i="3"/>
  <c r="D561" i="3" s="1"/>
  <c r="K560" i="3"/>
  <c r="G560" i="3"/>
  <c r="E560" i="3"/>
  <c r="F560" i="3" s="1"/>
  <c r="D560" i="3"/>
  <c r="C560" i="3"/>
  <c r="H560" i="3" s="1"/>
  <c r="I560" i="3" s="1"/>
  <c r="J560" i="3" s="1"/>
  <c r="B560" i="3"/>
  <c r="K559" i="3"/>
  <c r="F559" i="3"/>
  <c r="E559" i="3"/>
  <c r="G559" i="3" s="1"/>
  <c r="D559" i="3"/>
  <c r="C559" i="3"/>
  <c r="H559" i="3" s="1"/>
  <c r="I559" i="3" s="1"/>
  <c r="J559" i="3" s="1"/>
  <c r="B559" i="3"/>
  <c r="K558" i="3"/>
  <c r="E558" i="3"/>
  <c r="F558" i="3" s="1"/>
  <c r="D558" i="3"/>
  <c r="C558" i="3"/>
  <c r="H558" i="3" s="1"/>
  <c r="I558" i="3" s="1"/>
  <c r="J558" i="3" s="1"/>
  <c r="B558" i="3"/>
  <c r="K557" i="3"/>
  <c r="I557" i="3"/>
  <c r="J557" i="3" s="1"/>
  <c r="H557" i="3"/>
  <c r="G557" i="3"/>
  <c r="F557" i="3"/>
  <c r="E557" i="3"/>
  <c r="D557" i="3"/>
  <c r="C557" i="3"/>
  <c r="B557" i="3"/>
  <c r="K556" i="3"/>
  <c r="G556" i="3"/>
  <c r="F556" i="3"/>
  <c r="E556" i="3"/>
  <c r="C556" i="3"/>
  <c r="H556" i="3" s="1"/>
  <c r="I556" i="3" s="1"/>
  <c r="J556" i="3" s="1"/>
  <c r="B556" i="3"/>
  <c r="D556" i="3" s="1"/>
  <c r="K555" i="3"/>
  <c r="E555" i="3"/>
  <c r="C555" i="3"/>
  <c r="H555" i="3" s="1"/>
  <c r="I555" i="3" s="1"/>
  <c r="J555" i="3" s="1"/>
  <c r="B555" i="3"/>
  <c r="D555" i="3" s="1"/>
  <c r="K554" i="3"/>
  <c r="E554" i="3"/>
  <c r="D554" i="3"/>
  <c r="C554" i="3"/>
  <c r="H554" i="3" s="1"/>
  <c r="I554" i="3" s="1"/>
  <c r="J554" i="3" s="1"/>
  <c r="B554" i="3"/>
  <c r="K553" i="3"/>
  <c r="I553" i="3"/>
  <c r="J553" i="3" s="1"/>
  <c r="H553" i="3"/>
  <c r="G553" i="3"/>
  <c r="F553" i="3"/>
  <c r="E553" i="3"/>
  <c r="D553" i="3"/>
  <c r="C553" i="3"/>
  <c r="B553" i="3"/>
  <c r="K552" i="3"/>
  <c r="G552" i="3"/>
  <c r="F552" i="3"/>
  <c r="E552" i="3"/>
  <c r="C552" i="3"/>
  <c r="H552" i="3" s="1"/>
  <c r="I552" i="3" s="1"/>
  <c r="J552" i="3" s="1"/>
  <c r="B552" i="3"/>
  <c r="D552" i="3" s="1"/>
  <c r="L551" i="3"/>
  <c r="K551" i="3"/>
  <c r="F551" i="3"/>
  <c r="E551" i="3"/>
  <c r="D551" i="3"/>
  <c r="C551" i="3"/>
  <c r="H551" i="3" s="1"/>
  <c r="I551" i="3" s="1"/>
  <c r="J551" i="3" s="1"/>
  <c r="B551" i="3"/>
  <c r="K550" i="3"/>
  <c r="H550" i="3"/>
  <c r="I550" i="3" s="1"/>
  <c r="J550" i="3" s="1"/>
  <c r="E550" i="3"/>
  <c r="D550" i="3"/>
  <c r="C550" i="3"/>
  <c r="B550" i="3"/>
  <c r="K549" i="3"/>
  <c r="G549" i="3"/>
  <c r="F549" i="3"/>
  <c r="E549" i="3"/>
  <c r="B549" i="3"/>
  <c r="K548" i="3"/>
  <c r="G548" i="3"/>
  <c r="F548" i="3"/>
  <c r="E548" i="3"/>
  <c r="B548" i="3"/>
  <c r="K547" i="3"/>
  <c r="F547" i="3"/>
  <c r="E547" i="3"/>
  <c r="D547" i="3"/>
  <c r="C547" i="3"/>
  <c r="H547" i="3" s="1"/>
  <c r="I547" i="3" s="1"/>
  <c r="J547" i="3" s="1"/>
  <c r="B547" i="3"/>
  <c r="K546" i="3"/>
  <c r="H546" i="3"/>
  <c r="I546" i="3" s="1"/>
  <c r="J546" i="3" s="1"/>
  <c r="E546" i="3"/>
  <c r="D546" i="3"/>
  <c r="C546" i="3"/>
  <c r="B546" i="3"/>
  <c r="K545" i="3"/>
  <c r="G545" i="3"/>
  <c r="F545" i="3"/>
  <c r="E545" i="3"/>
  <c r="B545" i="3"/>
  <c r="K544" i="3"/>
  <c r="G544" i="3"/>
  <c r="F544" i="3"/>
  <c r="E544" i="3"/>
  <c r="B544" i="3"/>
  <c r="C544" i="3" s="1"/>
  <c r="H544" i="3" s="1"/>
  <c r="I544" i="3" s="1"/>
  <c r="J544" i="3" s="1"/>
  <c r="K543" i="3"/>
  <c r="F543" i="3"/>
  <c r="E543" i="3"/>
  <c r="D543" i="3"/>
  <c r="C543" i="3"/>
  <c r="H543" i="3" s="1"/>
  <c r="I543" i="3" s="1"/>
  <c r="J543" i="3" s="1"/>
  <c r="B543" i="3"/>
  <c r="K542" i="3"/>
  <c r="H542" i="3"/>
  <c r="I542" i="3" s="1"/>
  <c r="J542" i="3" s="1"/>
  <c r="E542" i="3"/>
  <c r="D542" i="3"/>
  <c r="C542" i="3"/>
  <c r="B542" i="3"/>
  <c r="K541" i="3"/>
  <c r="G541" i="3"/>
  <c r="F541" i="3"/>
  <c r="E541" i="3"/>
  <c r="B541" i="3"/>
  <c r="L540" i="3"/>
  <c r="K540" i="3"/>
  <c r="E540" i="3"/>
  <c r="B540" i="3"/>
  <c r="D540" i="3" s="1"/>
  <c r="L539" i="3"/>
  <c r="K539" i="3"/>
  <c r="H539" i="3"/>
  <c r="I539" i="3" s="1"/>
  <c r="J539" i="3" s="1"/>
  <c r="F539" i="3"/>
  <c r="E539" i="3"/>
  <c r="D539" i="3"/>
  <c r="C539" i="3"/>
  <c r="B539" i="3"/>
  <c r="L538" i="3"/>
  <c r="K538" i="3"/>
  <c r="H538" i="3"/>
  <c r="I538" i="3" s="1"/>
  <c r="J538" i="3" s="1"/>
  <c r="G538" i="3"/>
  <c r="F538" i="3"/>
  <c r="E538" i="3"/>
  <c r="C538" i="3"/>
  <c r="B538" i="3"/>
  <c r="D538" i="3" s="1"/>
  <c r="L537" i="3"/>
  <c r="K537" i="3"/>
  <c r="F537" i="3"/>
  <c r="E537" i="3"/>
  <c r="D537" i="3"/>
  <c r="C537" i="3"/>
  <c r="H537" i="3" s="1"/>
  <c r="I537" i="3" s="1"/>
  <c r="J537" i="3" s="1"/>
  <c r="B537" i="3"/>
  <c r="L536" i="3"/>
  <c r="K536" i="3"/>
  <c r="I536" i="3"/>
  <c r="J536" i="3" s="1"/>
  <c r="H536" i="3"/>
  <c r="F536" i="3"/>
  <c r="G536" i="3" s="1"/>
  <c r="E536" i="3"/>
  <c r="D536" i="3"/>
  <c r="C536" i="3"/>
  <c r="B536" i="3"/>
  <c r="L535" i="3"/>
  <c r="K535" i="3"/>
  <c r="G535" i="3"/>
  <c r="F535" i="3"/>
  <c r="E535" i="3"/>
  <c r="D535" i="3"/>
  <c r="B535" i="3"/>
  <c r="C535" i="3" s="1"/>
  <c r="H535" i="3" s="1"/>
  <c r="I535" i="3" s="1"/>
  <c r="J535" i="3" s="1"/>
  <c r="L534" i="3"/>
  <c r="K534" i="3"/>
  <c r="G534" i="3"/>
  <c r="E534" i="3"/>
  <c r="F534" i="3" s="1"/>
  <c r="D534" i="3"/>
  <c r="C534" i="3"/>
  <c r="H534" i="3" s="1"/>
  <c r="I534" i="3" s="1"/>
  <c r="J534" i="3" s="1"/>
  <c r="B534" i="3"/>
  <c r="L533" i="3"/>
  <c r="K533" i="3"/>
  <c r="G533" i="3"/>
  <c r="F533" i="3"/>
  <c r="E533" i="3"/>
  <c r="B533" i="3"/>
  <c r="L532" i="3"/>
  <c r="K532" i="3"/>
  <c r="E532" i="3"/>
  <c r="B532" i="3"/>
  <c r="D532" i="3" s="1"/>
  <c r="L531" i="3"/>
  <c r="K531" i="3"/>
  <c r="H531" i="3"/>
  <c r="I531" i="3" s="1"/>
  <c r="J531" i="3" s="1"/>
  <c r="F531" i="3"/>
  <c r="E531" i="3"/>
  <c r="D531" i="3"/>
  <c r="C531" i="3"/>
  <c r="B531" i="3"/>
  <c r="L530" i="3"/>
  <c r="K530" i="3"/>
  <c r="H530" i="3"/>
  <c r="I530" i="3" s="1"/>
  <c r="J530" i="3" s="1"/>
  <c r="G530" i="3"/>
  <c r="F530" i="3"/>
  <c r="E530" i="3"/>
  <c r="C530" i="3"/>
  <c r="B530" i="3"/>
  <c r="D530" i="3" s="1"/>
  <c r="L529" i="3"/>
  <c r="K529" i="3"/>
  <c r="F529" i="3"/>
  <c r="E529" i="3"/>
  <c r="D529" i="3"/>
  <c r="C529" i="3"/>
  <c r="H529" i="3" s="1"/>
  <c r="I529" i="3" s="1"/>
  <c r="J529" i="3" s="1"/>
  <c r="B529" i="3"/>
  <c r="L528" i="3"/>
  <c r="K528" i="3"/>
  <c r="I528" i="3"/>
  <c r="J528" i="3" s="1"/>
  <c r="H528" i="3"/>
  <c r="F528" i="3"/>
  <c r="G528" i="3" s="1"/>
  <c r="E528" i="3"/>
  <c r="D528" i="3"/>
  <c r="C528" i="3"/>
  <c r="B528" i="3"/>
  <c r="M527" i="3"/>
  <c r="L527" i="3"/>
  <c r="K527" i="3"/>
  <c r="J527" i="3"/>
  <c r="E527" i="3"/>
  <c r="C527" i="3"/>
  <c r="H527" i="3" s="1"/>
  <c r="I527" i="3" s="1"/>
  <c r="B527" i="3"/>
  <c r="D527" i="3" s="1"/>
  <c r="M526" i="3"/>
  <c r="L526" i="3"/>
  <c r="K526" i="3"/>
  <c r="I526" i="3"/>
  <c r="J526" i="3" s="1"/>
  <c r="H526" i="3"/>
  <c r="F526" i="3"/>
  <c r="G526" i="3" s="1"/>
  <c r="E526" i="3"/>
  <c r="D526" i="3"/>
  <c r="C526" i="3"/>
  <c r="B526" i="3"/>
  <c r="M525" i="3"/>
  <c r="L525" i="3"/>
  <c r="K525" i="3"/>
  <c r="E525" i="3"/>
  <c r="C525" i="3"/>
  <c r="H525" i="3" s="1"/>
  <c r="I525" i="3" s="1"/>
  <c r="J525" i="3" s="1"/>
  <c r="B525" i="3"/>
  <c r="D525" i="3" s="1"/>
  <c r="K524" i="3"/>
  <c r="G524" i="3"/>
  <c r="E524" i="3"/>
  <c r="F524" i="3" s="1"/>
  <c r="D524" i="3"/>
  <c r="C524" i="3"/>
  <c r="H524" i="3" s="1"/>
  <c r="I524" i="3" s="1"/>
  <c r="J524" i="3" s="1"/>
  <c r="B524" i="3"/>
  <c r="K523" i="3"/>
  <c r="I523" i="3"/>
  <c r="J523" i="3" s="1"/>
  <c r="H523" i="3"/>
  <c r="G523" i="3"/>
  <c r="F523" i="3"/>
  <c r="E523" i="3"/>
  <c r="D523" i="3"/>
  <c r="C523" i="3"/>
  <c r="B523" i="3"/>
  <c r="K522" i="3"/>
  <c r="H522" i="3"/>
  <c r="I522" i="3" s="1"/>
  <c r="J522" i="3" s="1"/>
  <c r="G522" i="3"/>
  <c r="F522" i="3"/>
  <c r="E522" i="3"/>
  <c r="C522" i="3"/>
  <c r="B522" i="3"/>
  <c r="D522" i="3" s="1"/>
  <c r="K521" i="3"/>
  <c r="J521" i="3"/>
  <c r="E521" i="3"/>
  <c r="C521" i="3"/>
  <c r="H521" i="3" s="1"/>
  <c r="I521" i="3" s="1"/>
  <c r="B521" i="3"/>
  <c r="D521" i="3" s="1"/>
  <c r="K520" i="3"/>
  <c r="E520" i="3"/>
  <c r="D520" i="3"/>
  <c r="C520" i="3"/>
  <c r="H520" i="3" s="1"/>
  <c r="I520" i="3" s="1"/>
  <c r="J520" i="3" s="1"/>
  <c r="B520" i="3"/>
  <c r="K519" i="3"/>
  <c r="I519" i="3"/>
  <c r="J519" i="3" s="1"/>
  <c r="H519" i="3"/>
  <c r="F519" i="3"/>
  <c r="G519" i="3" s="1"/>
  <c r="E519" i="3"/>
  <c r="D519" i="3"/>
  <c r="C519" i="3"/>
  <c r="B519" i="3"/>
  <c r="K518" i="3"/>
  <c r="G518" i="3"/>
  <c r="F518" i="3"/>
  <c r="E518" i="3"/>
  <c r="C518" i="3"/>
  <c r="H518" i="3" s="1"/>
  <c r="I518" i="3" s="1"/>
  <c r="J518" i="3" s="1"/>
  <c r="B518" i="3"/>
  <c r="D518" i="3" s="1"/>
  <c r="K517" i="3"/>
  <c r="E517" i="3"/>
  <c r="C517" i="3"/>
  <c r="H517" i="3" s="1"/>
  <c r="I517" i="3" s="1"/>
  <c r="J517" i="3" s="1"/>
  <c r="B517" i="3"/>
  <c r="D517" i="3" s="1"/>
  <c r="K516" i="3"/>
  <c r="G516" i="3"/>
  <c r="E516" i="3"/>
  <c r="F516" i="3" s="1"/>
  <c r="D516" i="3"/>
  <c r="C516" i="3"/>
  <c r="H516" i="3" s="1"/>
  <c r="I516" i="3" s="1"/>
  <c r="J516" i="3" s="1"/>
  <c r="B516" i="3"/>
  <c r="K515" i="3"/>
  <c r="I515" i="3"/>
  <c r="J515" i="3" s="1"/>
  <c r="H515" i="3"/>
  <c r="G515" i="3"/>
  <c r="F515" i="3"/>
  <c r="E515" i="3"/>
  <c r="D515" i="3"/>
  <c r="C515" i="3"/>
  <c r="B515" i="3"/>
  <c r="L514" i="3"/>
  <c r="K514" i="3"/>
  <c r="G514" i="3"/>
  <c r="F514" i="3"/>
  <c r="E514" i="3"/>
  <c r="B514" i="3"/>
  <c r="M513" i="3"/>
  <c r="L513" i="3"/>
  <c r="K513" i="3"/>
  <c r="H513" i="3"/>
  <c r="I513" i="3" s="1"/>
  <c r="J513" i="3" s="1"/>
  <c r="E513" i="3"/>
  <c r="D513" i="3"/>
  <c r="C513" i="3"/>
  <c r="B513" i="3"/>
  <c r="L512" i="3"/>
  <c r="K512" i="3"/>
  <c r="G512" i="3"/>
  <c r="F512" i="3"/>
  <c r="E512" i="3"/>
  <c r="C512" i="3"/>
  <c r="H512" i="3" s="1"/>
  <c r="I512" i="3" s="1"/>
  <c r="J512" i="3" s="1"/>
  <c r="B512" i="3"/>
  <c r="D512" i="3" s="1"/>
  <c r="L511" i="3"/>
  <c r="K511" i="3"/>
  <c r="F511" i="3"/>
  <c r="E511" i="3"/>
  <c r="D511" i="3"/>
  <c r="C511" i="3"/>
  <c r="H511" i="3" s="1"/>
  <c r="I511" i="3" s="1"/>
  <c r="J511" i="3" s="1"/>
  <c r="B511" i="3"/>
  <c r="L510" i="3"/>
  <c r="K510" i="3"/>
  <c r="I510" i="3"/>
  <c r="J510" i="3" s="1"/>
  <c r="H510" i="3"/>
  <c r="E510" i="3"/>
  <c r="D510" i="3"/>
  <c r="C510" i="3"/>
  <c r="B510" i="3"/>
  <c r="L509" i="3"/>
  <c r="K509" i="3"/>
  <c r="G509" i="3"/>
  <c r="F509" i="3"/>
  <c r="E509" i="3"/>
  <c r="B509" i="3"/>
  <c r="L508" i="3"/>
  <c r="K508" i="3"/>
  <c r="G508" i="3"/>
  <c r="E508" i="3"/>
  <c r="F508" i="3" s="1"/>
  <c r="D508" i="3"/>
  <c r="C508" i="3"/>
  <c r="H508" i="3" s="1"/>
  <c r="I508" i="3" s="1"/>
  <c r="J508" i="3" s="1"/>
  <c r="B508" i="3"/>
  <c r="L507" i="3"/>
  <c r="K507" i="3"/>
  <c r="G507" i="3"/>
  <c r="F507" i="3"/>
  <c r="E507" i="3"/>
  <c r="B507" i="3"/>
  <c r="L506" i="3"/>
  <c r="K506" i="3"/>
  <c r="E506" i="3"/>
  <c r="B506" i="3"/>
  <c r="D506" i="3" s="1"/>
  <c r="L505" i="3"/>
  <c r="K505" i="3"/>
  <c r="H505" i="3"/>
  <c r="I505" i="3" s="1"/>
  <c r="J505" i="3" s="1"/>
  <c r="E505" i="3"/>
  <c r="D505" i="3"/>
  <c r="C505" i="3"/>
  <c r="B505" i="3"/>
  <c r="M504" i="3"/>
  <c r="L504" i="3"/>
  <c r="K504" i="3"/>
  <c r="I504" i="3"/>
  <c r="J504" i="3" s="1"/>
  <c r="G504" i="3"/>
  <c r="F504" i="3"/>
  <c r="E504" i="3"/>
  <c r="B504" i="3"/>
  <c r="C504" i="3" s="1"/>
  <c r="H504" i="3" s="1"/>
  <c r="L503" i="3"/>
  <c r="K503" i="3"/>
  <c r="F503" i="3"/>
  <c r="E503" i="3"/>
  <c r="G503" i="3" s="1"/>
  <c r="D503" i="3"/>
  <c r="C503" i="3"/>
  <c r="H503" i="3" s="1"/>
  <c r="I503" i="3" s="1"/>
  <c r="J503" i="3" s="1"/>
  <c r="B503" i="3"/>
  <c r="L502" i="3"/>
  <c r="K502" i="3"/>
  <c r="G502" i="3"/>
  <c r="F502" i="3"/>
  <c r="E502" i="3"/>
  <c r="B502" i="3"/>
  <c r="L501" i="3"/>
  <c r="K501" i="3"/>
  <c r="E501" i="3"/>
  <c r="D501" i="3"/>
  <c r="C501" i="3"/>
  <c r="H501" i="3" s="1"/>
  <c r="I501" i="3" s="1"/>
  <c r="J501" i="3" s="1"/>
  <c r="B501" i="3"/>
  <c r="L500" i="3"/>
  <c r="K500" i="3"/>
  <c r="E500" i="3"/>
  <c r="F500" i="3" s="1"/>
  <c r="D500" i="3"/>
  <c r="C500" i="3"/>
  <c r="H500" i="3" s="1"/>
  <c r="I500" i="3" s="1"/>
  <c r="J500" i="3" s="1"/>
  <c r="B500" i="3"/>
  <c r="L499" i="3"/>
  <c r="K499" i="3"/>
  <c r="J499" i="3"/>
  <c r="H499" i="3"/>
  <c r="I499" i="3" s="1"/>
  <c r="G499" i="3"/>
  <c r="F499" i="3"/>
  <c r="E499" i="3"/>
  <c r="C499" i="3"/>
  <c r="B499" i="3"/>
  <c r="D499" i="3" s="1"/>
  <c r="M498" i="3"/>
  <c r="L498" i="3"/>
  <c r="K498" i="3"/>
  <c r="E498" i="3"/>
  <c r="F498" i="3" s="1"/>
  <c r="G498" i="3" s="1"/>
  <c r="C498" i="3"/>
  <c r="H498" i="3" s="1"/>
  <c r="I498" i="3" s="1"/>
  <c r="J498" i="3" s="1"/>
  <c r="B498" i="3"/>
  <c r="D498" i="3" s="1"/>
  <c r="L497" i="3"/>
  <c r="K497" i="3"/>
  <c r="F497" i="3"/>
  <c r="E497" i="3"/>
  <c r="B497" i="3"/>
  <c r="L496" i="3"/>
  <c r="K496" i="3"/>
  <c r="E496" i="3"/>
  <c r="C496" i="3"/>
  <c r="H496" i="3" s="1"/>
  <c r="I496" i="3" s="1"/>
  <c r="J496" i="3" s="1"/>
  <c r="B496" i="3"/>
  <c r="D496" i="3" s="1"/>
  <c r="L495" i="3"/>
  <c r="K495" i="3"/>
  <c r="F495" i="3"/>
  <c r="E495" i="3"/>
  <c r="G495" i="3" s="1"/>
  <c r="D495" i="3"/>
  <c r="C495" i="3"/>
  <c r="H495" i="3" s="1"/>
  <c r="I495" i="3" s="1"/>
  <c r="J495" i="3" s="1"/>
  <c r="B495" i="3"/>
  <c r="L494" i="3"/>
  <c r="K494" i="3"/>
  <c r="F494" i="3"/>
  <c r="G494" i="3" s="1"/>
  <c r="E494" i="3"/>
  <c r="B494" i="3"/>
  <c r="D494" i="3" s="1"/>
  <c r="M493" i="3"/>
  <c r="L493" i="3"/>
  <c r="K493" i="3"/>
  <c r="G493" i="3"/>
  <c r="F493" i="3"/>
  <c r="E493" i="3"/>
  <c r="B493" i="3"/>
  <c r="L492" i="3"/>
  <c r="K492" i="3"/>
  <c r="E492" i="3"/>
  <c r="B492" i="3"/>
  <c r="K491" i="3"/>
  <c r="F491" i="3"/>
  <c r="G491" i="3" s="1"/>
  <c r="E491" i="3"/>
  <c r="D491" i="3"/>
  <c r="C491" i="3"/>
  <c r="H491" i="3" s="1"/>
  <c r="I491" i="3" s="1"/>
  <c r="J491" i="3" s="1"/>
  <c r="B491" i="3"/>
  <c r="K490" i="3"/>
  <c r="H490" i="3"/>
  <c r="I490" i="3" s="1"/>
  <c r="J490" i="3" s="1"/>
  <c r="E490" i="3"/>
  <c r="D490" i="3"/>
  <c r="C490" i="3"/>
  <c r="B490" i="3"/>
  <c r="K489" i="3"/>
  <c r="H489" i="3"/>
  <c r="I489" i="3" s="1"/>
  <c r="J489" i="3" s="1"/>
  <c r="E489" i="3"/>
  <c r="D489" i="3"/>
  <c r="B489" i="3"/>
  <c r="C489" i="3" s="1"/>
  <c r="K488" i="3"/>
  <c r="J488" i="3"/>
  <c r="H488" i="3"/>
  <c r="I488" i="3" s="1"/>
  <c r="G488" i="3"/>
  <c r="F488" i="3"/>
  <c r="E488" i="3"/>
  <c r="D488" i="3"/>
  <c r="B488" i="3"/>
  <c r="C488" i="3" s="1"/>
  <c r="M487" i="3"/>
  <c r="L487" i="3"/>
  <c r="K487" i="3"/>
  <c r="J487" i="3"/>
  <c r="F487" i="3"/>
  <c r="E487" i="3"/>
  <c r="D487" i="3"/>
  <c r="B487" i="3"/>
  <c r="C487" i="3" s="1"/>
  <c r="H487" i="3" s="1"/>
  <c r="I487" i="3" s="1"/>
  <c r="L486" i="3"/>
  <c r="K486" i="3"/>
  <c r="F486" i="3"/>
  <c r="E486" i="3"/>
  <c r="G486" i="3" s="1"/>
  <c r="D486" i="3"/>
  <c r="C486" i="3"/>
  <c r="H486" i="3" s="1"/>
  <c r="I486" i="3" s="1"/>
  <c r="J486" i="3" s="1"/>
  <c r="B486" i="3"/>
  <c r="L485" i="3"/>
  <c r="K485" i="3"/>
  <c r="I485" i="3"/>
  <c r="J485" i="3" s="1"/>
  <c r="H485" i="3"/>
  <c r="G485" i="3"/>
  <c r="F485" i="3"/>
  <c r="E485" i="3"/>
  <c r="C485" i="3"/>
  <c r="B485" i="3"/>
  <c r="D485" i="3" s="1"/>
  <c r="L484" i="3"/>
  <c r="K484" i="3"/>
  <c r="I484" i="3"/>
  <c r="J484" i="3" s="1"/>
  <c r="E484" i="3"/>
  <c r="F484" i="3" s="1"/>
  <c r="G484" i="3" s="1"/>
  <c r="C484" i="3"/>
  <c r="H484" i="3" s="1"/>
  <c r="B484" i="3"/>
  <c r="D484" i="3" s="1"/>
  <c r="L483" i="3"/>
  <c r="K483" i="3"/>
  <c r="F483" i="3"/>
  <c r="E483" i="3"/>
  <c r="D483" i="3"/>
  <c r="B483" i="3"/>
  <c r="C483" i="3" s="1"/>
  <c r="H483" i="3" s="1"/>
  <c r="I483" i="3" s="1"/>
  <c r="J483" i="3" s="1"/>
  <c r="L482" i="3"/>
  <c r="K482" i="3"/>
  <c r="H482" i="3"/>
  <c r="I482" i="3" s="1"/>
  <c r="J482" i="3" s="1"/>
  <c r="G482" i="3"/>
  <c r="E482" i="3"/>
  <c r="F482" i="3" s="1"/>
  <c r="D482" i="3"/>
  <c r="C482" i="3"/>
  <c r="B482" i="3"/>
  <c r="K481" i="3"/>
  <c r="E481" i="3"/>
  <c r="D481" i="3"/>
  <c r="B481" i="3"/>
  <c r="C481" i="3" s="1"/>
  <c r="H481" i="3" s="1"/>
  <c r="I481" i="3" s="1"/>
  <c r="J481" i="3" s="1"/>
  <c r="K480" i="3"/>
  <c r="H480" i="3"/>
  <c r="I480" i="3" s="1"/>
  <c r="J480" i="3" s="1"/>
  <c r="F480" i="3"/>
  <c r="G480" i="3" s="1"/>
  <c r="E480" i="3"/>
  <c r="D480" i="3"/>
  <c r="C480" i="3"/>
  <c r="B480" i="3"/>
  <c r="K479" i="3"/>
  <c r="E479" i="3"/>
  <c r="F479" i="3" s="1"/>
  <c r="G479" i="3" s="1"/>
  <c r="B479" i="3"/>
  <c r="K478" i="3"/>
  <c r="E478" i="3"/>
  <c r="F478" i="3" s="1"/>
  <c r="B478" i="3"/>
  <c r="K477" i="3"/>
  <c r="F477" i="3"/>
  <c r="E477" i="3"/>
  <c r="G477" i="3" s="1"/>
  <c r="C477" i="3"/>
  <c r="H477" i="3" s="1"/>
  <c r="I477" i="3" s="1"/>
  <c r="J477" i="3" s="1"/>
  <c r="B477" i="3"/>
  <c r="D477" i="3" s="1"/>
  <c r="K476" i="3"/>
  <c r="E476" i="3"/>
  <c r="D476" i="3"/>
  <c r="C476" i="3"/>
  <c r="H476" i="3" s="1"/>
  <c r="I476" i="3" s="1"/>
  <c r="J476" i="3" s="1"/>
  <c r="B476" i="3"/>
  <c r="K475" i="3"/>
  <c r="E475" i="3"/>
  <c r="C475" i="3"/>
  <c r="H475" i="3" s="1"/>
  <c r="I475" i="3" s="1"/>
  <c r="J475" i="3" s="1"/>
  <c r="B475" i="3"/>
  <c r="D475" i="3" s="1"/>
  <c r="K474" i="3"/>
  <c r="H474" i="3"/>
  <c r="I474" i="3" s="1"/>
  <c r="J474" i="3" s="1"/>
  <c r="E474" i="3"/>
  <c r="F474" i="3" s="1"/>
  <c r="D474" i="3"/>
  <c r="C474" i="3"/>
  <c r="B474" i="3"/>
  <c r="L473" i="3"/>
  <c r="K473" i="3"/>
  <c r="H473" i="3"/>
  <c r="I473" i="3" s="1"/>
  <c r="J473" i="3" s="1"/>
  <c r="G473" i="3"/>
  <c r="F473" i="3"/>
  <c r="E473" i="3"/>
  <c r="C473" i="3"/>
  <c r="B473" i="3"/>
  <c r="D473" i="3" s="1"/>
  <c r="L472" i="3"/>
  <c r="K472" i="3"/>
  <c r="F472" i="3"/>
  <c r="E472" i="3"/>
  <c r="G472" i="3" s="1"/>
  <c r="C472" i="3"/>
  <c r="H472" i="3" s="1"/>
  <c r="I472" i="3" s="1"/>
  <c r="J472" i="3" s="1"/>
  <c r="B472" i="3"/>
  <c r="D472" i="3" s="1"/>
  <c r="M471" i="3"/>
  <c r="L471" i="3"/>
  <c r="K471" i="3"/>
  <c r="F471" i="3"/>
  <c r="E471" i="3"/>
  <c r="D471" i="3"/>
  <c r="C471" i="3"/>
  <c r="H471" i="3" s="1"/>
  <c r="I471" i="3" s="1"/>
  <c r="J471" i="3" s="1"/>
  <c r="B471" i="3"/>
  <c r="L470" i="3"/>
  <c r="K470" i="3"/>
  <c r="H470" i="3"/>
  <c r="I470" i="3" s="1"/>
  <c r="J470" i="3" s="1"/>
  <c r="F470" i="3"/>
  <c r="G470" i="3" s="1"/>
  <c r="E470" i="3"/>
  <c r="B470" i="3"/>
  <c r="C470" i="3" s="1"/>
  <c r="L469" i="3"/>
  <c r="K469" i="3"/>
  <c r="G469" i="3"/>
  <c r="E469" i="3"/>
  <c r="F469" i="3" s="1"/>
  <c r="B469" i="3"/>
  <c r="L468" i="3"/>
  <c r="K468" i="3"/>
  <c r="F468" i="3"/>
  <c r="E468" i="3"/>
  <c r="G468" i="3" s="1"/>
  <c r="D468" i="3"/>
  <c r="C468" i="3"/>
  <c r="H468" i="3" s="1"/>
  <c r="I468" i="3" s="1"/>
  <c r="J468" i="3" s="1"/>
  <c r="B468" i="3"/>
  <c r="L467" i="3"/>
  <c r="K467" i="3"/>
  <c r="F467" i="3"/>
  <c r="E467" i="3"/>
  <c r="G467" i="3" s="1"/>
  <c r="C467" i="3"/>
  <c r="H467" i="3" s="1"/>
  <c r="I467" i="3" s="1"/>
  <c r="J467" i="3" s="1"/>
  <c r="B467" i="3"/>
  <c r="D467" i="3" s="1"/>
  <c r="L466" i="3"/>
  <c r="K466" i="3"/>
  <c r="F466" i="3"/>
  <c r="E466" i="3"/>
  <c r="D466" i="3"/>
  <c r="B466" i="3"/>
  <c r="C466" i="3" s="1"/>
  <c r="H466" i="3" s="1"/>
  <c r="I466" i="3" s="1"/>
  <c r="J466" i="3" s="1"/>
  <c r="M465" i="3"/>
  <c r="L465" i="3"/>
  <c r="K465" i="3"/>
  <c r="I465" i="3"/>
  <c r="J465" i="3" s="1"/>
  <c r="F465" i="3"/>
  <c r="E465" i="3"/>
  <c r="G465" i="3" s="1"/>
  <c r="D465" i="3"/>
  <c r="B465" i="3"/>
  <c r="C465" i="3" s="1"/>
  <c r="H465" i="3" s="1"/>
  <c r="L464" i="3"/>
  <c r="K464" i="3"/>
  <c r="E464" i="3"/>
  <c r="B464" i="3"/>
  <c r="L463" i="3"/>
  <c r="K463" i="3"/>
  <c r="E463" i="3"/>
  <c r="F463" i="3" s="1"/>
  <c r="G463" i="3" s="1"/>
  <c r="D463" i="3"/>
  <c r="C463" i="3"/>
  <c r="H463" i="3" s="1"/>
  <c r="I463" i="3" s="1"/>
  <c r="J463" i="3" s="1"/>
  <c r="B463" i="3"/>
  <c r="L462" i="3"/>
  <c r="K462" i="3"/>
  <c r="J462" i="3"/>
  <c r="H462" i="3"/>
  <c r="I462" i="3" s="1"/>
  <c r="G462" i="3"/>
  <c r="F462" i="3"/>
  <c r="E462" i="3"/>
  <c r="C462" i="3"/>
  <c r="B462" i="3"/>
  <c r="D462" i="3" s="1"/>
  <c r="L461" i="3"/>
  <c r="K461" i="3"/>
  <c r="E461" i="3"/>
  <c r="B461" i="3"/>
  <c r="L460" i="3"/>
  <c r="K460" i="3"/>
  <c r="E460" i="3"/>
  <c r="D460" i="3"/>
  <c r="C460" i="3"/>
  <c r="H460" i="3" s="1"/>
  <c r="I460" i="3" s="1"/>
  <c r="J460" i="3" s="1"/>
  <c r="B460" i="3"/>
  <c r="L459" i="3"/>
  <c r="K459" i="3"/>
  <c r="H459" i="3"/>
  <c r="I459" i="3" s="1"/>
  <c r="J459" i="3" s="1"/>
  <c r="G459" i="3"/>
  <c r="F459" i="3"/>
  <c r="E459" i="3"/>
  <c r="D459" i="3"/>
  <c r="B459" i="3"/>
  <c r="C459" i="3" s="1"/>
  <c r="M458" i="3"/>
  <c r="L458" i="3"/>
  <c r="K458" i="3"/>
  <c r="J458" i="3"/>
  <c r="E458" i="3"/>
  <c r="F458" i="3" s="1"/>
  <c r="G458" i="3" s="1"/>
  <c r="C458" i="3"/>
  <c r="H458" i="3" s="1"/>
  <c r="I458" i="3" s="1"/>
  <c r="B458" i="3"/>
  <c r="D458" i="3" s="1"/>
  <c r="M457" i="3"/>
  <c r="L457" i="3"/>
  <c r="K457" i="3"/>
  <c r="G457" i="3"/>
  <c r="F457" i="3"/>
  <c r="E457" i="3"/>
  <c r="D457" i="3"/>
  <c r="C457" i="3"/>
  <c r="H457" i="3" s="1"/>
  <c r="I457" i="3" s="1"/>
  <c r="J457" i="3" s="1"/>
  <c r="B457" i="3"/>
  <c r="L456" i="3"/>
  <c r="K456" i="3"/>
  <c r="J456" i="3"/>
  <c r="I456" i="3"/>
  <c r="F456" i="3"/>
  <c r="G456" i="3" s="1"/>
  <c r="E456" i="3"/>
  <c r="C456" i="3"/>
  <c r="H456" i="3" s="1"/>
  <c r="B456" i="3"/>
  <c r="D456" i="3" s="1"/>
  <c r="M455" i="3"/>
  <c r="L455" i="3"/>
  <c r="K455" i="3"/>
  <c r="E455" i="3"/>
  <c r="B455" i="3"/>
  <c r="L454" i="3"/>
  <c r="K454" i="3"/>
  <c r="F454" i="3"/>
  <c r="E454" i="3"/>
  <c r="D454" i="3"/>
  <c r="C454" i="3"/>
  <c r="H454" i="3" s="1"/>
  <c r="I454" i="3" s="1"/>
  <c r="J454" i="3" s="1"/>
  <c r="B454" i="3"/>
  <c r="M453" i="3"/>
  <c r="L453" i="3"/>
  <c r="K453" i="3"/>
  <c r="H453" i="3"/>
  <c r="I453" i="3" s="1"/>
  <c r="J453" i="3" s="1"/>
  <c r="G453" i="3"/>
  <c r="F453" i="3"/>
  <c r="E453" i="3"/>
  <c r="D453" i="3"/>
  <c r="B453" i="3"/>
  <c r="C453" i="3" s="1"/>
  <c r="L452" i="3"/>
  <c r="K452" i="3"/>
  <c r="E452" i="3"/>
  <c r="F452" i="3" s="1"/>
  <c r="C452" i="3"/>
  <c r="H452" i="3" s="1"/>
  <c r="I452" i="3" s="1"/>
  <c r="J452" i="3" s="1"/>
  <c r="B452" i="3"/>
  <c r="D452" i="3" s="1"/>
  <c r="L451" i="3"/>
  <c r="K451" i="3"/>
  <c r="E451" i="3"/>
  <c r="C451" i="3"/>
  <c r="H451" i="3" s="1"/>
  <c r="I451" i="3" s="1"/>
  <c r="J451" i="3" s="1"/>
  <c r="B451" i="3"/>
  <c r="D451" i="3" s="1"/>
  <c r="K450" i="3"/>
  <c r="G450" i="3"/>
  <c r="E450" i="3"/>
  <c r="F450" i="3" s="1"/>
  <c r="D450" i="3"/>
  <c r="B450" i="3"/>
  <c r="C450" i="3" s="1"/>
  <c r="H450" i="3" s="1"/>
  <c r="I450" i="3" s="1"/>
  <c r="J450" i="3" s="1"/>
  <c r="M449" i="3"/>
  <c r="L449" i="3"/>
  <c r="K449" i="3"/>
  <c r="F449" i="3"/>
  <c r="E449" i="3"/>
  <c r="B449" i="3"/>
  <c r="D449" i="3" s="1"/>
  <c r="K448" i="3"/>
  <c r="G448" i="3"/>
  <c r="F448" i="3"/>
  <c r="E448" i="3"/>
  <c r="B448" i="3"/>
  <c r="K447" i="3"/>
  <c r="E447" i="3"/>
  <c r="B447" i="3"/>
  <c r="K446" i="3"/>
  <c r="F446" i="3"/>
  <c r="G446" i="3" s="1"/>
  <c r="E446" i="3"/>
  <c r="D446" i="3"/>
  <c r="C446" i="3"/>
  <c r="H446" i="3" s="1"/>
  <c r="I446" i="3" s="1"/>
  <c r="J446" i="3" s="1"/>
  <c r="B446" i="3"/>
  <c r="K445" i="3"/>
  <c r="E445" i="3"/>
  <c r="D445" i="3"/>
  <c r="C445" i="3"/>
  <c r="H445" i="3" s="1"/>
  <c r="I445" i="3" s="1"/>
  <c r="J445" i="3" s="1"/>
  <c r="B445" i="3"/>
  <c r="K444" i="3"/>
  <c r="H444" i="3"/>
  <c r="I444" i="3" s="1"/>
  <c r="J444" i="3" s="1"/>
  <c r="E444" i="3"/>
  <c r="F444" i="3" s="1"/>
  <c r="G444" i="3" s="1"/>
  <c r="D444" i="3"/>
  <c r="C444" i="3"/>
  <c r="B444" i="3"/>
  <c r="K443" i="3"/>
  <c r="H443" i="3"/>
  <c r="I443" i="3" s="1"/>
  <c r="J443" i="3" s="1"/>
  <c r="F443" i="3"/>
  <c r="G443" i="3" s="1"/>
  <c r="E443" i="3"/>
  <c r="B443" i="3"/>
  <c r="C443" i="3" s="1"/>
  <c r="K442" i="3"/>
  <c r="G442" i="3"/>
  <c r="F442" i="3"/>
  <c r="E442" i="3"/>
  <c r="B442" i="3"/>
  <c r="L441" i="3"/>
  <c r="K441" i="3"/>
  <c r="E441" i="3"/>
  <c r="B441" i="3"/>
  <c r="D441" i="3" s="1"/>
  <c r="K440" i="3"/>
  <c r="E440" i="3"/>
  <c r="D440" i="3"/>
  <c r="C440" i="3"/>
  <c r="H440" i="3" s="1"/>
  <c r="I440" i="3" s="1"/>
  <c r="J440" i="3" s="1"/>
  <c r="B440" i="3"/>
  <c r="K439" i="3"/>
  <c r="F439" i="3"/>
  <c r="E439" i="3"/>
  <c r="G439" i="3" s="1"/>
  <c r="C439" i="3"/>
  <c r="H439" i="3" s="1"/>
  <c r="I439" i="3" s="1"/>
  <c r="J439" i="3" s="1"/>
  <c r="B439" i="3"/>
  <c r="D439" i="3" s="1"/>
  <c r="O438" i="3"/>
  <c r="N438" i="3"/>
  <c r="M438" i="3"/>
  <c r="L438" i="3"/>
  <c r="K438" i="3"/>
  <c r="H438" i="3"/>
  <c r="I438" i="3" s="1"/>
  <c r="J438" i="3" s="1"/>
  <c r="E438" i="3"/>
  <c r="F438" i="3" s="1"/>
  <c r="G438" i="3" s="1"/>
  <c r="D438" i="3"/>
  <c r="C438" i="3"/>
  <c r="B438" i="3"/>
  <c r="K437" i="3"/>
  <c r="E437" i="3"/>
  <c r="B437" i="3"/>
  <c r="K436" i="3"/>
  <c r="E436" i="3"/>
  <c r="B436" i="3"/>
  <c r="D436" i="3" s="1"/>
  <c r="K435" i="3"/>
  <c r="F435" i="3"/>
  <c r="E435" i="3"/>
  <c r="D435" i="3"/>
  <c r="C435" i="3"/>
  <c r="H435" i="3" s="1"/>
  <c r="I435" i="3" s="1"/>
  <c r="J435" i="3" s="1"/>
  <c r="B435" i="3"/>
  <c r="K434" i="3"/>
  <c r="H434" i="3"/>
  <c r="I434" i="3" s="1"/>
  <c r="J434" i="3" s="1"/>
  <c r="E434" i="3"/>
  <c r="D434" i="3"/>
  <c r="C434" i="3"/>
  <c r="B434" i="3"/>
  <c r="K433" i="3"/>
  <c r="G433" i="3"/>
  <c r="F433" i="3"/>
  <c r="E433" i="3"/>
  <c r="B433" i="3"/>
  <c r="D433" i="3" s="1"/>
  <c r="K432" i="3"/>
  <c r="G432" i="3"/>
  <c r="F432" i="3"/>
  <c r="E432" i="3"/>
  <c r="B432" i="3"/>
  <c r="P431" i="3"/>
  <c r="O431" i="3"/>
  <c r="N431" i="3"/>
  <c r="M431" i="3"/>
  <c r="L431" i="3"/>
  <c r="K431" i="3"/>
  <c r="F431" i="3"/>
  <c r="G431" i="3" s="1"/>
  <c r="E431" i="3"/>
  <c r="B431" i="3"/>
  <c r="D431" i="3" s="1"/>
  <c r="K430" i="3"/>
  <c r="E430" i="3"/>
  <c r="F430" i="3" s="1"/>
  <c r="G430" i="3" s="1"/>
  <c r="B430" i="3"/>
  <c r="D430" i="3" s="1"/>
  <c r="K429" i="3"/>
  <c r="J429" i="3"/>
  <c r="E429" i="3"/>
  <c r="D429" i="3"/>
  <c r="C429" i="3"/>
  <c r="H429" i="3" s="1"/>
  <c r="I429" i="3" s="1"/>
  <c r="B429" i="3"/>
  <c r="K428" i="3"/>
  <c r="H428" i="3"/>
  <c r="I428" i="3" s="1"/>
  <c r="J428" i="3" s="1"/>
  <c r="F428" i="3"/>
  <c r="E428" i="3"/>
  <c r="D428" i="3"/>
  <c r="C428" i="3"/>
  <c r="B428" i="3"/>
  <c r="K427" i="3"/>
  <c r="G427" i="3"/>
  <c r="F427" i="3"/>
  <c r="E427" i="3"/>
  <c r="B427" i="3"/>
  <c r="D427" i="3" s="1"/>
  <c r="K426" i="3"/>
  <c r="E426" i="3"/>
  <c r="F426" i="3" s="1"/>
  <c r="G426" i="3" s="1"/>
  <c r="C426" i="3"/>
  <c r="H426" i="3" s="1"/>
  <c r="I426" i="3" s="1"/>
  <c r="J426" i="3" s="1"/>
  <c r="B426" i="3"/>
  <c r="D426" i="3" s="1"/>
  <c r="L425" i="3"/>
  <c r="K425" i="3"/>
  <c r="E425" i="3"/>
  <c r="D425" i="3"/>
  <c r="C425" i="3"/>
  <c r="H425" i="3" s="1"/>
  <c r="I425" i="3" s="1"/>
  <c r="J425" i="3" s="1"/>
  <c r="B425" i="3"/>
  <c r="K424" i="3"/>
  <c r="E424" i="3"/>
  <c r="D424" i="3"/>
  <c r="B424" i="3"/>
  <c r="C424" i="3" s="1"/>
  <c r="H424" i="3" s="1"/>
  <c r="I424" i="3" s="1"/>
  <c r="J424" i="3" s="1"/>
  <c r="K423" i="3"/>
  <c r="G423" i="3"/>
  <c r="F423" i="3"/>
  <c r="E423" i="3"/>
  <c r="B423" i="3"/>
  <c r="K422" i="3"/>
  <c r="I422" i="3"/>
  <c r="J422" i="3" s="1"/>
  <c r="E422" i="3"/>
  <c r="C422" i="3"/>
  <c r="H422" i="3" s="1"/>
  <c r="B422" i="3"/>
  <c r="D422" i="3" s="1"/>
  <c r="L421" i="3"/>
  <c r="K421" i="3"/>
  <c r="F421" i="3"/>
  <c r="G421" i="3" s="1"/>
  <c r="E421" i="3"/>
  <c r="D421" i="3"/>
  <c r="C421" i="3"/>
  <c r="H421" i="3" s="1"/>
  <c r="I421" i="3" s="1"/>
  <c r="J421" i="3" s="1"/>
  <c r="B421" i="3"/>
  <c r="K420" i="3"/>
  <c r="G420" i="3"/>
  <c r="F420" i="3"/>
  <c r="E420" i="3"/>
  <c r="B420" i="3"/>
  <c r="D420" i="3" s="1"/>
  <c r="N419" i="3"/>
  <c r="M419" i="3"/>
  <c r="L419" i="3"/>
  <c r="K419" i="3"/>
  <c r="F419" i="3"/>
  <c r="E419" i="3"/>
  <c r="D419" i="3"/>
  <c r="C419" i="3"/>
  <c r="H419" i="3" s="1"/>
  <c r="I419" i="3" s="1"/>
  <c r="J419" i="3" s="1"/>
  <c r="B419" i="3"/>
  <c r="L418" i="3"/>
  <c r="K418" i="3"/>
  <c r="F418" i="3"/>
  <c r="G418" i="3" s="1"/>
  <c r="E418" i="3"/>
  <c r="B418" i="3"/>
  <c r="D418" i="3" s="1"/>
  <c r="K417" i="3"/>
  <c r="E417" i="3"/>
  <c r="F417" i="3" s="1"/>
  <c r="G417" i="3" s="1"/>
  <c r="B417" i="3"/>
  <c r="D417" i="3" s="1"/>
  <c r="L416" i="3"/>
  <c r="K416" i="3"/>
  <c r="F416" i="3"/>
  <c r="E416" i="3"/>
  <c r="D416" i="3"/>
  <c r="C416" i="3"/>
  <c r="H416" i="3" s="1"/>
  <c r="I416" i="3" s="1"/>
  <c r="J416" i="3" s="1"/>
  <c r="B416" i="3"/>
  <c r="L415" i="3"/>
  <c r="K415" i="3"/>
  <c r="F415" i="3"/>
  <c r="G415" i="3" s="1"/>
  <c r="E415" i="3"/>
  <c r="B415" i="3"/>
  <c r="D415" i="3" s="1"/>
  <c r="N414" i="3"/>
  <c r="M414" i="3"/>
  <c r="L414" i="3"/>
  <c r="K414" i="3"/>
  <c r="E414" i="3"/>
  <c r="D414" i="3"/>
  <c r="C414" i="3"/>
  <c r="H414" i="3" s="1"/>
  <c r="I414" i="3" s="1"/>
  <c r="J414" i="3" s="1"/>
  <c r="B414" i="3"/>
  <c r="O413" i="3"/>
  <c r="N413" i="3"/>
  <c r="M413" i="3"/>
  <c r="L413" i="3"/>
  <c r="K413" i="3"/>
  <c r="E413" i="3"/>
  <c r="C413" i="3"/>
  <c r="H413" i="3" s="1"/>
  <c r="I413" i="3" s="1"/>
  <c r="J413" i="3" s="1"/>
  <c r="B413" i="3"/>
  <c r="D413" i="3" s="1"/>
  <c r="K412" i="3"/>
  <c r="F412" i="3"/>
  <c r="E412" i="3"/>
  <c r="D412" i="3"/>
  <c r="C412" i="3"/>
  <c r="H412" i="3" s="1"/>
  <c r="I412" i="3" s="1"/>
  <c r="J412" i="3" s="1"/>
  <c r="B412" i="3"/>
  <c r="K411" i="3"/>
  <c r="F411" i="3"/>
  <c r="G411" i="3" s="1"/>
  <c r="E411" i="3"/>
  <c r="D411" i="3"/>
  <c r="B411" i="3"/>
  <c r="C411" i="3" s="1"/>
  <c r="H411" i="3" s="1"/>
  <c r="I411" i="3" s="1"/>
  <c r="J411" i="3" s="1"/>
  <c r="K410" i="3"/>
  <c r="G410" i="3"/>
  <c r="F410" i="3"/>
  <c r="E410" i="3"/>
  <c r="B410" i="3"/>
  <c r="K409" i="3"/>
  <c r="I409" i="3"/>
  <c r="J409" i="3" s="1"/>
  <c r="E409" i="3"/>
  <c r="D409" i="3"/>
  <c r="B409" i="3"/>
  <c r="C409" i="3" s="1"/>
  <c r="H409" i="3" s="1"/>
  <c r="K408" i="3"/>
  <c r="E408" i="3"/>
  <c r="D408" i="3"/>
  <c r="C408" i="3"/>
  <c r="H408" i="3" s="1"/>
  <c r="I408" i="3" s="1"/>
  <c r="J408" i="3" s="1"/>
  <c r="B408" i="3"/>
  <c r="K407" i="3"/>
  <c r="H407" i="3"/>
  <c r="I407" i="3" s="1"/>
  <c r="J407" i="3" s="1"/>
  <c r="G407" i="3"/>
  <c r="E407" i="3"/>
  <c r="F407" i="3" s="1"/>
  <c r="D407" i="3"/>
  <c r="C407" i="3"/>
  <c r="B407" i="3"/>
  <c r="K406" i="3"/>
  <c r="G406" i="3"/>
  <c r="F406" i="3"/>
  <c r="E406" i="3"/>
  <c r="B406" i="3"/>
  <c r="K405" i="3"/>
  <c r="I405" i="3"/>
  <c r="J405" i="3" s="1"/>
  <c r="E405" i="3"/>
  <c r="D405" i="3"/>
  <c r="C405" i="3"/>
  <c r="H405" i="3" s="1"/>
  <c r="B405" i="3"/>
  <c r="K404" i="3"/>
  <c r="E404" i="3"/>
  <c r="D404" i="3"/>
  <c r="C404" i="3"/>
  <c r="H404" i="3" s="1"/>
  <c r="I404" i="3" s="1"/>
  <c r="J404" i="3" s="1"/>
  <c r="B404" i="3"/>
  <c r="K403" i="3"/>
  <c r="H403" i="3"/>
  <c r="I403" i="3" s="1"/>
  <c r="J403" i="3" s="1"/>
  <c r="G403" i="3"/>
  <c r="E403" i="3"/>
  <c r="F403" i="3" s="1"/>
  <c r="D403" i="3"/>
  <c r="C403" i="3"/>
  <c r="B403" i="3"/>
  <c r="L402" i="3"/>
  <c r="K402" i="3"/>
  <c r="G402" i="3"/>
  <c r="F402" i="3"/>
  <c r="E402" i="3"/>
  <c r="C402" i="3"/>
  <c r="H402" i="3" s="1"/>
  <c r="I402" i="3" s="1"/>
  <c r="J402" i="3" s="1"/>
  <c r="B402" i="3"/>
  <c r="D402" i="3" s="1"/>
  <c r="K401" i="3"/>
  <c r="E401" i="3"/>
  <c r="B401" i="3"/>
  <c r="C401" i="3" s="1"/>
  <c r="H401" i="3" s="1"/>
  <c r="I401" i="3" s="1"/>
  <c r="J401" i="3" s="1"/>
  <c r="K400" i="3"/>
  <c r="F400" i="3"/>
  <c r="G400" i="3" s="1"/>
  <c r="E400" i="3"/>
  <c r="D400" i="3"/>
  <c r="C400" i="3"/>
  <c r="H400" i="3" s="1"/>
  <c r="I400" i="3" s="1"/>
  <c r="J400" i="3" s="1"/>
  <c r="B400" i="3"/>
  <c r="K399" i="3"/>
  <c r="G399" i="3"/>
  <c r="F399" i="3"/>
  <c r="E399" i="3"/>
  <c r="B399" i="3"/>
  <c r="D399" i="3" s="1"/>
  <c r="K398" i="3"/>
  <c r="G398" i="3"/>
  <c r="F398" i="3"/>
  <c r="E398" i="3"/>
  <c r="C398" i="3"/>
  <c r="H398" i="3" s="1"/>
  <c r="I398" i="3" s="1"/>
  <c r="J398" i="3" s="1"/>
  <c r="B398" i="3"/>
  <c r="D398" i="3" s="1"/>
  <c r="K397" i="3"/>
  <c r="J397" i="3"/>
  <c r="E397" i="3"/>
  <c r="D397" i="3"/>
  <c r="B397" i="3"/>
  <c r="C397" i="3" s="1"/>
  <c r="H397" i="3" s="1"/>
  <c r="I397" i="3" s="1"/>
  <c r="K396" i="3"/>
  <c r="F396" i="3"/>
  <c r="E396" i="3"/>
  <c r="D396" i="3"/>
  <c r="C396" i="3"/>
  <c r="H396" i="3" s="1"/>
  <c r="I396" i="3" s="1"/>
  <c r="J396" i="3" s="1"/>
  <c r="B396" i="3"/>
  <c r="K395" i="3"/>
  <c r="F395" i="3"/>
  <c r="G395" i="3" s="1"/>
  <c r="E395" i="3"/>
  <c r="B395" i="3"/>
  <c r="D395" i="3" s="1"/>
  <c r="K394" i="3"/>
  <c r="G394" i="3"/>
  <c r="F394" i="3"/>
  <c r="E394" i="3"/>
  <c r="C394" i="3"/>
  <c r="H394" i="3" s="1"/>
  <c r="I394" i="3" s="1"/>
  <c r="J394" i="3" s="1"/>
  <c r="B394" i="3"/>
  <c r="D394" i="3" s="1"/>
  <c r="K393" i="3"/>
  <c r="J393" i="3"/>
  <c r="E393" i="3"/>
  <c r="D393" i="3"/>
  <c r="B393" i="3"/>
  <c r="C393" i="3" s="1"/>
  <c r="H393" i="3" s="1"/>
  <c r="I393" i="3" s="1"/>
  <c r="L392" i="3"/>
  <c r="K392" i="3"/>
  <c r="H392" i="3"/>
  <c r="I392" i="3" s="1"/>
  <c r="J392" i="3" s="1"/>
  <c r="F392" i="3"/>
  <c r="E392" i="3"/>
  <c r="D392" i="3"/>
  <c r="C392" i="3"/>
  <c r="B392" i="3"/>
  <c r="K391" i="3"/>
  <c r="G391" i="3"/>
  <c r="F391" i="3"/>
  <c r="E391" i="3"/>
  <c r="B391" i="3"/>
  <c r="M390" i="3"/>
  <c r="L390" i="3"/>
  <c r="K390" i="3"/>
  <c r="J390" i="3"/>
  <c r="F390" i="3"/>
  <c r="E390" i="3"/>
  <c r="D390" i="3"/>
  <c r="B390" i="3"/>
  <c r="C390" i="3" s="1"/>
  <c r="H390" i="3" s="1"/>
  <c r="I390" i="3" s="1"/>
  <c r="M389" i="3"/>
  <c r="L389" i="3"/>
  <c r="K389" i="3"/>
  <c r="F389" i="3"/>
  <c r="G389" i="3" s="1"/>
  <c r="E389" i="3"/>
  <c r="B389" i="3"/>
  <c r="L388" i="3"/>
  <c r="K388" i="3"/>
  <c r="E388" i="3"/>
  <c r="C388" i="3"/>
  <c r="H388" i="3" s="1"/>
  <c r="I388" i="3" s="1"/>
  <c r="J388" i="3" s="1"/>
  <c r="B388" i="3"/>
  <c r="D388" i="3" s="1"/>
  <c r="L387" i="3"/>
  <c r="K387" i="3"/>
  <c r="H387" i="3"/>
  <c r="I387" i="3" s="1"/>
  <c r="J387" i="3" s="1"/>
  <c r="E387" i="3"/>
  <c r="F387" i="3" s="1"/>
  <c r="G387" i="3" s="1"/>
  <c r="D387" i="3"/>
  <c r="C387" i="3"/>
  <c r="B387" i="3"/>
  <c r="K386" i="3"/>
  <c r="F386" i="3"/>
  <c r="G386" i="3" s="1"/>
  <c r="E386" i="3"/>
  <c r="B386" i="3"/>
  <c r="L385" i="3"/>
  <c r="K385" i="3"/>
  <c r="E385" i="3"/>
  <c r="D385" i="3"/>
  <c r="B385" i="3"/>
  <c r="C385" i="3" s="1"/>
  <c r="H385" i="3" s="1"/>
  <c r="I385" i="3" s="1"/>
  <c r="J385" i="3" s="1"/>
  <c r="M384" i="3"/>
  <c r="L384" i="3"/>
  <c r="K384" i="3"/>
  <c r="G384" i="3"/>
  <c r="E384" i="3"/>
  <c r="F384" i="3" s="1"/>
  <c r="B384" i="3"/>
  <c r="D384" i="3" s="1"/>
  <c r="K383" i="3"/>
  <c r="G383" i="3"/>
  <c r="F383" i="3"/>
  <c r="E383" i="3"/>
  <c r="C383" i="3"/>
  <c r="H383" i="3" s="1"/>
  <c r="I383" i="3" s="1"/>
  <c r="J383" i="3" s="1"/>
  <c r="B383" i="3"/>
  <c r="D383" i="3" s="1"/>
  <c r="L382" i="3"/>
  <c r="K382" i="3"/>
  <c r="F382" i="3"/>
  <c r="E382" i="3"/>
  <c r="D382" i="3"/>
  <c r="C382" i="3"/>
  <c r="H382" i="3" s="1"/>
  <c r="I382" i="3" s="1"/>
  <c r="J382" i="3" s="1"/>
  <c r="B382" i="3"/>
  <c r="L381" i="3"/>
  <c r="K381" i="3"/>
  <c r="E381" i="3"/>
  <c r="B381" i="3"/>
  <c r="D381" i="3" s="1"/>
  <c r="M380" i="3"/>
  <c r="L380" i="3"/>
  <c r="K380" i="3"/>
  <c r="E380" i="3"/>
  <c r="B380" i="3"/>
  <c r="C380" i="3" s="1"/>
  <c r="H380" i="3" s="1"/>
  <c r="I380" i="3" s="1"/>
  <c r="J380" i="3" s="1"/>
  <c r="M379" i="3"/>
  <c r="L379" i="3"/>
  <c r="K379" i="3"/>
  <c r="E379" i="3"/>
  <c r="F379" i="3" s="1"/>
  <c r="B379" i="3"/>
  <c r="D379" i="3" s="1"/>
  <c r="K378" i="3"/>
  <c r="G378" i="3"/>
  <c r="F378" i="3"/>
  <c r="E378" i="3"/>
  <c r="B378" i="3"/>
  <c r="D378" i="3" s="1"/>
  <c r="L377" i="3"/>
  <c r="K377" i="3"/>
  <c r="J377" i="3"/>
  <c r="F377" i="3"/>
  <c r="E377" i="3"/>
  <c r="G377" i="3" s="1"/>
  <c r="D377" i="3"/>
  <c r="B377" i="3"/>
  <c r="C377" i="3" s="1"/>
  <c r="H377" i="3" s="1"/>
  <c r="I377" i="3" s="1"/>
  <c r="K376" i="3"/>
  <c r="H376" i="3"/>
  <c r="I376" i="3" s="1"/>
  <c r="J376" i="3" s="1"/>
  <c r="F376" i="3"/>
  <c r="G376" i="3" s="1"/>
  <c r="E376" i="3"/>
  <c r="D376" i="3"/>
  <c r="C376" i="3"/>
  <c r="B376" i="3"/>
  <c r="L375" i="3"/>
  <c r="K375" i="3"/>
  <c r="I375" i="3"/>
  <c r="J375" i="3" s="1"/>
  <c r="H375" i="3"/>
  <c r="G375" i="3"/>
  <c r="F375" i="3"/>
  <c r="E375" i="3"/>
  <c r="C375" i="3"/>
  <c r="B375" i="3"/>
  <c r="D375" i="3" s="1"/>
  <c r="L374" i="3"/>
  <c r="K374" i="3"/>
  <c r="J374" i="3"/>
  <c r="F374" i="3"/>
  <c r="E374" i="3"/>
  <c r="C374" i="3"/>
  <c r="H374" i="3" s="1"/>
  <c r="I374" i="3" s="1"/>
  <c r="B374" i="3"/>
  <c r="D374" i="3" s="1"/>
  <c r="L373" i="3"/>
  <c r="K373" i="3"/>
  <c r="E373" i="3"/>
  <c r="B373" i="3"/>
  <c r="D373" i="3" s="1"/>
  <c r="L372" i="3"/>
  <c r="K372" i="3"/>
  <c r="E372" i="3"/>
  <c r="B372" i="3"/>
  <c r="L371" i="3"/>
  <c r="K371" i="3"/>
  <c r="G371" i="3"/>
  <c r="E371" i="3"/>
  <c r="F371" i="3" s="1"/>
  <c r="D371" i="3"/>
  <c r="C371" i="3"/>
  <c r="H371" i="3" s="1"/>
  <c r="I371" i="3" s="1"/>
  <c r="J371" i="3" s="1"/>
  <c r="B371" i="3"/>
  <c r="L370" i="3"/>
  <c r="K370" i="3"/>
  <c r="G370" i="3"/>
  <c r="F370" i="3"/>
  <c r="E370" i="3"/>
  <c r="B370" i="3"/>
  <c r="L369" i="3"/>
  <c r="K369" i="3"/>
  <c r="E369" i="3"/>
  <c r="C369" i="3"/>
  <c r="H369" i="3" s="1"/>
  <c r="I369" i="3" s="1"/>
  <c r="J369" i="3" s="1"/>
  <c r="B369" i="3"/>
  <c r="D369" i="3" s="1"/>
  <c r="L368" i="3"/>
  <c r="K368" i="3"/>
  <c r="H368" i="3"/>
  <c r="I368" i="3" s="1"/>
  <c r="J368" i="3" s="1"/>
  <c r="F368" i="3"/>
  <c r="E368" i="3"/>
  <c r="D368" i="3"/>
  <c r="C368" i="3"/>
  <c r="B368" i="3"/>
  <c r="L367" i="3"/>
  <c r="K367" i="3"/>
  <c r="H367" i="3"/>
  <c r="I367" i="3" s="1"/>
  <c r="J367" i="3" s="1"/>
  <c r="G367" i="3"/>
  <c r="F367" i="3"/>
  <c r="E367" i="3"/>
  <c r="C367" i="3"/>
  <c r="B367" i="3"/>
  <c r="D367" i="3" s="1"/>
  <c r="L366" i="3"/>
  <c r="K366" i="3"/>
  <c r="J366" i="3"/>
  <c r="F366" i="3"/>
  <c r="E366" i="3"/>
  <c r="D366" i="3"/>
  <c r="C366" i="3"/>
  <c r="H366" i="3" s="1"/>
  <c r="I366" i="3" s="1"/>
  <c r="B366" i="3"/>
  <c r="L365" i="3"/>
  <c r="K365" i="3"/>
  <c r="F365" i="3"/>
  <c r="E365" i="3"/>
  <c r="G365" i="3" s="1"/>
  <c r="B365" i="3"/>
  <c r="D365" i="3" s="1"/>
  <c r="L364" i="3"/>
  <c r="K364" i="3"/>
  <c r="E364" i="3"/>
  <c r="D364" i="3"/>
  <c r="B364" i="3"/>
  <c r="C364" i="3" s="1"/>
  <c r="H364" i="3" s="1"/>
  <c r="I364" i="3" s="1"/>
  <c r="J364" i="3" s="1"/>
  <c r="L363" i="3"/>
  <c r="K363" i="3"/>
  <c r="G363" i="3"/>
  <c r="F363" i="3"/>
  <c r="E363" i="3"/>
  <c r="D363" i="3"/>
  <c r="C363" i="3"/>
  <c r="H363" i="3" s="1"/>
  <c r="I363" i="3" s="1"/>
  <c r="J363" i="3" s="1"/>
  <c r="B363" i="3"/>
  <c r="L362" i="3"/>
  <c r="K362" i="3"/>
  <c r="G362" i="3"/>
  <c r="F362" i="3"/>
  <c r="E362" i="3"/>
  <c r="B362" i="3"/>
  <c r="L361" i="3"/>
  <c r="K361" i="3"/>
  <c r="E361" i="3"/>
  <c r="B361" i="3"/>
  <c r="L360" i="3"/>
  <c r="K360" i="3"/>
  <c r="H360" i="3"/>
  <c r="I360" i="3" s="1"/>
  <c r="J360" i="3" s="1"/>
  <c r="G360" i="3"/>
  <c r="F360" i="3"/>
  <c r="E360" i="3"/>
  <c r="D360" i="3"/>
  <c r="C360" i="3"/>
  <c r="B360" i="3"/>
  <c r="L359" i="3"/>
  <c r="K359" i="3"/>
  <c r="G359" i="3"/>
  <c r="F359" i="3"/>
  <c r="E359" i="3"/>
  <c r="C359" i="3"/>
  <c r="H359" i="3" s="1"/>
  <c r="I359" i="3" s="1"/>
  <c r="J359" i="3" s="1"/>
  <c r="B359" i="3"/>
  <c r="D359" i="3" s="1"/>
  <c r="L358" i="3"/>
  <c r="K358" i="3"/>
  <c r="E358" i="3"/>
  <c r="C358" i="3"/>
  <c r="H358" i="3" s="1"/>
  <c r="I358" i="3" s="1"/>
  <c r="J358" i="3" s="1"/>
  <c r="B358" i="3"/>
  <c r="D358" i="3" s="1"/>
  <c r="L357" i="3"/>
  <c r="K357" i="3"/>
  <c r="F357" i="3"/>
  <c r="G357" i="3" s="1"/>
  <c r="E357" i="3"/>
  <c r="B357" i="3"/>
  <c r="D357" i="3" s="1"/>
  <c r="L356" i="3"/>
  <c r="K356" i="3"/>
  <c r="H356" i="3"/>
  <c r="I356" i="3" s="1"/>
  <c r="J356" i="3" s="1"/>
  <c r="E356" i="3"/>
  <c r="D356" i="3"/>
  <c r="C356" i="3"/>
  <c r="B356" i="3"/>
  <c r="L355" i="3"/>
  <c r="K355" i="3"/>
  <c r="E355" i="3"/>
  <c r="D355" i="3"/>
  <c r="C355" i="3"/>
  <c r="H355" i="3" s="1"/>
  <c r="I355" i="3" s="1"/>
  <c r="J355" i="3" s="1"/>
  <c r="B355" i="3"/>
  <c r="K354" i="3"/>
  <c r="F354" i="3"/>
  <c r="E354" i="3"/>
  <c r="G354" i="3" s="1"/>
  <c r="B354" i="3"/>
  <c r="D354" i="3" s="1"/>
  <c r="L353" i="3"/>
  <c r="K353" i="3"/>
  <c r="H353" i="3"/>
  <c r="I353" i="3" s="1"/>
  <c r="J353" i="3" s="1"/>
  <c r="E353" i="3"/>
  <c r="C353" i="3"/>
  <c r="B353" i="3"/>
  <c r="D353" i="3" s="1"/>
  <c r="L352" i="3"/>
  <c r="K352" i="3"/>
  <c r="E352" i="3"/>
  <c r="D352" i="3"/>
  <c r="C352" i="3"/>
  <c r="H352" i="3" s="1"/>
  <c r="I352" i="3" s="1"/>
  <c r="J352" i="3" s="1"/>
  <c r="B352" i="3"/>
  <c r="M351" i="3"/>
  <c r="L351" i="3"/>
  <c r="K351" i="3"/>
  <c r="G351" i="3"/>
  <c r="F351" i="3"/>
  <c r="E351" i="3"/>
  <c r="B351" i="3"/>
  <c r="D351" i="3" s="1"/>
  <c r="M350" i="3"/>
  <c r="L350" i="3"/>
  <c r="K350" i="3"/>
  <c r="E350" i="3"/>
  <c r="D350" i="3"/>
  <c r="C350" i="3"/>
  <c r="H350" i="3" s="1"/>
  <c r="I350" i="3" s="1"/>
  <c r="J350" i="3" s="1"/>
  <c r="B350" i="3"/>
  <c r="N349" i="3"/>
  <c r="M349" i="3"/>
  <c r="L349" i="3"/>
  <c r="K349" i="3"/>
  <c r="E349" i="3"/>
  <c r="B349" i="3"/>
  <c r="L348" i="3"/>
  <c r="K348" i="3"/>
  <c r="F348" i="3"/>
  <c r="E348" i="3"/>
  <c r="D348" i="3"/>
  <c r="C348" i="3"/>
  <c r="H348" i="3" s="1"/>
  <c r="I348" i="3" s="1"/>
  <c r="J348" i="3" s="1"/>
  <c r="B348" i="3"/>
  <c r="L347" i="3"/>
  <c r="K347" i="3"/>
  <c r="F347" i="3"/>
  <c r="G347" i="3" s="1"/>
  <c r="E347" i="3"/>
  <c r="B347" i="3"/>
  <c r="L346" i="3"/>
  <c r="K346" i="3"/>
  <c r="E346" i="3"/>
  <c r="D346" i="3"/>
  <c r="C346" i="3"/>
  <c r="H346" i="3" s="1"/>
  <c r="I346" i="3" s="1"/>
  <c r="J346" i="3" s="1"/>
  <c r="B346" i="3"/>
  <c r="N345" i="3"/>
  <c r="M345" i="3"/>
  <c r="L345" i="3"/>
  <c r="K345" i="3"/>
  <c r="F345" i="3"/>
  <c r="G345" i="3" s="1"/>
  <c r="E345" i="3"/>
  <c r="B345" i="3"/>
  <c r="L344" i="3"/>
  <c r="K344" i="3"/>
  <c r="I344" i="3"/>
  <c r="J344" i="3" s="1"/>
  <c r="E344" i="3"/>
  <c r="D344" i="3"/>
  <c r="B344" i="3"/>
  <c r="C344" i="3" s="1"/>
  <c r="H344" i="3" s="1"/>
  <c r="L343" i="3"/>
  <c r="K343" i="3"/>
  <c r="H343" i="3"/>
  <c r="I343" i="3" s="1"/>
  <c r="J343" i="3" s="1"/>
  <c r="F343" i="3"/>
  <c r="G343" i="3" s="1"/>
  <c r="E343" i="3"/>
  <c r="D343" i="3"/>
  <c r="C343" i="3"/>
  <c r="B343" i="3"/>
  <c r="L342" i="3"/>
  <c r="K342" i="3"/>
  <c r="I342" i="3"/>
  <c r="J342" i="3" s="1"/>
  <c r="H342" i="3"/>
  <c r="G342" i="3"/>
  <c r="F342" i="3"/>
  <c r="E342" i="3"/>
  <c r="C342" i="3"/>
  <c r="B342" i="3"/>
  <c r="D342" i="3" s="1"/>
  <c r="N341" i="3"/>
  <c r="M341" i="3"/>
  <c r="L341" i="3"/>
  <c r="K341" i="3"/>
  <c r="H341" i="3"/>
  <c r="I341" i="3" s="1"/>
  <c r="J341" i="3" s="1"/>
  <c r="F341" i="3"/>
  <c r="E341" i="3"/>
  <c r="G341" i="3" s="1"/>
  <c r="D341" i="3"/>
  <c r="C341" i="3"/>
  <c r="B341" i="3"/>
  <c r="K340" i="3"/>
  <c r="F340" i="3"/>
  <c r="G340" i="3" s="1"/>
  <c r="E340" i="3"/>
  <c r="B340" i="3"/>
  <c r="K339" i="3"/>
  <c r="E339" i="3"/>
  <c r="F339" i="3" s="1"/>
  <c r="G339" i="3" s="1"/>
  <c r="D339" i="3"/>
  <c r="C339" i="3"/>
  <c r="H339" i="3" s="1"/>
  <c r="I339" i="3" s="1"/>
  <c r="J339" i="3" s="1"/>
  <c r="B339" i="3"/>
  <c r="M338" i="3"/>
  <c r="L338" i="3"/>
  <c r="K338" i="3"/>
  <c r="H338" i="3"/>
  <c r="I338" i="3" s="1"/>
  <c r="J338" i="3" s="1"/>
  <c r="E338" i="3"/>
  <c r="D338" i="3"/>
  <c r="C338" i="3"/>
  <c r="B338" i="3"/>
  <c r="K337" i="3"/>
  <c r="G337" i="3"/>
  <c r="F337" i="3"/>
  <c r="E337" i="3"/>
  <c r="B337" i="3"/>
  <c r="K336" i="3"/>
  <c r="G336" i="3"/>
  <c r="E336" i="3"/>
  <c r="F336" i="3" s="1"/>
  <c r="C336" i="3"/>
  <c r="H336" i="3" s="1"/>
  <c r="I336" i="3" s="1"/>
  <c r="J336" i="3" s="1"/>
  <c r="B336" i="3"/>
  <c r="D336" i="3" s="1"/>
  <c r="K335" i="3"/>
  <c r="E335" i="3"/>
  <c r="B335" i="3"/>
  <c r="K334" i="3"/>
  <c r="E334" i="3"/>
  <c r="D334" i="3"/>
  <c r="C334" i="3"/>
  <c r="H334" i="3" s="1"/>
  <c r="I334" i="3" s="1"/>
  <c r="J334" i="3" s="1"/>
  <c r="B334" i="3"/>
  <c r="K333" i="3"/>
  <c r="G333" i="3"/>
  <c r="E333" i="3"/>
  <c r="F333" i="3" s="1"/>
  <c r="B333" i="3"/>
  <c r="K332" i="3"/>
  <c r="G332" i="3"/>
  <c r="E332" i="3"/>
  <c r="F332" i="3" s="1"/>
  <c r="B332" i="3"/>
  <c r="K331" i="3"/>
  <c r="E331" i="3"/>
  <c r="D331" i="3"/>
  <c r="B331" i="3"/>
  <c r="C331" i="3" s="1"/>
  <c r="H331" i="3" s="1"/>
  <c r="I331" i="3" s="1"/>
  <c r="J331" i="3" s="1"/>
  <c r="L330" i="3"/>
  <c r="K330" i="3"/>
  <c r="J330" i="3"/>
  <c r="H330" i="3"/>
  <c r="I330" i="3" s="1"/>
  <c r="G330" i="3"/>
  <c r="F330" i="3"/>
  <c r="E330" i="3"/>
  <c r="D330" i="3"/>
  <c r="B330" i="3"/>
  <c r="C330" i="3" s="1"/>
  <c r="K329" i="3"/>
  <c r="I329" i="3"/>
  <c r="J329" i="3" s="1"/>
  <c r="H329" i="3"/>
  <c r="G329" i="3"/>
  <c r="F329" i="3"/>
  <c r="E329" i="3"/>
  <c r="D329" i="3"/>
  <c r="C329" i="3"/>
  <c r="B329" i="3"/>
  <c r="K328" i="3"/>
  <c r="I328" i="3"/>
  <c r="J328" i="3" s="1"/>
  <c r="H328" i="3"/>
  <c r="E328" i="3"/>
  <c r="D328" i="3"/>
  <c r="B328" i="3"/>
  <c r="C328" i="3" s="1"/>
  <c r="K327" i="3"/>
  <c r="H327" i="3"/>
  <c r="I327" i="3" s="1"/>
  <c r="J327" i="3" s="1"/>
  <c r="E327" i="3"/>
  <c r="C327" i="3"/>
  <c r="B327" i="3"/>
  <c r="D327" i="3" s="1"/>
  <c r="K326" i="3"/>
  <c r="H326" i="3"/>
  <c r="I326" i="3" s="1"/>
  <c r="J326" i="3" s="1"/>
  <c r="E326" i="3"/>
  <c r="D326" i="3"/>
  <c r="B326" i="3"/>
  <c r="C326" i="3" s="1"/>
  <c r="K325" i="3"/>
  <c r="F325" i="3"/>
  <c r="G325" i="3" s="1"/>
  <c r="E325" i="3"/>
  <c r="B325" i="3"/>
  <c r="D325" i="3" s="1"/>
  <c r="K324" i="3"/>
  <c r="E324" i="3"/>
  <c r="B324" i="3"/>
  <c r="D324" i="3" s="1"/>
  <c r="K323" i="3"/>
  <c r="E323" i="3"/>
  <c r="F323" i="3" s="1"/>
  <c r="B323" i="3"/>
  <c r="D323" i="3" s="1"/>
  <c r="K322" i="3"/>
  <c r="I322" i="3"/>
  <c r="J322" i="3" s="1"/>
  <c r="H322" i="3"/>
  <c r="G322" i="3"/>
  <c r="F322" i="3"/>
  <c r="E322" i="3"/>
  <c r="D322" i="3"/>
  <c r="B322" i="3"/>
  <c r="C322" i="3" s="1"/>
  <c r="K321" i="3"/>
  <c r="G321" i="3"/>
  <c r="F321" i="3"/>
  <c r="E321" i="3"/>
  <c r="B321" i="3"/>
  <c r="M320" i="3"/>
  <c r="L320" i="3"/>
  <c r="K320" i="3"/>
  <c r="F320" i="3"/>
  <c r="E320" i="3"/>
  <c r="D320" i="3"/>
  <c r="C320" i="3"/>
  <c r="H320" i="3" s="1"/>
  <c r="I320" i="3" s="1"/>
  <c r="J320" i="3" s="1"/>
  <c r="B320" i="3"/>
  <c r="M319" i="3"/>
  <c r="L319" i="3"/>
  <c r="K319" i="3"/>
  <c r="H319" i="3"/>
  <c r="I319" i="3" s="1"/>
  <c r="J319" i="3" s="1"/>
  <c r="G319" i="3"/>
  <c r="F319" i="3"/>
  <c r="E319" i="3"/>
  <c r="D319" i="3"/>
  <c r="B319" i="3"/>
  <c r="C319" i="3" s="1"/>
  <c r="L318" i="3"/>
  <c r="K318" i="3"/>
  <c r="I318" i="3"/>
  <c r="J318" i="3" s="1"/>
  <c r="F318" i="3"/>
  <c r="G318" i="3" s="1"/>
  <c r="E318" i="3"/>
  <c r="C318" i="3"/>
  <c r="H318" i="3" s="1"/>
  <c r="B318" i="3"/>
  <c r="D318" i="3" s="1"/>
  <c r="M317" i="3"/>
  <c r="L317" i="3"/>
  <c r="K317" i="3"/>
  <c r="F317" i="3"/>
  <c r="E317" i="3"/>
  <c r="G317" i="3" s="1"/>
  <c r="B317" i="3"/>
  <c r="M316" i="3"/>
  <c r="L316" i="3"/>
  <c r="K316" i="3"/>
  <c r="F316" i="3"/>
  <c r="E316" i="3"/>
  <c r="B316" i="3"/>
  <c r="M315" i="3"/>
  <c r="L315" i="3"/>
  <c r="K315" i="3"/>
  <c r="I315" i="3"/>
  <c r="J315" i="3" s="1"/>
  <c r="H315" i="3"/>
  <c r="E315" i="3"/>
  <c r="C315" i="3"/>
  <c r="B315" i="3"/>
  <c r="D315" i="3" s="1"/>
  <c r="M314" i="3"/>
  <c r="L314" i="3"/>
  <c r="K314" i="3"/>
  <c r="I314" i="3"/>
  <c r="J314" i="3" s="1"/>
  <c r="F314" i="3"/>
  <c r="G314" i="3" s="1"/>
  <c r="E314" i="3"/>
  <c r="C314" i="3"/>
  <c r="H314" i="3" s="1"/>
  <c r="B314" i="3"/>
  <c r="D314" i="3" s="1"/>
  <c r="K313" i="3"/>
  <c r="I313" i="3"/>
  <c r="J313" i="3" s="1"/>
  <c r="H313" i="3"/>
  <c r="G313" i="3"/>
  <c r="F313" i="3"/>
  <c r="E313" i="3"/>
  <c r="D313" i="3"/>
  <c r="C313" i="3"/>
  <c r="B313" i="3"/>
  <c r="M312" i="3"/>
  <c r="L312" i="3"/>
  <c r="K312" i="3"/>
  <c r="G312" i="3"/>
  <c r="E312" i="3"/>
  <c r="F312" i="3" s="1"/>
  <c r="B312" i="3"/>
  <c r="C312" i="3" s="1"/>
  <c r="H312" i="3" s="1"/>
  <c r="I312" i="3" s="1"/>
  <c r="J312" i="3" s="1"/>
  <c r="M311" i="3"/>
  <c r="L311" i="3"/>
  <c r="K311" i="3"/>
  <c r="G311" i="3"/>
  <c r="F311" i="3"/>
  <c r="E311" i="3"/>
  <c r="D311" i="3"/>
  <c r="C311" i="3"/>
  <c r="H311" i="3" s="1"/>
  <c r="I311" i="3" s="1"/>
  <c r="J311" i="3" s="1"/>
  <c r="B311" i="3"/>
  <c r="L310" i="3"/>
  <c r="K310" i="3"/>
  <c r="J310" i="3"/>
  <c r="I310" i="3"/>
  <c r="H310" i="3"/>
  <c r="G310" i="3"/>
  <c r="F310" i="3"/>
  <c r="E310" i="3"/>
  <c r="D310" i="3"/>
  <c r="B310" i="3"/>
  <c r="C310" i="3" s="1"/>
  <c r="L309" i="3"/>
  <c r="K309" i="3"/>
  <c r="E309" i="3"/>
  <c r="B309" i="3"/>
  <c r="L308" i="3"/>
  <c r="K308" i="3"/>
  <c r="F308" i="3"/>
  <c r="E308" i="3"/>
  <c r="B308" i="3"/>
  <c r="L307" i="3"/>
  <c r="K307" i="3"/>
  <c r="H307" i="3"/>
  <c r="I307" i="3" s="1"/>
  <c r="J307" i="3" s="1"/>
  <c r="G307" i="3"/>
  <c r="E307" i="3"/>
  <c r="F307" i="3" s="1"/>
  <c r="D307" i="3"/>
  <c r="C307" i="3"/>
  <c r="B307" i="3"/>
  <c r="K306" i="3"/>
  <c r="E306" i="3"/>
  <c r="B306" i="3"/>
  <c r="D306" i="3" s="1"/>
  <c r="K305" i="3"/>
  <c r="I305" i="3"/>
  <c r="J305" i="3" s="1"/>
  <c r="H305" i="3"/>
  <c r="F305" i="3"/>
  <c r="G305" i="3" s="1"/>
  <c r="E305" i="3"/>
  <c r="D305" i="3"/>
  <c r="C305" i="3"/>
  <c r="B305" i="3"/>
  <c r="L304" i="3"/>
  <c r="K304" i="3"/>
  <c r="F304" i="3"/>
  <c r="G304" i="3" s="1"/>
  <c r="E304" i="3"/>
  <c r="D304" i="3"/>
  <c r="C304" i="3"/>
  <c r="H304" i="3" s="1"/>
  <c r="I304" i="3" s="1"/>
  <c r="J304" i="3" s="1"/>
  <c r="B304" i="3"/>
  <c r="L303" i="3"/>
  <c r="K303" i="3"/>
  <c r="F303" i="3"/>
  <c r="E303" i="3"/>
  <c r="D303" i="3"/>
  <c r="C303" i="3"/>
  <c r="H303" i="3" s="1"/>
  <c r="I303" i="3" s="1"/>
  <c r="J303" i="3" s="1"/>
  <c r="B303" i="3"/>
  <c r="L302" i="3"/>
  <c r="K302" i="3"/>
  <c r="I302" i="3"/>
  <c r="J302" i="3" s="1"/>
  <c r="H302" i="3"/>
  <c r="F302" i="3"/>
  <c r="G302" i="3" s="1"/>
  <c r="E302" i="3"/>
  <c r="B302" i="3"/>
  <c r="C302" i="3" s="1"/>
  <c r="K301" i="3"/>
  <c r="G301" i="3"/>
  <c r="F301" i="3"/>
  <c r="E301" i="3"/>
  <c r="B301" i="3"/>
  <c r="L300" i="3"/>
  <c r="K300" i="3"/>
  <c r="F300" i="3"/>
  <c r="E300" i="3"/>
  <c r="G300" i="3" s="1"/>
  <c r="B300" i="3"/>
  <c r="D300" i="3" s="1"/>
  <c r="K299" i="3"/>
  <c r="E299" i="3"/>
  <c r="D299" i="3"/>
  <c r="C299" i="3"/>
  <c r="H299" i="3" s="1"/>
  <c r="I299" i="3" s="1"/>
  <c r="J299" i="3" s="1"/>
  <c r="B299" i="3"/>
  <c r="L298" i="3"/>
  <c r="K298" i="3"/>
  <c r="G298" i="3"/>
  <c r="F298" i="3"/>
  <c r="E298" i="3"/>
  <c r="B298" i="3"/>
  <c r="D298" i="3" s="1"/>
  <c r="L297" i="3"/>
  <c r="K297" i="3"/>
  <c r="G297" i="3"/>
  <c r="F297" i="3"/>
  <c r="E297" i="3"/>
  <c r="B297" i="3"/>
  <c r="L296" i="3"/>
  <c r="K296" i="3"/>
  <c r="E296" i="3"/>
  <c r="B296" i="3"/>
  <c r="C296" i="3" s="1"/>
  <c r="H296" i="3" s="1"/>
  <c r="I296" i="3" s="1"/>
  <c r="J296" i="3" s="1"/>
  <c r="L295" i="3"/>
  <c r="K295" i="3"/>
  <c r="G295" i="3"/>
  <c r="E295" i="3"/>
  <c r="F295" i="3" s="1"/>
  <c r="D295" i="3"/>
  <c r="C295" i="3"/>
  <c r="H295" i="3" s="1"/>
  <c r="I295" i="3" s="1"/>
  <c r="J295" i="3" s="1"/>
  <c r="B295" i="3"/>
  <c r="M294" i="3"/>
  <c r="L294" i="3"/>
  <c r="K294" i="3"/>
  <c r="I294" i="3"/>
  <c r="J294" i="3" s="1"/>
  <c r="H294" i="3"/>
  <c r="F294" i="3"/>
  <c r="G294" i="3" s="1"/>
  <c r="E294" i="3"/>
  <c r="D294" i="3"/>
  <c r="C294" i="3"/>
  <c r="B294" i="3"/>
  <c r="K293" i="3"/>
  <c r="E293" i="3"/>
  <c r="B293" i="3"/>
  <c r="M292" i="3"/>
  <c r="L292" i="3"/>
  <c r="K292" i="3"/>
  <c r="F292" i="3"/>
  <c r="E292" i="3"/>
  <c r="D292" i="3"/>
  <c r="C292" i="3"/>
  <c r="H292" i="3" s="1"/>
  <c r="I292" i="3" s="1"/>
  <c r="J292" i="3" s="1"/>
  <c r="B292" i="3"/>
  <c r="L291" i="3"/>
  <c r="K291" i="3"/>
  <c r="I291" i="3"/>
  <c r="J291" i="3" s="1"/>
  <c r="H291" i="3"/>
  <c r="F291" i="3"/>
  <c r="G291" i="3" s="1"/>
  <c r="E291" i="3"/>
  <c r="C291" i="3"/>
  <c r="B291" i="3"/>
  <c r="D291" i="3" s="1"/>
  <c r="L290" i="3"/>
  <c r="K290" i="3"/>
  <c r="F290" i="3"/>
  <c r="E290" i="3"/>
  <c r="G290" i="3" s="1"/>
  <c r="D290" i="3"/>
  <c r="B290" i="3"/>
  <c r="C290" i="3" s="1"/>
  <c r="H290" i="3" s="1"/>
  <c r="I290" i="3" s="1"/>
  <c r="J290" i="3" s="1"/>
  <c r="L289" i="3"/>
  <c r="K289" i="3"/>
  <c r="E289" i="3"/>
  <c r="D289" i="3"/>
  <c r="C289" i="3"/>
  <c r="H289" i="3" s="1"/>
  <c r="I289" i="3" s="1"/>
  <c r="J289" i="3" s="1"/>
  <c r="B289" i="3"/>
  <c r="O288" i="3"/>
  <c r="N288" i="3"/>
  <c r="M288" i="3"/>
  <c r="L288" i="3"/>
  <c r="K288" i="3"/>
  <c r="J288" i="3"/>
  <c r="E288" i="3"/>
  <c r="D288" i="3"/>
  <c r="C288" i="3"/>
  <c r="H288" i="3" s="1"/>
  <c r="I288" i="3" s="1"/>
  <c r="B288" i="3"/>
  <c r="L287" i="3"/>
  <c r="K287" i="3"/>
  <c r="G287" i="3"/>
  <c r="E287" i="3"/>
  <c r="F287" i="3" s="1"/>
  <c r="B287" i="3"/>
  <c r="D287" i="3" s="1"/>
  <c r="K286" i="3"/>
  <c r="G286" i="3"/>
  <c r="F286" i="3"/>
  <c r="E286" i="3"/>
  <c r="B286" i="3"/>
  <c r="L285" i="3"/>
  <c r="K285" i="3"/>
  <c r="E285" i="3"/>
  <c r="D285" i="3"/>
  <c r="B285" i="3"/>
  <c r="C285" i="3" s="1"/>
  <c r="H285" i="3" s="1"/>
  <c r="I285" i="3" s="1"/>
  <c r="J285" i="3" s="1"/>
  <c r="M284" i="3"/>
  <c r="L284" i="3"/>
  <c r="K284" i="3"/>
  <c r="H284" i="3"/>
  <c r="I284" i="3" s="1"/>
  <c r="J284" i="3" s="1"/>
  <c r="G284" i="3"/>
  <c r="F284" i="3"/>
  <c r="E284" i="3"/>
  <c r="C284" i="3"/>
  <c r="B284" i="3"/>
  <c r="D284" i="3" s="1"/>
  <c r="L283" i="3"/>
  <c r="K283" i="3"/>
  <c r="I283" i="3"/>
  <c r="J283" i="3" s="1"/>
  <c r="F283" i="3"/>
  <c r="E283" i="3"/>
  <c r="G283" i="3" s="1"/>
  <c r="D283" i="3"/>
  <c r="C283" i="3"/>
  <c r="H283" i="3" s="1"/>
  <c r="B283" i="3"/>
  <c r="K282" i="3"/>
  <c r="E282" i="3"/>
  <c r="D282" i="3"/>
  <c r="C282" i="3"/>
  <c r="H282" i="3" s="1"/>
  <c r="I282" i="3" s="1"/>
  <c r="J282" i="3" s="1"/>
  <c r="B282" i="3"/>
  <c r="K281" i="3"/>
  <c r="F281" i="3"/>
  <c r="E281" i="3"/>
  <c r="B281" i="3"/>
  <c r="D281" i="3" s="1"/>
  <c r="M280" i="3"/>
  <c r="L280" i="3"/>
  <c r="K280" i="3"/>
  <c r="F280" i="3"/>
  <c r="E280" i="3"/>
  <c r="G280" i="3" s="1"/>
  <c r="C280" i="3"/>
  <c r="H280" i="3" s="1"/>
  <c r="I280" i="3" s="1"/>
  <c r="J280" i="3" s="1"/>
  <c r="B280" i="3"/>
  <c r="D280" i="3" s="1"/>
  <c r="L279" i="3"/>
  <c r="K279" i="3"/>
  <c r="E279" i="3"/>
  <c r="D279" i="3"/>
  <c r="C279" i="3"/>
  <c r="H279" i="3" s="1"/>
  <c r="I279" i="3" s="1"/>
  <c r="J279" i="3" s="1"/>
  <c r="B279" i="3"/>
  <c r="L278" i="3"/>
  <c r="K278" i="3"/>
  <c r="G278" i="3"/>
  <c r="F278" i="3"/>
  <c r="E278" i="3"/>
  <c r="B278" i="3"/>
  <c r="M277" i="3"/>
  <c r="L277" i="3"/>
  <c r="K277" i="3"/>
  <c r="F277" i="3"/>
  <c r="E277" i="3"/>
  <c r="D277" i="3"/>
  <c r="C277" i="3"/>
  <c r="H277" i="3" s="1"/>
  <c r="I277" i="3" s="1"/>
  <c r="J277" i="3" s="1"/>
  <c r="B277" i="3"/>
  <c r="K276" i="3"/>
  <c r="F276" i="3"/>
  <c r="G276" i="3" s="1"/>
  <c r="E276" i="3"/>
  <c r="B276" i="3"/>
  <c r="D276" i="3" s="1"/>
  <c r="L275" i="3"/>
  <c r="K275" i="3"/>
  <c r="E275" i="3"/>
  <c r="B275" i="3"/>
  <c r="K274" i="3"/>
  <c r="E274" i="3"/>
  <c r="C274" i="3"/>
  <c r="H274" i="3" s="1"/>
  <c r="I274" i="3" s="1"/>
  <c r="J274" i="3" s="1"/>
  <c r="B274" i="3"/>
  <c r="D274" i="3" s="1"/>
  <c r="K273" i="3"/>
  <c r="G273" i="3"/>
  <c r="F273" i="3"/>
  <c r="E273" i="3"/>
  <c r="D273" i="3"/>
  <c r="C273" i="3"/>
  <c r="H273" i="3" s="1"/>
  <c r="I273" i="3" s="1"/>
  <c r="J273" i="3" s="1"/>
  <c r="B273" i="3"/>
  <c r="M272" i="3"/>
  <c r="L272" i="3"/>
  <c r="K272" i="3"/>
  <c r="E272" i="3"/>
  <c r="B272" i="3"/>
  <c r="D272" i="3" s="1"/>
  <c r="M271" i="3"/>
  <c r="L271" i="3"/>
  <c r="K271" i="3"/>
  <c r="E271" i="3"/>
  <c r="D271" i="3"/>
  <c r="C271" i="3"/>
  <c r="H271" i="3" s="1"/>
  <c r="I271" i="3" s="1"/>
  <c r="J271" i="3" s="1"/>
  <c r="B271" i="3"/>
  <c r="L270" i="3"/>
  <c r="K270" i="3"/>
  <c r="G270" i="3"/>
  <c r="F270" i="3"/>
  <c r="E270" i="3"/>
  <c r="B270" i="3"/>
  <c r="L269" i="3"/>
  <c r="K269" i="3"/>
  <c r="E269" i="3"/>
  <c r="D269" i="3"/>
  <c r="C269" i="3"/>
  <c r="H269" i="3" s="1"/>
  <c r="I269" i="3" s="1"/>
  <c r="J269" i="3" s="1"/>
  <c r="B269" i="3"/>
  <c r="L268" i="3"/>
  <c r="K268" i="3"/>
  <c r="E268" i="3"/>
  <c r="B268" i="3"/>
  <c r="D268" i="3" s="1"/>
  <c r="N267" i="3"/>
  <c r="M267" i="3"/>
  <c r="L267" i="3"/>
  <c r="K267" i="3"/>
  <c r="E267" i="3"/>
  <c r="D267" i="3"/>
  <c r="C267" i="3"/>
  <c r="H267" i="3" s="1"/>
  <c r="I267" i="3" s="1"/>
  <c r="J267" i="3" s="1"/>
  <c r="B267" i="3"/>
  <c r="L266" i="3"/>
  <c r="K266" i="3"/>
  <c r="E266" i="3"/>
  <c r="B266" i="3"/>
  <c r="D266" i="3" s="1"/>
  <c r="K265" i="3"/>
  <c r="G265" i="3"/>
  <c r="F265" i="3"/>
  <c r="E265" i="3"/>
  <c r="B265" i="3"/>
  <c r="L264" i="3"/>
  <c r="K264" i="3"/>
  <c r="E264" i="3"/>
  <c r="B264" i="3"/>
  <c r="L263" i="3"/>
  <c r="K263" i="3"/>
  <c r="G263" i="3"/>
  <c r="F263" i="3"/>
  <c r="E263" i="3"/>
  <c r="B263" i="3"/>
  <c r="D263" i="3" s="1"/>
  <c r="L262" i="3"/>
  <c r="K262" i="3"/>
  <c r="E262" i="3"/>
  <c r="B262" i="3"/>
  <c r="D262" i="3" s="1"/>
  <c r="L261" i="3"/>
  <c r="K261" i="3"/>
  <c r="E261" i="3"/>
  <c r="D261" i="3"/>
  <c r="C261" i="3"/>
  <c r="H261" i="3" s="1"/>
  <c r="I261" i="3" s="1"/>
  <c r="J261" i="3" s="1"/>
  <c r="B261" i="3"/>
  <c r="L260" i="3"/>
  <c r="K260" i="3"/>
  <c r="I260" i="3"/>
  <c r="J260" i="3" s="1"/>
  <c r="H260" i="3"/>
  <c r="G260" i="3"/>
  <c r="F260" i="3"/>
  <c r="E260" i="3"/>
  <c r="C260" i="3"/>
  <c r="B260" i="3"/>
  <c r="D260" i="3" s="1"/>
  <c r="L259" i="3"/>
  <c r="K259" i="3"/>
  <c r="F259" i="3"/>
  <c r="E259" i="3"/>
  <c r="G259" i="3" s="1"/>
  <c r="B259" i="3"/>
  <c r="M258" i="3"/>
  <c r="L258" i="3"/>
  <c r="K258" i="3"/>
  <c r="E258" i="3"/>
  <c r="B258" i="3"/>
  <c r="D258" i="3" s="1"/>
  <c r="L257" i="3"/>
  <c r="K257" i="3"/>
  <c r="E257" i="3"/>
  <c r="B257" i="3"/>
  <c r="L256" i="3"/>
  <c r="K256" i="3"/>
  <c r="F256" i="3"/>
  <c r="E256" i="3"/>
  <c r="D256" i="3"/>
  <c r="C256" i="3"/>
  <c r="H256" i="3" s="1"/>
  <c r="I256" i="3" s="1"/>
  <c r="J256" i="3" s="1"/>
  <c r="B256" i="3"/>
  <c r="L255" i="3"/>
  <c r="K255" i="3"/>
  <c r="H255" i="3"/>
  <c r="I255" i="3" s="1"/>
  <c r="J255" i="3" s="1"/>
  <c r="G255" i="3"/>
  <c r="F255" i="3"/>
  <c r="E255" i="3"/>
  <c r="C255" i="3"/>
  <c r="B255" i="3"/>
  <c r="D255" i="3" s="1"/>
  <c r="K254" i="3"/>
  <c r="E254" i="3"/>
  <c r="B254" i="3"/>
  <c r="D254" i="3" s="1"/>
  <c r="L253" i="3"/>
  <c r="K253" i="3"/>
  <c r="E253" i="3"/>
  <c r="D253" i="3"/>
  <c r="C253" i="3"/>
  <c r="H253" i="3" s="1"/>
  <c r="I253" i="3" s="1"/>
  <c r="J253" i="3" s="1"/>
  <c r="B253" i="3"/>
  <c r="M252" i="3"/>
  <c r="L252" i="3"/>
  <c r="K252" i="3"/>
  <c r="G252" i="3"/>
  <c r="F252" i="3"/>
  <c r="E252" i="3"/>
  <c r="B252" i="3"/>
  <c r="L251" i="3"/>
  <c r="K251" i="3"/>
  <c r="E251" i="3"/>
  <c r="B251" i="3"/>
  <c r="D251" i="3" s="1"/>
  <c r="L250" i="3"/>
  <c r="K250" i="3"/>
  <c r="G250" i="3"/>
  <c r="F250" i="3"/>
  <c r="E250" i="3"/>
  <c r="B250" i="3"/>
  <c r="D250" i="3" s="1"/>
  <c r="L249" i="3"/>
  <c r="K249" i="3"/>
  <c r="H249" i="3"/>
  <c r="I249" i="3" s="1"/>
  <c r="J249" i="3" s="1"/>
  <c r="E249" i="3"/>
  <c r="C249" i="3"/>
  <c r="B249" i="3"/>
  <c r="D249" i="3" s="1"/>
  <c r="L248" i="3"/>
  <c r="K248" i="3"/>
  <c r="F248" i="3"/>
  <c r="E248" i="3"/>
  <c r="D248" i="3"/>
  <c r="C248" i="3"/>
  <c r="H248" i="3" s="1"/>
  <c r="I248" i="3" s="1"/>
  <c r="J248" i="3" s="1"/>
  <c r="B248" i="3"/>
  <c r="L247" i="3"/>
  <c r="K247" i="3"/>
  <c r="I247" i="3"/>
  <c r="J247" i="3" s="1"/>
  <c r="H247" i="3"/>
  <c r="F247" i="3"/>
  <c r="G247" i="3" s="1"/>
  <c r="E247" i="3"/>
  <c r="C247" i="3"/>
  <c r="B247" i="3"/>
  <c r="D247" i="3" s="1"/>
  <c r="M246" i="3"/>
  <c r="L246" i="3"/>
  <c r="K246" i="3"/>
  <c r="E246" i="3"/>
  <c r="D246" i="3"/>
  <c r="C246" i="3"/>
  <c r="H246" i="3" s="1"/>
  <c r="I246" i="3" s="1"/>
  <c r="J246" i="3" s="1"/>
  <c r="B246" i="3"/>
  <c r="M245" i="3"/>
  <c r="L245" i="3"/>
  <c r="K245" i="3"/>
  <c r="H245" i="3"/>
  <c r="I245" i="3" s="1"/>
  <c r="J245" i="3" s="1"/>
  <c r="G245" i="3"/>
  <c r="F245" i="3"/>
  <c r="E245" i="3"/>
  <c r="C245" i="3"/>
  <c r="B245" i="3"/>
  <c r="D245" i="3" s="1"/>
  <c r="M244" i="3"/>
  <c r="L244" i="3"/>
  <c r="K244" i="3"/>
  <c r="E244" i="3"/>
  <c r="B244" i="3"/>
  <c r="L243" i="3"/>
  <c r="K243" i="3"/>
  <c r="G243" i="3"/>
  <c r="F243" i="3"/>
  <c r="E243" i="3"/>
  <c r="B243" i="3"/>
  <c r="D243" i="3" s="1"/>
  <c r="Q242" i="3"/>
  <c r="P242" i="3"/>
  <c r="O242" i="3"/>
  <c r="N242" i="3"/>
  <c r="M242" i="3"/>
  <c r="L242" i="3"/>
  <c r="K242" i="3"/>
  <c r="G242" i="3"/>
  <c r="F242" i="3"/>
  <c r="E242" i="3"/>
  <c r="B242" i="3"/>
  <c r="D242" i="3" s="1"/>
  <c r="L241" i="3"/>
  <c r="K241" i="3"/>
  <c r="E241" i="3"/>
  <c r="B241" i="3"/>
  <c r="L240" i="3"/>
  <c r="K240" i="3"/>
  <c r="E240" i="3"/>
  <c r="D240" i="3"/>
  <c r="C240" i="3"/>
  <c r="H240" i="3" s="1"/>
  <c r="I240" i="3" s="1"/>
  <c r="J240" i="3" s="1"/>
  <c r="B240" i="3"/>
  <c r="M239" i="3"/>
  <c r="L239" i="3"/>
  <c r="K239" i="3"/>
  <c r="G239" i="3"/>
  <c r="F239" i="3"/>
  <c r="E239" i="3"/>
  <c r="B239" i="3"/>
  <c r="L238" i="3"/>
  <c r="K238" i="3"/>
  <c r="E238" i="3"/>
  <c r="B238" i="3"/>
  <c r="L237" i="3"/>
  <c r="K237" i="3"/>
  <c r="E237" i="3"/>
  <c r="B237" i="3"/>
  <c r="D237" i="3" s="1"/>
  <c r="L236" i="3"/>
  <c r="K236" i="3"/>
  <c r="E236" i="3"/>
  <c r="C236" i="3"/>
  <c r="H236" i="3" s="1"/>
  <c r="I236" i="3" s="1"/>
  <c r="J236" i="3" s="1"/>
  <c r="B236" i="3"/>
  <c r="D236" i="3" s="1"/>
  <c r="L235" i="3"/>
  <c r="K235" i="3"/>
  <c r="F235" i="3"/>
  <c r="E235" i="3"/>
  <c r="D235" i="3"/>
  <c r="C235" i="3"/>
  <c r="H235" i="3" s="1"/>
  <c r="I235" i="3" s="1"/>
  <c r="J235" i="3" s="1"/>
  <c r="B235" i="3"/>
  <c r="L234" i="3"/>
  <c r="K234" i="3"/>
  <c r="I234" i="3"/>
  <c r="J234" i="3" s="1"/>
  <c r="H234" i="3"/>
  <c r="F234" i="3"/>
  <c r="G234" i="3" s="1"/>
  <c r="E234" i="3"/>
  <c r="C234" i="3"/>
  <c r="B234" i="3"/>
  <c r="D234" i="3" s="1"/>
  <c r="L233" i="3"/>
  <c r="K233" i="3"/>
  <c r="F233" i="3"/>
  <c r="E233" i="3"/>
  <c r="G233" i="3" s="1"/>
  <c r="B233" i="3"/>
  <c r="C233" i="3" s="1"/>
  <c r="H233" i="3" s="1"/>
  <c r="I233" i="3" s="1"/>
  <c r="J233" i="3" s="1"/>
  <c r="M232" i="3"/>
  <c r="L232" i="3"/>
  <c r="K232" i="3"/>
  <c r="F232" i="3"/>
  <c r="G232" i="3" s="1"/>
  <c r="E232" i="3"/>
  <c r="B232" i="3"/>
  <c r="D232" i="3" s="1"/>
  <c r="L231" i="3"/>
  <c r="K231" i="3"/>
  <c r="E231" i="3"/>
  <c r="B231" i="3"/>
  <c r="L230" i="3"/>
  <c r="K230" i="3"/>
  <c r="H230" i="3"/>
  <c r="I230" i="3" s="1"/>
  <c r="J230" i="3" s="1"/>
  <c r="E230" i="3"/>
  <c r="D230" i="3"/>
  <c r="C230" i="3"/>
  <c r="B230" i="3"/>
  <c r="L229" i="3"/>
  <c r="K229" i="3"/>
  <c r="G229" i="3"/>
  <c r="F229" i="3"/>
  <c r="E229" i="3"/>
  <c r="C229" i="3"/>
  <c r="H229" i="3" s="1"/>
  <c r="I229" i="3" s="1"/>
  <c r="J229" i="3" s="1"/>
  <c r="B229" i="3"/>
  <c r="D229" i="3" s="1"/>
  <c r="K228" i="3"/>
  <c r="E228" i="3"/>
  <c r="B228" i="3"/>
  <c r="L227" i="3"/>
  <c r="K227" i="3"/>
  <c r="H227" i="3"/>
  <c r="I227" i="3" s="1"/>
  <c r="J227" i="3" s="1"/>
  <c r="E227" i="3"/>
  <c r="D227" i="3"/>
  <c r="C227" i="3"/>
  <c r="B227" i="3"/>
  <c r="L226" i="3"/>
  <c r="K226" i="3"/>
  <c r="F226" i="3"/>
  <c r="G226" i="3" s="1"/>
  <c r="E226" i="3"/>
  <c r="C226" i="3"/>
  <c r="H226" i="3" s="1"/>
  <c r="I226" i="3" s="1"/>
  <c r="J226" i="3" s="1"/>
  <c r="B226" i="3"/>
  <c r="D226" i="3" s="1"/>
  <c r="M225" i="3"/>
  <c r="L225" i="3"/>
  <c r="K225" i="3"/>
  <c r="J225" i="3"/>
  <c r="G225" i="3"/>
  <c r="E225" i="3"/>
  <c r="F225" i="3" s="1"/>
  <c r="D225" i="3"/>
  <c r="C225" i="3"/>
  <c r="H225" i="3" s="1"/>
  <c r="I225" i="3" s="1"/>
  <c r="B225" i="3"/>
  <c r="M224" i="3"/>
  <c r="L224" i="3"/>
  <c r="K224" i="3"/>
  <c r="G224" i="3"/>
  <c r="F224" i="3"/>
  <c r="E224" i="3"/>
  <c r="C224" i="3"/>
  <c r="H224" i="3" s="1"/>
  <c r="I224" i="3" s="1"/>
  <c r="J224" i="3" s="1"/>
  <c r="B224" i="3"/>
  <c r="D224" i="3" s="1"/>
  <c r="M223" i="3"/>
  <c r="L223" i="3"/>
  <c r="K223" i="3"/>
  <c r="G223" i="3"/>
  <c r="E223" i="3"/>
  <c r="F223" i="3" s="1"/>
  <c r="B223" i="3"/>
  <c r="L222" i="3"/>
  <c r="K222" i="3"/>
  <c r="E222" i="3"/>
  <c r="F222" i="3" s="1"/>
  <c r="G222" i="3" s="1"/>
  <c r="B222" i="3"/>
  <c r="L221" i="3"/>
  <c r="K221" i="3"/>
  <c r="E221" i="3"/>
  <c r="B221" i="3"/>
  <c r="L220" i="3"/>
  <c r="K220" i="3"/>
  <c r="H220" i="3"/>
  <c r="I220" i="3" s="1"/>
  <c r="J220" i="3" s="1"/>
  <c r="F220" i="3"/>
  <c r="E220" i="3"/>
  <c r="D220" i="3"/>
  <c r="C220" i="3"/>
  <c r="B220" i="3"/>
  <c r="M219" i="3"/>
  <c r="L219" i="3"/>
  <c r="K219" i="3"/>
  <c r="G219" i="3"/>
  <c r="F219" i="3"/>
  <c r="E219" i="3"/>
  <c r="B219" i="3"/>
  <c r="L218" i="3"/>
  <c r="K218" i="3"/>
  <c r="E218" i="3"/>
  <c r="D218" i="3"/>
  <c r="B218" i="3"/>
  <c r="C218" i="3" s="1"/>
  <c r="H218" i="3" s="1"/>
  <c r="I218" i="3" s="1"/>
  <c r="J218" i="3" s="1"/>
  <c r="M217" i="3"/>
  <c r="L217" i="3"/>
  <c r="K217" i="3"/>
  <c r="H217" i="3"/>
  <c r="I217" i="3" s="1"/>
  <c r="J217" i="3" s="1"/>
  <c r="G217" i="3"/>
  <c r="F217" i="3"/>
  <c r="E217" i="3"/>
  <c r="D217" i="3"/>
  <c r="C217" i="3"/>
  <c r="B217" i="3"/>
  <c r="N216" i="3"/>
  <c r="M216" i="3"/>
  <c r="L216" i="3"/>
  <c r="K216" i="3"/>
  <c r="H216" i="3"/>
  <c r="I216" i="3" s="1"/>
  <c r="J216" i="3" s="1"/>
  <c r="F216" i="3"/>
  <c r="E216" i="3"/>
  <c r="D216" i="3"/>
  <c r="C216" i="3"/>
  <c r="B216" i="3"/>
  <c r="K215" i="3"/>
  <c r="G215" i="3"/>
  <c r="F215" i="3"/>
  <c r="E215" i="3"/>
  <c r="B215" i="3"/>
  <c r="L214" i="3"/>
  <c r="K214" i="3"/>
  <c r="E214" i="3"/>
  <c r="B214" i="3"/>
  <c r="D214" i="3" s="1"/>
  <c r="L213" i="3"/>
  <c r="K213" i="3"/>
  <c r="F213" i="3"/>
  <c r="E213" i="3"/>
  <c r="D213" i="3"/>
  <c r="C213" i="3"/>
  <c r="H213" i="3" s="1"/>
  <c r="I213" i="3" s="1"/>
  <c r="J213" i="3" s="1"/>
  <c r="B213" i="3"/>
  <c r="N212" i="3"/>
  <c r="M212" i="3"/>
  <c r="L212" i="3"/>
  <c r="K212" i="3"/>
  <c r="E212" i="3"/>
  <c r="B212" i="3"/>
  <c r="D212" i="3" s="1"/>
  <c r="L211" i="3"/>
  <c r="K211" i="3"/>
  <c r="F211" i="3"/>
  <c r="E211" i="3"/>
  <c r="D211" i="3"/>
  <c r="C211" i="3"/>
  <c r="H211" i="3" s="1"/>
  <c r="I211" i="3" s="1"/>
  <c r="J211" i="3" s="1"/>
  <c r="B211" i="3"/>
  <c r="M210" i="3"/>
  <c r="L210" i="3"/>
  <c r="K210" i="3"/>
  <c r="G210" i="3"/>
  <c r="F210" i="3"/>
  <c r="E210" i="3"/>
  <c r="D210" i="3"/>
  <c r="B210" i="3"/>
  <c r="C210" i="3" s="1"/>
  <c r="H210" i="3" s="1"/>
  <c r="I210" i="3" s="1"/>
  <c r="J210" i="3" s="1"/>
  <c r="L209" i="3"/>
  <c r="K209" i="3"/>
  <c r="G209" i="3"/>
  <c r="E209" i="3"/>
  <c r="F209" i="3" s="1"/>
  <c r="C209" i="3"/>
  <c r="H209" i="3" s="1"/>
  <c r="I209" i="3" s="1"/>
  <c r="J209" i="3" s="1"/>
  <c r="B209" i="3"/>
  <c r="D209" i="3" s="1"/>
  <c r="L208" i="3"/>
  <c r="K208" i="3"/>
  <c r="G208" i="3"/>
  <c r="E208" i="3"/>
  <c r="F208" i="3" s="1"/>
  <c r="B208" i="3"/>
  <c r="L207" i="3"/>
  <c r="K207" i="3"/>
  <c r="E207" i="3"/>
  <c r="C207" i="3"/>
  <c r="H207" i="3" s="1"/>
  <c r="I207" i="3" s="1"/>
  <c r="J207" i="3" s="1"/>
  <c r="B207" i="3"/>
  <c r="D207" i="3" s="1"/>
  <c r="L206" i="3"/>
  <c r="K206" i="3"/>
  <c r="F206" i="3"/>
  <c r="E206" i="3"/>
  <c r="D206" i="3"/>
  <c r="C206" i="3"/>
  <c r="H206" i="3" s="1"/>
  <c r="I206" i="3" s="1"/>
  <c r="J206" i="3" s="1"/>
  <c r="B206" i="3"/>
  <c r="L205" i="3"/>
  <c r="K205" i="3"/>
  <c r="H205" i="3"/>
  <c r="I205" i="3" s="1"/>
  <c r="J205" i="3" s="1"/>
  <c r="G205" i="3"/>
  <c r="E205" i="3"/>
  <c r="F205" i="3" s="1"/>
  <c r="C205" i="3"/>
  <c r="B205" i="3"/>
  <c r="D205" i="3" s="1"/>
  <c r="L204" i="3"/>
  <c r="K204" i="3"/>
  <c r="F204" i="3"/>
  <c r="E204" i="3"/>
  <c r="D204" i="3"/>
  <c r="B204" i="3"/>
  <c r="C204" i="3" s="1"/>
  <c r="H204" i="3" s="1"/>
  <c r="I204" i="3" s="1"/>
  <c r="J204" i="3" s="1"/>
  <c r="L203" i="3"/>
  <c r="K203" i="3"/>
  <c r="G203" i="3"/>
  <c r="F203" i="3"/>
  <c r="E203" i="3"/>
  <c r="D203" i="3"/>
  <c r="C203" i="3"/>
  <c r="H203" i="3" s="1"/>
  <c r="I203" i="3" s="1"/>
  <c r="J203" i="3" s="1"/>
  <c r="B203" i="3"/>
  <c r="N202" i="3"/>
  <c r="M202" i="3"/>
  <c r="L202" i="3"/>
  <c r="K202" i="3"/>
  <c r="F202" i="3"/>
  <c r="E202" i="3"/>
  <c r="C202" i="3"/>
  <c r="H202" i="3" s="1"/>
  <c r="I202" i="3" s="1"/>
  <c r="J202" i="3" s="1"/>
  <c r="B202" i="3"/>
  <c r="D202" i="3" s="1"/>
  <c r="K201" i="3"/>
  <c r="F201" i="3"/>
  <c r="E201" i="3"/>
  <c r="C201" i="3"/>
  <c r="H201" i="3" s="1"/>
  <c r="I201" i="3" s="1"/>
  <c r="J201" i="3" s="1"/>
  <c r="B201" i="3"/>
  <c r="D201" i="3" s="1"/>
  <c r="L200" i="3"/>
  <c r="K200" i="3"/>
  <c r="H200" i="3"/>
  <c r="I200" i="3" s="1"/>
  <c r="J200" i="3" s="1"/>
  <c r="E200" i="3"/>
  <c r="F200" i="3" s="1"/>
  <c r="C200" i="3"/>
  <c r="B200" i="3"/>
  <c r="D200" i="3" s="1"/>
  <c r="L199" i="3"/>
  <c r="K199" i="3"/>
  <c r="I199" i="3"/>
  <c r="J199" i="3" s="1"/>
  <c r="F199" i="3"/>
  <c r="E199" i="3"/>
  <c r="D199" i="3"/>
  <c r="B199" i="3"/>
  <c r="C199" i="3" s="1"/>
  <c r="H199" i="3" s="1"/>
  <c r="L198" i="3"/>
  <c r="K198" i="3"/>
  <c r="G198" i="3"/>
  <c r="F198" i="3"/>
  <c r="E198" i="3"/>
  <c r="D198" i="3"/>
  <c r="C198" i="3"/>
  <c r="H198" i="3" s="1"/>
  <c r="I198" i="3" s="1"/>
  <c r="J198" i="3" s="1"/>
  <c r="B198" i="3"/>
  <c r="O197" i="3"/>
  <c r="N197" i="3"/>
  <c r="M197" i="3"/>
  <c r="L197" i="3"/>
  <c r="K197" i="3"/>
  <c r="G197" i="3"/>
  <c r="E197" i="3"/>
  <c r="F197" i="3" s="1"/>
  <c r="C197" i="3"/>
  <c r="H197" i="3" s="1"/>
  <c r="I197" i="3" s="1"/>
  <c r="J197" i="3" s="1"/>
  <c r="B197" i="3"/>
  <c r="D197" i="3" s="1"/>
  <c r="N196" i="3"/>
  <c r="M196" i="3"/>
  <c r="L196" i="3"/>
  <c r="K196" i="3"/>
  <c r="G196" i="3"/>
  <c r="F196" i="3"/>
  <c r="E196" i="3"/>
  <c r="B196" i="3"/>
  <c r="N195" i="3"/>
  <c r="M195" i="3"/>
  <c r="L195" i="3"/>
  <c r="K195" i="3"/>
  <c r="I195" i="3"/>
  <c r="J195" i="3" s="1"/>
  <c r="E195" i="3"/>
  <c r="D195" i="3"/>
  <c r="C195" i="3"/>
  <c r="H195" i="3" s="1"/>
  <c r="B195" i="3"/>
  <c r="L194" i="3"/>
  <c r="K194" i="3"/>
  <c r="H194" i="3"/>
  <c r="I194" i="3" s="1"/>
  <c r="J194" i="3" s="1"/>
  <c r="G194" i="3"/>
  <c r="F194" i="3"/>
  <c r="E194" i="3"/>
  <c r="D194" i="3"/>
  <c r="B194" i="3"/>
  <c r="C194" i="3" s="1"/>
  <c r="L193" i="3"/>
  <c r="K193" i="3"/>
  <c r="J193" i="3"/>
  <c r="I193" i="3"/>
  <c r="E193" i="3"/>
  <c r="D193" i="3"/>
  <c r="C193" i="3"/>
  <c r="H193" i="3" s="1"/>
  <c r="B193" i="3"/>
  <c r="L192" i="3"/>
  <c r="K192" i="3"/>
  <c r="G192" i="3"/>
  <c r="F192" i="3"/>
  <c r="E192" i="3"/>
  <c r="B192" i="3"/>
  <c r="C192" i="3" s="1"/>
  <c r="H192" i="3" s="1"/>
  <c r="I192" i="3" s="1"/>
  <c r="J192" i="3" s="1"/>
  <c r="L191" i="3"/>
  <c r="K191" i="3"/>
  <c r="G191" i="3"/>
  <c r="E191" i="3"/>
  <c r="F191" i="3" s="1"/>
  <c r="B191" i="3"/>
  <c r="K190" i="3"/>
  <c r="G190" i="3"/>
  <c r="E190" i="3"/>
  <c r="F190" i="3" s="1"/>
  <c r="B190" i="3"/>
  <c r="M189" i="3"/>
  <c r="L189" i="3"/>
  <c r="K189" i="3"/>
  <c r="I189" i="3"/>
  <c r="J189" i="3" s="1"/>
  <c r="H189" i="3"/>
  <c r="E189" i="3"/>
  <c r="D189" i="3"/>
  <c r="C189" i="3"/>
  <c r="B189" i="3"/>
  <c r="M188" i="3"/>
  <c r="L188" i="3"/>
  <c r="K188" i="3"/>
  <c r="I188" i="3"/>
  <c r="J188" i="3" s="1"/>
  <c r="G188" i="3"/>
  <c r="E188" i="3"/>
  <c r="F188" i="3" s="1"/>
  <c r="D188" i="3"/>
  <c r="C188" i="3"/>
  <c r="H188" i="3" s="1"/>
  <c r="B188" i="3"/>
  <c r="L187" i="3"/>
  <c r="K187" i="3"/>
  <c r="H187" i="3"/>
  <c r="I187" i="3" s="1"/>
  <c r="J187" i="3" s="1"/>
  <c r="F187" i="3"/>
  <c r="E187" i="3"/>
  <c r="G187" i="3" s="1"/>
  <c r="D187" i="3"/>
  <c r="B187" i="3"/>
  <c r="C187" i="3" s="1"/>
  <c r="L186" i="3"/>
  <c r="K186" i="3"/>
  <c r="G186" i="3"/>
  <c r="E186" i="3"/>
  <c r="F186" i="3" s="1"/>
  <c r="B186" i="3"/>
  <c r="D186" i="3" s="1"/>
  <c r="M185" i="3"/>
  <c r="L185" i="3"/>
  <c r="K185" i="3"/>
  <c r="I185" i="3"/>
  <c r="J185" i="3" s="1"/>
  <c r="G185" i="3"/>
  <c r="F185" i="3"/>
  <c r="E185" i="3"/>
  <c r="D185" i="3"/>
  <c r="C185" i="3"/>
  <c r="H185" i="3" s="1"/>
  <c r="B185" i="3"/>
  <c r="N184" i="3"/>
  <c r="M184" i="3"/>
  <c r="L184" i="3"/>
  <c r="K184" i="3"/>
  <c r="H184" i="3"/>
  <c r="I184" i="3" s="1"/>
  <c r="J184" i="3" s="1"/>
  <c r="F184" i="3"/>
  <c r="E184" i="3"/>
  <c r="D184" i="3"/>
  <c r="C184" i="3"/>
  <c r="B184" i="3"/>
  <c r="L183" i="3"/>
  <c r="K183" i="3"/>
  <c r="I183" i="3"/>
  <c r="J183" i="3" s="1"/>
  <c r="G183" i="3"/>
  <c r="E183" i="3"/>
  <c r="F183" i="3" s="1"/>
  <c r="D183" i="3"/>
  <c r="C183" i="3"/>
  <c r="H183" i="3" s="1"/>
  <c r="B183" i="3"/>
  <c r="L182" i="3"/>
  <c r="K182" i="3"/>
  <c r="G182" i="3"/>
  <c r="F182" i="3"/>
  <c r="E182" i="3"/>
  <c r="B182" i="3"/>
  <c r="L181" i="3"/>
  <c r="K181" i="3"/>
  <c r="J181" i="3"/>
  <c r="G181" i="3"/>
  <c r="E181" i="3"/>
  <c r="F181" i="3" s="1"/>
  <c r="C181" i="3"/>
  <c r="H181" i="3" s="1"/>
  <c r="I181" i="3" s="1"/>
  <c r="B181" i="3"/>
  <c r="D181" i="3" s="1"/>
  <c r="L180" i="3"/>
  <c r="K180" i="3"/>
  <c r="J180" i="3"/>
  <c r="H180" i="3"/>
  <c r="I180" i="3" s="1"/>
  <c r="E180" i="3"/>
  <c r="D180" i="3"/>
  <c r="B180" i="3"/>
  <c r="C180" i="3" s="1"/>
  <c r="M179" i="3"/>
  <c r="L179" i="3"/>
  <c r="K179" i="3"/>
  <c r="H179" i="3"/>
  <c r="I179" i="3" s="1"/>
  <c r="J179" i="3" s="1"/>
  <c r="F179" i="3"/>
  <c r="E179" i="3"/>
  <c r="D179" i="3"/>
  <c r="C179" i="3"/>
  <c r="B179" i="3"/>
  <c r="L178" i="3"/>
  <c r="K178" i="3"/>
  <c r="I178" i="3"/>
  <c r="J178" i="3" s="1"/>
  <c r="G178" i="3"/>
  <c r="E178" i="3"/>
  <c r="F178" i="3" s="1"/>
  <c r="D178" i="3"/>
  <c r="C178" i="3"/>
  <c r="H178" i="3" s="1"/>
  <c r="B178" i="3"/>
  <c r="L177" i="3"/>
  <c r="K177" i="3"/>
  <c r="G177" i="3"/>
  <c r="F177" i="3"/>
  <c r="E177" i="3"/>
  <c r="B177" i="3"/>
  <c r="L176" i="3"/>
  <c r="K176" i="3"/>
  <c r="G176" i="3"/>
  <c r="E176" i="3"/>
  <c r="F176" i="3" s="1"/>
  <c r="B176" i="3"/>
  <c r="L175" i="3"/>
  <c r="K175" i="3"/>
  <c r="J175" i="3"/>
  <c r="H175" i="3"/>
  <c r="I175" i="3" s="1"/>
  <c r="E175" i="3"/>
  <c r="D175" i="3"/>
  <c r="B175" i="3"/>
  <c r="C175" i="3" s="1"/>
  <c r="L174" i="3"/>
  <c r="K174" i="3"/>
  <c r="E174" i="3"/>
  <c r="F174" i="3" s="1"/>
  <c r="B174" i="3"/>
  <c r="K173" i="3"/>
  <c r="E173" i="3"/>
  <c r="B173" i="3"/>
  <c r="K172" i="3"/>
  <c r="I172" i="3"/>
  <c r="J172" i="3" s="1"/>
  <c r="E172" i="3"/>
  <c r="D172" i="3"/>
  <c r="C172" i="3"/>
  <c r="H172" i="3" s="1"/>
  <c r="B172" i="3"/>
  <c r="K171" i="3"/>
  <c r="I171" i="3"/>
  <c r="J171" i="3" s="1"/>
  <c r="H171" i="3"/>
  <c r="E171" i="3"/>
  <c r="C171" i="3"/>
  <c r="B171" i="3"/>
  <c r="D171" i="3" s="1"/>
  <c r="K170" i="3"/>
  <c r="E170" i="3"/>
  <c r="B170" i="3"/>
  <c r="K169" i="3"/>
  <c r="E169" i="3"/>
  <c r="B169" i="3"/>
  <c r="C169" i="3" s="1"/>
  <c r="H169" i="3" s="1"/>
  <c r="I169" i="3" s="1"/>
  <c r="J169" i="3" s="1"/>
  <c r="K168" i="3"/>
  <c r="I168" i="3"/>
  <c r="J168" i="3" s="1"/>
  <c r="E168" i="3"/>
  <c r="D168" i="3"/>
  <c r="C168" i="3"/>
  <c r="H168" i="3" s="1"/>
  <c r="B168" i="3"/>
  <c r="K167" i="3"/>
  <c r="I167" i="3"/>
  <c r="J167" i="3" s="1"/>
  <c r="H167" i="3"/>
  <c r="E167" i="3"/>
  <c r="C167" i="3"/>
  <c r="B167" i="3"/>
  <c r="D167" i="3" s="1"/>
  <c r="K166" i="3"/>
  <c r="G166" i="3"/>
  <c r="E166" i="3"/>
  <c r="F166" i="3" s="1"/>
  <c r="B166" i="3"/>
  <c r="N165" i="3"/>
  <c r="M165" i="3"/>
  <c r="L165" i="3"/>
  <c r="K165" i="3"/>
  <c r="H165" i="3"/>
  <c r="I165" i="3" s="1"/>
  <c r="J165" i="3" s="1"/>
  <c r="F165" i="3"/>
  <c r="E165" i="3"/>
  <c r="D165" i="3"/>
  <c r="B165" i="3"/>
  <c r="C165" i="3" s="1"/>
  <c r="K164" i="3"/>
  <c r="F164" i="3"/>
  <c r="G164" i="3" s="1"/>
  <c r="E164" i="3"/>
  <c r="B164" i="3"/>
  <c r="K163" i="3"/>
  <c r="G163" i="3"/>
  <c r="F163" i="3"/>
  <c r="E163" i="3"/>
  <c r="D163" i="3"/>
  <c r="C163" i="3"/>
  <c r="H163" i="3" s="1"/>
  <c r="I163" i="3" s="1"/>
  <c r="J163" i="3" s="1"/>
  <c r="B163" i="3"/>
  <c r="K162" i="3"/>
  <c r="H162" i="3"/>
  <c r="I162" i="3" s="1"/>
  <c r="J162" i="3" s="1"/>
  <c r="F162" i="3"/>
  <c r="E162" i="3"/>
  <c r="C162" i="3"/>
  <c r="B162" i="3"/>
  <c r="D162" i="3" s="1"/>
  <c r="K161" i="3"/>
  <c r="H161" i="3"/>
  <c r="I161" i="3" s="1"/>
  <c r="J161" i="3" s="1"/>
  <c r="G161" i="3"/>
  <c r="E161" i="3"/>
  <c r="F161" i="3" s="1"/>
  <c r="C161" i="3"/>
  <c r="B161" i="3"/>
  <c r="D161" i="3" s="1"/>
  <c r="K160" i="3"/>
  <c r="I160" i="3"/>
  <c r="J160" i="3" s="1"/>
  <c r="G160" i="3"/>
  <c r="F160" i="3"/>
  <c r="E160" i="3"/>
  <c r="D160" i="3"/>
  <c r="B160" i="3"/>
  <c r="C160" i="3" s="1"/>
  <c r="H160" i="3" s="1"/>
  <c r="L159" i="3"/>
  <c r="K159" i="3"/>
  <c r="I159" i="3"/>
  <c r="J159" i="3" s="1"/>
  <c r="E159" i="3"/>
  <c r="D159" i="3"/>
  <c r="B159" i="3"/>
  <c r="C159" i="3" s="1"/>
  <c r="H159" i="3" s="1"/>
  <c r="L158" i="3"/>
  <c r="K158" i="3"/>
  <c r="E158" i="3"/>
  <c r="B158" i="3"/>
  <c r="D158" i="3" s="1"/>
  <c r="K157" i="3"/>
  <c r="F157" i="3"/>
  <c r="E157" i="3"/>
  <c r="B157" i="3"/>
  <c r="C157" i="3" s="1"/>
  <c r="H157" i="3" s="1"/>
  <c r="I157" i="3" s="1"/>
  <c r="J157" i="3" s="1"/>
  <c r="K156" i="3"/>
  <c r="F156" i="3"/>
  <c r="G156" i="3" s="1"/>
  <c r="E156" i="3"/>
  <c r="D156" i="3"/>
  <c r="C156" i="3"/>
  <c r="H156" i="3" s="1"/>
  <c r="I156" i="3" s="1"/>
  <c r="J156" i="3" s="1"/>
  <c r="B156" i="3"/>
  <c r="K155" i="3"/>
  <c r="F155" i="3"/>
  <c r="E155" i="3"/>
  <c r="B155" i="3"/>
  <c r="L154" i="3"/>
  <c r="K154" i="3"/>
  <c r="F154" i="3"/>
  <c r="E154" i="3"/>
  <c r="D154" i="3"/>
  <c r="C154" i="3"/>
  <c r="H154" i="3" s="1"/>
  <c r="I154" i="3" s="1"/>
  <c r="J154" i="3" s="1"/>
  <c r="B154" i="3"/>
  <c r="K153" i="3"/>
  <c r="H153" i="3"/>
  <c r="I153" i="3" s="1"/>
  <c r="J153" i="3" s="1"/>
  <c r="E153" i="3"/>
  <c r="C153" i="3"/>
  <c r="B153" i="3"/>
  <c r="D153" i="3" s="1"/>
  <c r="L152" i="3"/>
  <c r="K152" i="3"/>
  <c r="J152" i="3"/>
  <c r="E152" i="3"/>
  <c r="C152" i="3"/>
  <c r="H152" i="3" s="1"/>
  <c r="I152" i="3" s="1"/>
  <c r="B152" i="3"/>
  <c r="D152" i="3" s="1"/>
  <c r="L151" i="3"/>
  <c r="K151" i="3"/>
  <c r="I151" i="3"/>
  <c r="J151" i="3" s="1"/>
  <c r="H151" i="3"/>
  <c r="E151" i="3"/>
  <c r="D151" i="3"/>
  <c r="C151" i="3"/>
  <c r="B151" i="3"/>
  <c r="M150" i="3"/>
  <c r="L150" i="3"/>
  <c r="K150" i="3"/>
  <c r="H150" i="3"/>
  <c r="I150" i="3" s="1"/>
  <c r="J150" i="3" s="1"/>
  <c r="G150" i="3"/>
  <c r="E150" i="3"/>
  <c r="F150" i="3" s="1"/>
  <c r="D150" i="3"/>
  <c r="B150" i="3"/>
  <c r="C150" i="3" s="1"/>
  <c r="L149" i="3"/>
  <c r="K149" i="3"/>
  <c r="H149" i="3"/>
  <c r="I149" i="3" s="1"/>
  <c r="J149" i="3" s="1"/>
  <c r="G149" i="3"/>
  <c r="E149" i="3"/>
  <c r="F149" i="3" s="1"/>
  <c r="D149" i="3"/>
  <c r="C149" i="3"/>
  <c r="B149" i="3"/>
  <c r="L148" i="3"/>
  <c r="K148" i="3"/>
  <c r="F148" i="3"/>
  <c r="E148" i="3"/>
  <c r="G148" i="3" s="1"/>
  <c r="B148" i="3"/>
  <c r="D148" i="3" s="1"/>
  <c r="L147" i="3"/>
  <c r="K147" i="3"/>
  <c r="F147" i="3"/>
  <c r="E147" i="3"/>
  <c r="B147" i="3"/>
  <c r="N146" i="3"/>
  <c r="M146" i="3"/>
  <c r="L146" i="3"/>
  <c r="K146" i="3"/>
  <c r="J146" i="3"/>
  <c r="H146" i="3"/>
  <c r="I146" i="3" s="1"/>
  <c r="F146" i="3"/>
  <c r="E146" i="3"/>
  <c r="C146" i="3"/>
  <c r="B146" i="3"/>
  <c r="D146" i="3" s="1"/>
  <c r="L145" i="3"/>
  <c r="K145" i="3"/>
  <c r="F145" i="3"/>
  <c r="E145" i="3"/>
  <c r="B145" i="3"/>
  <c r="L144" i="3"/>
  <c r="K144" i="3"/>
  <c r="F144" i="3"/>
  <c r="E144" i="3"/>
  <c r="D144" i="3"/>
  <c r="C144" i="3"/>
  <c r="H144" i="3" s="1"/>
  <c r="I144" i="3" s="1"/>
  <c r="J144" i="3" s="1"/>
  <c r="B144" i="3"/>
  <c r="L143" i="3"/>
  <c r="K143" i="3"/>
  <c r="I143" i="3"/>
  <c r="J143" i="3" s="1"/>
  <c r="H143" i="3"/>
  <c r="G143" i="3"/>
  <c r="F143" i="3"/>
  <c r="E143" i="3"/>
  <c r="D143" i="3"/>
  <c r="C143" i="3"/>
  <c r="B143" i="3"/>
  <c r="L142" i="3"/>
  <c r="K142" i="3"/>
  <c r="G142" i="3"/>
  <c r="F142" i="3"/>
  <c r="E142" i="3"/>
  <c r="B142" i="3"/>
  <c r="D142" i="3" s="1"/>
  <c r="L141" i="3"/>
  <c r="K141" i="3"/>
  <c r="J141" i="3"/>
  <c r="I141" i="3"/>
  <c r="E141" i="3"/>
  <c r="D141" i="3"/>
  <c r="B141" i="3"/>
  <c r="C141" i="3" s="1"/>
  <c r="H141" i="3" s="1"/>
  <c r="L140" i="3"/>
  <c r="K140" i="3"/>
  <c r="H140" i="3"/>
  <c r="I140" i="3" s="1"/>
  <c r="J140" i="3" s="1"/>
  <c r="E140" i="3"/>
  <c r="F140" i="3" s="1"/>
  <c r="D140" i="3"/>
  <c r="B140" i="3"/>
  <c r="C140" i="3" s="1"/>
  <c r="L139" i="3"/>
  <c r="K139" i="3"/>
  <c r="E139" i="3"/>
  <c r="F139" i="3" s="1"/>
  <c r="B139" i="3"/>
  <c r="K138" i="3"/>
  <c r="F138" i="3"/>
  <c r="G138" i="3" s="1"/>
  <c r="E138" i="3"/>
  <c r="B138" i="3"/>
  <c r="L137" i="3"/>
  <c r="K137" i="3"/>
  <c r="H137" i="3"/>
  <c r="I137" i="3" s="1"/>
  <c r="J137" i="3" s="1"/>
  <c r="G137" i="3"/>
  <c r="E137" i="3"/>
  <c r="F137" i="3" s="1"/>
  <c r="D137" i="3"/>
  <c r="B137" i="3"/>
  <c r="C137" i="3" s="1"/>
  <c r="L136" i="3"/>
  <c r="K136" i="3"/>
  <c r="H136" i="3"/>
  <c r="I136" i="3" s="1"/>
  <c r="J136" i="3" s="1"/>
  <c r="G136" i="3"/>
  <c r="E136" i="3"/>
  <c r="F136" i="3" s="1"/>
  <c r="D136" i="3"/>
  <c r="C136" i="3"/>
  <c r="B136" i="3"/>
  <c r="L135" i="3"/>
  <c r="K135" i="3"/>
  <c r="F135" i="3"/>
  <c r="E135" i="3"/>
  <c r="G135" i="3" s="1"/>
  <c r="B135" i="3"/>
  <c r="D135" i="3" s="1"/>
  <c r="L134" i="3"/>
  <c r="K134" i="3"/>
  <c r="F134" i="3"/>
  <c r="E134" i="3"/>
  <c r="B134" i="3"/>
  <c r="L133" i="3"/>
  <c r="K133" i="3"/>
  <c r="H133" i="3"/>
  <c r="I133" i="3" s="1"/>
  <c r="J133" i="3" s="1"/>
  <c r="F133" i="3"/>
  <c r="E133" i="3"/>
  <c r="D133" i="3"/>
  <c r="C133" i="3"/>
  <c r="B133" i="3"/>
  <c r="K132" i="3"/>
  <c r="E132" i="3"/>
  <c r="B132" i="3"/>
  <c r="D132" i="3" s="1"/>
  <c r="L131" i="3"/>
  <c r="K131" i="3"/>
  <c r="J131" i="3"/>
  <c r="E131" i="3"/>
  <c r="C131" i="3"/>
  <c r="H131" i="3" s="1"/>
  <c r="I131" i="3" s="1"/>
  <c r="B131" i="3"/>
  <c r="D131" i="3" s="1"/>
  <c r="L130" i="3"/>
  <c r="K130" i="3"/>
  <c r="E130" i="3"/>
  <c r="D130" i="3"/>
  <c r="C130" i="3"/>
  <c r="H130" i="3" s="1"/>
  <c r="I130" i="3" s="1"/>
  <c r="J130" i="3" s="1"/>
  <c r="B130" i="3"/>
  <c r="L129" i="3"/>
  <c r="K129" i="3"/>
  <c r="F129" i="3"/>
  <c r="G129" i="3" s="1"/>
  <c r="E129" i="3"/>
  <c r="D129" i="3"/>
  <c r="C129" i="3"/>
  <c r="H129" i="3" s="1"/>
  <c r="I129" i="3" s="1"/>
  <c r="J129" i="3" s="1"/>
  <c r="B129" i="3"/>
  <c r="K128" i="3"/>
  <c r="F128" i="3"/>
  <c r="E128" i="3"/>
  <c r="C128" i="3"/>
  <c r="H128" i="3" s="1"/>
  <c r="I128" i="3" s="1"/>
  <c r="J128" i="3" s="1"/>
  <c r="B128" i="3"/>
  <c r="D128" i="3" s="1"/>
  <c r="L127" i="3"/>
  <c r="K127" i="3"/>
  <c r="I127" i="3"/>
  <c r="J127" i="3" s="1"/>
  <c r="H127" i="3"/>
  <c r="F127" i="3"/>
  <c r="E127" i="3"/>
  <c r="D127" i="3"/>
  <c r="C127" i="3"/>
  <c r="B127" i="3"/>
  <c r="L126" i="3"/>
  <c r="K126" i="3"/>
  <c r="F126" i="3"/>
  <c r="G126" i="3" s="1"/>
  <c r="E126" i="3"/>
  <c r="D126" i="3"/>
  <c r="C126" i="3"/>
  <c r="H126" i="3" s="1"/>
  <c r="I126" i="3" s="1"/>
  <c r="J126" i="3" s="1"/>
  <c r="B126" i="3"/>
  <c r="L125" i="3"/>
  <c r="K125" i="3"/>
  <c r="G125" i="3"/>
  <c r="F125" i="3"/>
  <c r="E125" i="3"/>
  <c r="D125" i="3"/>
  <c r="C125" i="3"/>
  <c r="H125" i="3" s="1"/>
  <c r="I125" i="3" s="1"/>
  <c r="J125" i="3" s="1"/>
  <c r="B125" i="3"/>
  <c r="L124" i="3"/>
  <c r="K124" i="3"/>
  <c r="J124" i="3"/>
  <c r="I124" i="3"/>
  <c r="E124" i="3"/>
  <c r="F124" i="3" s="1"/>
  <c r="D124" i="3"/>
  <c r="B124" i="3"/>
  <c r="C124" i="3" s="1"/>
  <c r="H124" i="3" s="1"/>
  <c r="L123" i="3"/>
  <c r="K123" i="3"/>
  <c r="G123" i="3"/>
  <c r="E123" i="3"/>
  <c r="F123" i="3" s="1"/>
  <c r="B123" i="3"/>
  <c r="K122" i="3"/>
  <c r="F122" i="3"/>
  <c r="G122" i="3" s="1"/>
  <c r="E122" i="3"/>
  <c r="C122" i="3"/>
  <c r="H122" i="3" s="1"/>
  <c r="I122" i="3" s="1"/>
  <c r="J122" i="3" s="1"/>
  <c r="B122" i="3"/>
  <c r="D122" i="3" s="1"/>
  <c r="L121" i="3"/>
  <c r="K121" i="3"/>
  <c r="J121" i="3"/>
  <c r="I121" i="3"/>
  <c r="E121" i="3"/>
  <c r="D121" i="3"/>
  <c r="B121" i="3"/>
  <c r="C121" i="3" s="1"/>
  <c r="H121" i="3" s="1"/>
  <c r="M120" i="3"/>
  <c r="L120" i="3"/>
  <c r="K120" i="3"/>
  <c r="F120" i="3"/>
  <c r="E120" i="3"/>
  <c r="B120" i="3"/>
  <c r="L119" i="3"/>
  <c r="K119" i="3"/>
  <c r="F119" i="3"/>
  <c r="E119" i="3"/>
  <c r="D119" i="3"/>
  <c r="C119" i="3"/>
  <c r="H119" i="3" s="1"/>
  <c r="I119" i="3" s="1"/>
  <c r="J119" i="3" s="1"/>
  <c r="B119" i="3"/>
  <c r="L118" i="3"/>
  <c r="K118" i="3"/>
  <c r="I118" i="3"/>
  <c r="J118" i="3" s="1"/>
  <c r="H118" i="3"/>
  <c r="F118" i="3"/>
  <c r="G118" i="3" s="1"/>
  <c r="E118" i="3"/>
  <c r="D118" i="3"/>
  <c r="C118" i="3"/>
  <c r="B118" i="3"/>
  <c r="L117" i="3"/>
  <c r="K117" i="3"/>
  <c r="F117" i="3"/>
  <c r="G117" i="3" s="1"/>
  <c r="E117" i="3"/>
  <c r="C117" i="3"/>
  <c r="H117" i="3" s="1"/>
  <c r="I117" i="3" s="1"/>
  <c r="J117" i="3" s="1"/>
  <c r="B117" i="3"/>
  <c r="D117" i="3" s="1"/>
  <c r="L116" i="3"/>
  <c r="K116" i="3"/>
  <c r="I116" i="3"/>
  <c r="J116" i="3" s="1"/>
  <c r="E116" i="3"/>
  <c r="D116" i="3"/>
  <c r="B116" i="3"/>
  <c r="C116" i="3" s="1"/>
  <c r="H116" i="3" s="1"/>
  <c r="L115" i="3"/>
  <c r="K115" i="3"/>
  <c r="G115" i="3"/>
  <c r="E115" i="3"/>
  <c r="F115" i="3" s="1"/>
  <c r="B115" i="3"/>
  <c r="C115" i="3" s="1"/>
  <c r="H115" i="3" s="1"/>
  <c r="I115" i="3" s="1"/>
  <c r="J115" i="3" s="1"/>
  <c r="M114" i="3"/>
  <c r="L114" i="3"/>
  <c r="K114" i="3"/>
  <c r="F114" i="3"/>
  <c r="E114" i="3"/>
  <c r="D114" i="3"/>
  <c r="C114" i="3"/>
  <c r="H114" i="3" s="1"/>
  <c r="I114" i="3" s="1"/>
  <c r="J114" i="3" s="1"/>
  <c r="B114" i="3"/>
  <c r="L113" i="3"/>
  <c r="K113" i="3"/>
  <c r="I113" i="3"/>
  <c r="J113" i="3" s="1"/>
  <c r="H113" i="3"/>
  <c r="F113" i="3"/>
  <c r="G113" i="3" s="1"/>
  <c r="E113" i="3"/>
  <c r="D113" i="3"/>
  <c r="C113" i="3"/>
  <c r="B113" i="3"/>
  <c r="L112" i="3"/>
  <c r="K112" i="3"/>
  <c r="F112" i="3"/>
  <c r="G112" i="3" s="1"/>
  <c r="E112" i="3"/>
  <c r="C112" i="3"/>
  <c r="H112" i="3" s="1"/>
  <c r="I112" i="3" s="1"/>
  <c r="J112" i="3" s="1"/>
  <c r="B112" i="3"/>
  <c r="D112" i="3" s="1"/>
  <c r="L111" i="3"/>
  <c r="K111" i="3"/>
  <c r="J111" i="3"/>
  <c r="I111" i="3"/>
  <c r="E111" i="3"/>
  <c r="D111" i="3"/>
  <c r="B111" i="3"/>
  <c r="C111" i="3" s="1"/>
  <c r="H111" i="3" s="1"/>
  <c r="L110" i="3"/>
  <c r="K110" i="3"/>
  <c r="G110" i="3"/>
  <c r="E110" i="3"/>
  <c r="F110" i="3" s="1"/>
  <c r="B110" i="3"/>
  <c r="C110" i="3" s="1"/>
  <c r="H110" i="3" s="1"/>
  <c r="I110" i="3" s="1"/>
  <c r="J110" i="3" s="1"/>
  <c r="L109" i="3"/>
  <c r="K109" i="3"/>
  <c r="G109" i="3"/>
  <c r="E109" i="3"/>
  <c r="F109" i="3" s="1"/>
  <c r="B109" i="3"/>
  <c r="L108" i="3"/>
  <c r="K108" i="3"/>
  <c r="E108" i="3"/>
  <c r="F108" i="3" s="1"/>
  <c r="G108" i="3" s="1"/>
  <c r="C108" i="3"/>
  <c r="H108" i="3" s="1"/>
  <c r="I108" i="3" s="1"/>
  <c r="J108" i="3" s="1"/>
  <c r="B108" i="3"/>
  <c r="D108" i="3" s="1"/>
  <c r="M107" i="3"/>
  <c r="L107" i="3"/>
  <c r="K107" i="3"/>
  <c r="F107" i="3"/>
  <c r="G107" i="3" s="1"/>
  <c r="E107" i="3"/>
  <c r="B107" i="3"/>
  <c r="M106" i="3"/>
  <c r="L106" i="3"/>
  <c r="K106" i="3"/>
  <c r="H106" i="3"/>
  <c r="I106" i="3" s="1"/>
  <c r="J106" i="3" s="1"/>
  <c r="E106" i="3"/>
  <c r="C106" i="3"/>
  <c r="B106" i="3"/>
  <c r="D106" i="3" s="1"/>
  <c r="K105" i="3"/>
  <c r="I105" i="3"/>
  <c r="J105" i="3" s="1"/>
  <c r="H105" i="3"/>
  <c r="E105" i="3"/>
  <c r="D105" i="3"/>
  <c r="B105" i="3"/>
  <c r="C105" i="3" s="1"/>
  <c r="L104" i="3"/>
  <c r="K104" i="3"/>
  <c r="E104" i="3"/>
  <c r="D104" i="3"/>
  <c r="B104" i="3"/>
  <c r="C104" i="3" s="1"/>
  <c r="H104" i="3" s="1"/>
  <c r="I104" i="3" s="1"/>
  <c r="J104" i="3" s="1"/>
  <c r="K103" i="3"/>
  <c r="J103" i="3"/>
  <c r="F103" i="3"/>
  <c r="E103" i="3"/>
  <c r="G103" i="3" s="1"/>
  <c r="B103" i="3"/>
  <c r="C103" i="3" s="1"/>
  <c r="H103" i="3" s="1"/>
  <c r="I103" i="3" s="1"/>
  <c r="K102" i="3"/>
  <c r="F102" i="3"/>
  <c r="G102" i="3" s="1"/>
  <c r="E102" i="3"/>
  <c r="D102" i="3"/>
  <c r="C102" i="3"/>
  <c r="H102" i="3" s="1"/>
  <c r="I102" i="3" s="1"/>
  <c r="J102" i="3" s="1"/>
  <c r="B102" i="3"/>
  <c r="K101" i="3"/>
  <c r="F101" i="3"/>
  <c r="E101" i="3"/>
  <c r="B101" i="3"/>
  <c r="K100" i="3"/>
  <c r="G100" i="3"/>
  <c r="E100" i="3"/>
  <c r="F100" i="3" s="1"/>
  <c r="B100" i="3"/>
  <c r="K99" i="3"/>
  <c r="G99" i="3"/>
  <c r="F99" i="3"/>
  <c r="E99" i="3"/>
  <c r="B99" i="3"/>
  <c r="K98" i="3"/>
  <c r="G98" i="3"/>
  <c r="F98" i="3"/>
  <c r="E98" i="3"/>
  <c r="D98" i="3"/>
  <c r="C98" i="3"/>
  <c r="H98" i="3" s="1"/>
  <c r="I98" i="3" s="1"/>
  <c r="J98" i="3" s="1"/>
  <c r="B98" i="3"/>
  <c r="K97" i="3"/>
  <c r="E97" i="3"/>
  <c r="B97" i="3"/>
  <c r="D97" i="3" s="1"/>
  <c r="K96" i="3"/>
  <c r="G96" i="3"/>
  <c r="E96" i="3"/>
  <c r="F96" i="3" s="1"/>
  <c r="B96" i="3"/>
  <c r="D96" i="3" s="1"/>
  <c r="K95" i="3"/>
  <c r="I95" i="3"/>
  <c r="J95" i="3" s="1"/>
  <c r="E95" i="3"/>
  <c r="F95" i="3" s="1"/>
  <c r="G95" i="3" s="1"/>
  <c r="D95" i="3"/>
  <c r="B95" i="3"/>
  <c r="C95" i="3" s="1"/>
  <c r="H95" i="3" s="1"/>
  <c r="K94" i="3"/>
  <c r="H94" i="3"/>
  <c r="I94" i="3" s="1"/>
  <c r="J94" i="3" s="1"/>
  <c r="G94" i="3"/>
  <c r="F94" i="3"/>
  <c r="E94" i="3"/>
  <c r="D94" i="3"/>
  <c r="C94" i="3"/>
  <c r="B94" i="3"/>
  <c r="K93" i="3"/>
  <c r="J93" i="3"/>
  <c r="E93" i="3"/>
  <c r="C93" i="3"/>
  <c r="H93" i="3" s="1"/>
  <c r="I93" i="3" s="1"/>
  <c r="B93" i="3"/>
  <c r="D93" i="3" s="1"/>
  <c r="M92" i="3"/>
  <c r="L92" i="3"/>
  <c r="K92" i="3"/>
  <c r="F92" i="3"/>
  <c r="G92" i="3" s="1"/>
  <c r="E92" i="3"/>
  <c r="B92" i="3"/>
  <c r="M91" i="3"/>
  <c r="L91" i="3"/>
  <c r="K91" i="3"/>
  <c r="E91" i="3"/>
  <c r="C91" i="3"/>
  <c r="H91" i="3" s="1"/>
  <c r="I91" i="3" s="1"/>
  <c r="J91" i="3" s="1"/>
  <c r="B91" i="3"/>
  <c r="D91" i="3" s="1"/>
  <c r="M90" i="3"/>
  <c r="L90" i="3"/>
  <c r="K90" i="3"/>
  <c r="G90" i="3"/>
  <c r="F90" i="3"/>
  <c r="E90" i="3"/>
  <c r="B90" i="3"/>
  <c r="L89" i="3"/>
  <c r="K89" i="3"/>
  <c r="E89" i="3"/>
  <c r="F89" i="3" s="1"/>
  <c r="B89" i="3"/>
  <c r="C89" i="3" s="1"/>
  <c r="H89" i="3" s="1"/>
  <c r="I89" i="3" s="1"/>
  <c r="J89" i="3" s="1"/>
  <c r="L88" i="3"/>
  <c r="K88" i="3"/>
  <c r="E88" i="3"/>
  <c r="F88" i="3" s="1"/>
  <c r="D88" i="3"/>
  <c r="C88" i="3"/>
  <c r="H88" i="3" s="1"/>
  <c r="I88" i="3" s="1"/>
  <c r="J88" i="3" s="1"/>
  <c r="B88" i="3"/>
  <c r="M87" i="3"/>
  <c r="L87" i="3"/>
  <c r="K87" i="3"/>
  <c r="F87" i="3"/>
  <c r="G87" i="3" s="1"/>
  <c r="E87" i="3"/>
  <c r="D87" i="3"/>
  <c r="C87" i="3"/>
  <c r="H87" i="3" s="1"/>
  <c r="I87" i="3" s="1"/>
  <c r="J87" i="3" s="1"/>
  <c r="B87" i="3"/>
  <c r="K86" i="3"/>
  <c r="F86" i="3"/>
  <c r="E86" i="3"/>
  <c r="C86" i="3"/>
  <c r="H86" i="3" s="1"/>
  <c r="I86" i="3" s="1"/>
  <c r="J86" i="3" s="1"/>
  <c r="B86" i="3"/>
  <c r="D86" i="3" s="1"/>
  <c r="M85" i="3"/>
  <c r="L85" i="3"/>
  <c r="K85" i="3"/>
  <c r="F85" i="3"/>
  <c r="E85" i="3"/>
  <c r="B85" i="3"/>
  <c r="C85" i="3" s="1"/>
  <c r="H85" i="3" s="1"/>
  <c r="I85" i="3" s="1"/>
  <c r="J85" i="3" s="1"/>
  <c r="K84" i="3"/>
  <c r="F84" i="3"/>
  <c r="G84" i="3" s="1"/>
  <c r="E84" i="3"/>
  <c r="D84" i="3"/>
  <c r="C84" i="3"/>
  <c r="H84" i="3" s="1"/>
  <c r="I84" i="3" s="1"/>
  <c r="J84" i="3" s="1"/>
  <c r="B84" i="3"/>
  <c r="M83" i="3"/>
  <c r="L83" i="3"/>
  <c r="K83" i="3"/>
  <c r="J83" i="3"/>
  <c r="E83" i="3"/>
  <c r="F83" i="3" s="1"/>
  <c r="D83" i="3"/>
  <c r="C83" i="3"/>
  <c r="H83" i="3" s="1"/>
  <c r="I83" i="3" s="1"/>
  <c r="B83" i="3"/>
  <c r="L82" i="3"/>
  <c r="K82" i="3"/>
  <c r="E82" i="3"/>
  <c r="F82" i="3" s="1"/>
  <c r="C82" i="3"/>
  <c r="H82" i="3" s="1"/>
  <c r="I82" i="3" s="1"/>
  <c r="J82" i="3" s="1"/>
  <c r="B82" i="3"/>
  <c r="D82" i="3" s="1"/>
  <c r="L81" i="3"/>
  <c r="K81" i="3"/>
  <c r="F81" i="3"/>
  <c r="E81" i="3"/>
  <c r="B81" i="3"/>
  <c r="M80" i="3"/>
  <c r="L80" i="3"/>
  <c r="K80" i="3"/>
  <c r="E80" i="3"/>
  <c r="D80" i="3"/>
  <c r="B80" i="3"/>
  <c r="C80" i="3" s="1"/>
  <c r="H80" i="3" s="1"/>
  <c r="I80" i="3" s="1"/>
  <c r="J80" i="3" s="1"/>
  <c r="M79" i="3"/>
  <c r="L79" i="3"/>
  <c r="K79" i="3"/>
  <c r="E79" i="3"/>
  <c r="C79" i="3"/>
  <c r="H79" i="3" s="1"/>
  <c r="I79" i="3" s="1"/>
  <c r="J79" i="3" s="1"/>
  <c r="B79" i="3"/>
  <c r="D79" i="3" s="1"/>
  <c r="M78" i="3"/>
  <c r="L78" i="3"/>
  <c r="K78" i="3"/>
  <c r="G78" i="3"/>
  <c r="F78" i="3"/>
  <c r="E78" i="3"/>
  <c r="C78" i="3"/>
  <c r="H78" i="3" s="1"/>
  <c r="I78" i="3" s="1"/>
  <c r="J78" i="3" s="1"/>
  <c r="B78" i="3"/>
  <c r="D78" i="3" s="1"/>
  <c r="K77" i="3"/>
  <c r="H77" i="3"/>
  <c r="I77" i="3" s="1"/>
  <c r="J77" i="3" s="1"/>
  <c r="G77" i="3"/>
  <c r="F77" i="3"/>
  <c r="E77" i="3"/>
  <c r="D77" i="3"/>
  <c r="C77" i="3"/>
  <c r="B77" i="3"/>
  <c r="K76" i="3"/>
  <c r="F76" i="3"/>
  <c r="E76" i="3"/>
  <c r="B76" i="3"/>
  <c r="D76" i="3" s="1"/>
  <c r="L75" i="3"/>
  <c r="K75" i="3"/>
  <c r="H75" i="3"/>
  <c r="I75" i="3" s="1"/>
  <c r="J75" i="3" s="1"/>
  <c r="F75" i="3"/>
  <c r="E75" i="3"/>
  <c r="C75" i="3"/>
  <c r="B75" i="3"/>
  <c r="D75" i="3" s="1"/>
  <c r="K74" i="3"/>
  <c r="E74" i="3"/>
  <c r="F74" i="3" s="1"/>
  <c r="G74" i="3" s="1"/>
  <c r="D74" i="3"/>
  <c r="C74" i="3"/>
  <c r="H74" i="3" s="1"/>
  <c r="I74" i="3" s="1"/>
  <c r="J74" i="3" s="1"/>
  <c r="B74" i="3"/>
  <c r="K73" i="3"/>
  <c r="J73" i="3"/>
  <c r="I73" i="3"/>
  <c r="H73" i="3"/>
  <c r="E73" i="3"/>
  <c r="D73" i="3"/>
  <c r="B73" i="3"/>
  <c r="C73" i="3" s="1"/>
  <c r="K72" i="3"/>
  <c r="F72" i="3"/>
  <c r="G72" i="3" s="1"/>
  <c r="E72" i="3"/>
  <c r="C72" i="3"/>
  <c r="H72" i="3" s="1"/>
  <c r="I72" i="3" s="1"/>
  <c r="J72" i="3" s="1"/>
  <c r="B72" i="3"/>
  <c r="D72" i="3" s="1"/>
  <c r="L71" i="3"/>
  <c r="K71" i="3"/>
  <c r="E71" i="3"/>
  <c r="D71" i="3"/>
  <c r="B71" i="3"/>
  <c r="C71" i="3" s="1"/>
  <c r="H71" i="3" s="1"/>
  <c r="I71" i="3" s="1"/>
  <c r="J71" i="3" s="1"/>
  <c r="L70" i="3"/>
  <c r="K70" i="3"/>
  <c r="E70" i="3"/>
  <c r="F70" i="3" s="1"/>
  <c r="G70" i="3" s="1"/>
  <c r="B70" i="3"/>
  <c r="C70" i="3" s="1"/>
  <c r="H70" i="3" s="1"/>
  <c r="I70" i="3" s="1"/>
  <c r="J70" i="3" s="1"/>
  <c r="L69" i="3"/>
  <c r="K69" i="3"/>
  <c r="J69" i="3"/>
  <c r="E69" i="3"/>
  <c r="D69" i="3"/>
  <c r="C69" i="3"/>
  <c r="H69" i="3" s="1"/>
  <c r="I69" i="3" s="1"/>
  <c r="B69" i="3"/>
  <c r="L68" i="3"/>
  <c r="K68" i="3"/>
  <c r="F68" i="3"/>
  <c r="G68" i="3" s="1"/>
  <c r="E68" i="3"/>
  <c r="C68" i="3"/>
  <c r="H68" i="3" s="1"/>
  <c r="I68" i="3" s="1"/>
  <c r="J68" i="3" s="1"/>
  <c r="B68" i="3"/>
  <c r="D68" i="3" s="1"/>
  <c r="L67" i="3"/>
  <c r="K67" i="3"/>
  <c r="F67" i="3"/>
  <c r="E67" i="3"/>
  <c r="G67" i="3" s="1"/>
  <c r="B67" i="3"/>
  <c r="D67" i="3" s="1"/>
  <c r="L66" i="3"/>
  <c r="K66" i="3"/>
  <c r="F66" i="3"/>
  <c r="E66" i="3"/>
  <c r="B66" i="3"/>
  <c r="D66" i="3" s="1"/>
  <c r="L65" i="3"/>
  <c r="K65" i="3"/>
  <c r="I65" i="3"/>
  <c r="J65" i="3" s="1"/>
  <c r="H65" i="3"/>
  <c r="E65" i="3"/>
  <c r="D65" i="3"/>
  <c r="C65" i="3"/>
  <c r="B65" i="3"/>
  <c r="L64" i="3"/>
  <c r="K64" i="3"/>
  <c r="H64" i="3"/>
  <c r="I64" i="3" s="1"/>
  <c r="J64" i="3" s="1"/>
  <c r="G64" i="3"/>
  <c r="F64" i="3"/>
  <c r="E64" i="3"/>
  <c r="D64" i="3"/>
  <c r="C64" i="3"/>
  <c r="B64" i="3"/>
  <c r="M63" i="3"/>
  <c r="L63" i="3"/>
  <c r="K63" i="3"/>
  <c r="F63" i="3"/>
  <c r="G63" i="3" s="1"/>
  <c r="E63" i="3"/>
  <c r="C63" i="3"/>
  <c r="H63" i="3" s="1"/>
  <c r="I63" i="3" s="1"/>
  <c r="J63" i="3" s="1"/>
  <c r="B63" i="3"/>
  <c r="D63" i="3" s="1"/>
  <c r="M62" i="3"/>
  <c r="L62" i="3"/>
  <c r="K62" i="3"/>
  <c r="F62" i="3"/>
  <c r="G62" i="3" s="1"/>
  <c r="E62" i="3"/>
  <c r="B62" i="3"/>
  <c r="D62" i="3" s="1"/>
  <c r="L61" i="3"/>
  <c r="K61" i="3"/>
  <c r="I61" i="3"/>
  <c r="J61" i="3" s="1"/>
  <c r="E61" i="3"/>
  <c r="D61" i="3"/>
  <c r="B61" i="3"/>
  <c r="C61" i="3" s="1"/>
  <c r="H61" i="3" s="1"/>
  <c r="M60" i="3"/>
  <c r="L60" i="3"/>
  <c r="K60" i="3"/>
  <c r="E60" i="3"/>
  <c r="C60" i="3"/>
  <c r="H60" i="3" s="1"/>
  <c r="I60" i="3" s="1"/>
  <c r="J60" i="3" s="1"/>
  <c r="B60" i="3"/>
  <c r="D60" i="3" s="1"/>
  <c r="L59" i="3"/>
  <c r="K59" i="3"/>
  <c r="E59" i="3"/>
  <c r="B59" i="3"/>
  <c r="L58" i="3"/>
  <c r="K58" i="3"/>
  <c r="G58" i="3"/>
  <c r="F58" i="3"/>
  <c r="E58" i="3"/>
  <c r="D58" i="3"/>
  <c r="C58" i="3"/>
  <c r="H58" i="3" s="1"/>
  <c r="I58" i="3" s="1"/>
  <c r="J58" i="3" s="1"/>
  <c r="B58" i="3"/>
  <c r="L57" i="3"/>
  <c r="K57" i="3"/>
  <c r="G57" i="3"/>
  <c r="F57" i="3"/>
  <c r="E57" i="3"/>
  <c r="B57" i="3"/>
  <c r="D57" i="3" s="1"/>
  <c r="K56" i="3"/>
  <c r="E56" i="3"/>
  <c r="D56" i="3"/>
  <c r="C56" i="3"/>
  <c r="H56" i="3" s="1"/>
  <c r="I56" i="3" s="1"/>
  <c r="J56" i="3" s="1"/>
  <c r="B56" i="3"/>
  <c r="L55" i="3"/>
  <c r="K55" i="3"/>
  <c r="F55" i="3"/>
  <c r="G55" i="3" s="1"/>
  <c r="E55" i="3"/>
  <c r="B55" i="3"/>
  <c r="D55" i="3" s="1"/>
  <c r="L54" i="3"/>
  <c r="K54" i="3"/>
  <c r="F54" i="3"/>
  <c r="E54" i="3"/>
  <c r="B54" i="3"/>
  <c r="L53" i="3"/>
  <c r="K53" i="3"/>
  <c r="H53" i="3"/>
  <c r="I53" i="3" s="1"/>
  <c r="J53" i="3" s="1"/>
  <c r="E53" i="3"/>
  <c r="D53" i="3"/>
  <c r="C53" i="3"/>
  <c r="B53" i="3"/>
  <c r="L52" i="3"/>
  <c r="K52" i="3"/>
  <c r="G52" i="3"/>
  <c r="F52" i="3"/>
  <c r="E52" i="3"/>
  <c r="D52" i="3"/>
  <c r="C52" i="3"/>
  <c r="H52" i="3" s="1"/>
  <c r="I52" i="3" s="1"/>
  <c r="J52" i="3" s="1"/>
  <c r="B52" i="3"/>
  <c r="L51" i="3"/>
  <c r="K51" i="3"/>
  <c r="F51" i="3"/>
  <c r="G51" i="3" s="1"/>
  <c r="E51" i="3"/>
  <c r="B51" i="3"/>
  <c r="D51" i="3" s="1"/>
  <c r="L50" i="3"/>
  <c r="K50" i="3"/>
  <c r="F50" i="3"/>
  <c r="E50" i="3"/>
  <c r="B50" i="3"/>
  <c r="L49" i="3"/>
  <c r="K49" i="3"/>
  <c r="H49" i="3"/>
  <c r="I49" i="3" s="1"/>
  <c r="J49" i="3" s="1"/>
  <c r="E49" i="3"/>
  <c r="D49" i="3"/>
  <c r="B49" i="3"/>
  <c r="C49" i="3" s="1"/>
  <c r="L48" i="3"/>
  <c r="K48" i="3"/>
  <c r="H48" i="3"/>
  <c r="I48" i="3" s="1"/>
  <c r="J48" i="3" s="1"/>
  <c r="E48" i="3"/>
  <c r="F48" i="3" s="1"/>
  <c r="G48" i="3" s="1"/>
  <c r="D48" i="3"/>
  <c r="C48" i="3"/>
  <c r="B48" i="3"/>
  <c r="L47" i="3"/>
  <c r="K47" i="3"/>
  <c r="J47" i="3"/>
  <c r="F47" i="3"/>
  <c r="G47" i="3" s="1"/>
  <c r="E47" i="3"/>
  <c r="C47" i="3"/>
  <c r="H47" i="3" s="1"/>
  <c r="I47" i="3" s="1"/>
  <c r="B47" i="3"/>
  <c r="D47" i="3" s="1"/>
  <c r="L46" i="3"/>
  <c r="K46" i="3"/>
  <c r="F46" i="3"/>
  <c r="E46" i="3"/>
  <c r="B46" i="3"/>
  <c r="L45" i="3"/>
  <c r="K45" i="3"/>
  <c r="H45" i="3"/>
  <c r="I45" i="3" s="1"/>
  <c r="J45" i="3" s="1"/>
  <c r="E45" i="3"/>
  <c r="D45" i="3"/>
  <c r="C45" i="3"/>
  <c r="B45" i="3"/>
  <c r="L44" i="3"/>
  <c r="K44" i="3"/>
  <c r="H44" i="3"/>
  <c r="I44" i="3" s="1"/>
  <c r="J44" i="3" s="1"/>
  <c r="G44" i="3"/>
  <c r="F44" i="3"/>
  <c r="E44" i="3"/>
  <c r="D44" i="3"/>
  <c r="C44" i="3"/>
  <c r="B44" i="3"/>
  <c r="L43" i="3"/>
  <c r="K43" i="3"/>
  <c r="J43" i="3"/>
  <c r="F43" i="3"/>
  <c r="G43" i="3" s="1"/>
  <c r="E43" i="3"/>
  <c r="C43" i="3"/>
  <c r="H43" i="3" s="1"/>
  <c r="I43" i="3" s="1"/>
  <c r="B43" i="3"/>
  <c r="D43" i="3" s="1"/>
  <c r="M42" i="3"/>
  <c r="L42" i="3"/>
  <c r="K42" i="3"/>
  <c r="G42" i="3"/>
  <c r="F42" i="3"/>
  <c r="E42" i="3"/>
  <c r="B42" i="3"/>
  <c r="D42" i="3" s="1"/>
  <c r="M41" i="3"/>
  <c r="L41" i="3"/>
  <c r="K41" i="3"/>
  <c r="F41" i="3"/>
  <c r="G41" i="3" s="1"/>
  <c r="E41" i="3"/>
  <c r="B41" i="3"/>
  <c r="D41" i="3" s="1"/>
  <c r="M40" i="3"/>
  <c r="L40" i="3"/>
  <c r="K40" i="3"/>
  <c r="G40" i="3"/>
  <c r="F40" i="3"/>
  <c r="E40" i="3"/>
  <c r="B40" i="3"/>
  <c r="D40" i="3" s="1"/>
  <c r="L39" i="3"/>
  <c r="K39" i="3"/>
  <c r="E39" i="3"/>
  <c r="B39" i="3"/>
  <c r="L38" i="3"/>
  <c r="K38" i="3"/>
  <c r="I38" i="3"/>
  <c r="J38" i="3" s="1"/>
  <c r="H38" i="3"/>
  <c r="E38" i="3"/>
  <c r="D38" i="3"/>
  <c r="C38" i="3"/>
  <c r="B38" i="3"/>
  <c r="L37" i="3"/>
  <c r="K37" i="3"/>
  <c r="G37" i="3"/>
  <c r="F37" i="3"/>
  <c r="E37" i="3"/>
  <c r="D37" i="3"/>
  <c r="C37" i="3"/>
  <c r="H37" i="3" s="1"/>
  <c r="I37" i="3" s="1"/>
  <c r="J37" i="3" s="1"/>
  <c r="B37" i="3"/>
  <c r="N36" i="3"/>
  <c r="M36" i="3"/>
  <c r="L36" i="3"/>
  <c r="K36" i="3"/>
  <c r="H36" i="3"/>
  <c r="I36" i="3" s="1"/>
  <c r="J36" i="3" s="1"/>
  <c r="E36" i="3"/>
  <c r="D36" i="3"/>
  <c r="C36" i="3"/>
  <c r="B36" i="3"/>
  <c r="N35" i="3"/>
  <c r="M35" i="3"/>
  <c r="L35" i="3"/>
  <c r="K35" i="3"/>
  <c r="E35" i="3"/>
  <c r="B35" i="3"/>
  <c r="L34" i="3"/>
  <c r="K34" i="3"/>
  <c r="H34" i="3"/>
  <c r="I34" i="3" s="1"/>
  <c r="J34" i="3" s="1"/>
  <c r="E34" i="3"/>
  <c r="D34" i="3"/>
  <c r="C34" i="3"/>
  <c r="B34" i="3"/>
  <c r="L33" i="3"/>
  <c r="K33" i="3"/>
  <c r="H33" i="3"/>
  <c r="I33" i="3" s="1"/>
  <c r="J33" i="3" s="1"/>
  <c r="G33" i="3"/>
  <c r="F33" i="3"/>
  <c r="E33" i="3"/>
  <c r="D33" i="3"/>
  <c r="C33" i="3"/>
  <c r="B33" i="3"/>
  <c r="L32" i="3"/>
  <c r="K32" i="3"/>
  <c r="G32" i="3"/>
  <c r="F32" i="3"/>
  <c r="E32" i="3"/>
  <c r="B32" i="3"/>
  <c r="D32" i="3" s="1"/>
  <c r="L31" i="3"/>
  <c r="K31" i="3"/>
  <c r="E31" i="3"/>
  <c r="B31" i="3"/>
  <c r="L30" i="3"/>
  <c r="K30" i="3"/>
  <c r="H30" i="3"/>
  <c r="I30" i="3" s="1"/>
  <c r="J30" i="3" s="1"/>
  <c r="E30" i="3"/>
  <c r="D30" i="3"/>
  <c r="B30" i="3"/>
  <c r="C30" i="3" s="1"/>
  <c r="L29" i="3"/>
  <c r="K29" i="3"/>
  <c r="H29" i="3"/>
  <c r="I29" i="3" s="1"/>
  <c r="J29" i="3" s="1"/>
  <c r="E29" i="3"/>
  <c r="F29" i="3" s="1"/>
  <c r="G29" i="3" s="1"/>
  <c r="D29" i="3"/>
  <c r="C29" i="3"/>
  <c r="B29" i="3"/>
  <c r="M28" i="3"/>
  <c r="L28" i="3"/>
  <c r="K28" i="3"/>
  <c r="H28" i="3"/>
  <c r="I28" i="3" s="1"/>
  <c r="J28" i="3" s="1"/>
  <c r="G28" i="3"/>
  <c r="F28" i="3"/>
  <c r="E28" i="3"/>
  <c r="D28" i="3"/>
  <c r="C28" i="3"/>
  <c r="B28" i="3"/>
  <c r="L27" i="3"/>
  <c r="K27" i="3"/>
  <c r="I27" i="3"/>
  <c r="J27" i="3" s="1"/>
  <c r="F27" i="3"/>
  <c r="G27" i="3" s="1"/>
  <c r="E27" i="3"/>
  <c r="C27" i="3"/>
  <c r="H27" i="3" s="1"/>
  <c r="B27" i="3"/>
  <c r="D27" i="3" s="1"/>
  <c r="K26" i="3"/>
  <c r="H26" i="3"/>
  <c r="I26" i="3" s="1"/>
  <c r="J26" i="3" s="1"/>
  <c r="E26" i="3"/>
  <c r="D26" i="3"/>
  <c r="C26" i="3"/>
  <c r="B26" i="3"/>
  <c r="K25" i="3"/>
  <c r="F25" i="3"/>
  <c r="G25" i="3" s="1"/>
  <c r="E25" i="3"/>
  <c r="C25" i="3"/>
  <c r="H25" i="3" s="1"/>
  <c r="I25" i="3" s="1"/>
  <c r="J25" i="3" s="1"/>
  <c r="B25" i="3"/>
  <c r="D25" i="3" s="1"/>
  <c r="L24" i="3"/>
  <c r="K24" i="3"/>
  <c r="E24" i="3"/>
  <c r="B24" i="3"/>
  <c r="K23" i="3"/>
  <c r="E23" i="3"/>
  <c r="F23" i="3" s="1"/>
  <c r="G23" i="3" s="1"/>
  <c r="C23" i="3"/>
  <c r="H23" i="3" s="1"/>
  <c r="I23" i="3" s="1"/>
  <c r="J23" i="3" s="1"/>
  <c r="B23" i="3"/>
  <c r="D23" i="3" s="1"/>
  <c r="M22" i="3"/>
  <c r="L22" i="3"/>
  <c r="K22" i="3"/>
  <c r="H22" i="3"/>
  <c r="I22" i="3" s="1"/>
  <c r="J22" i="3" s="1"/>
  <c r="G22" i="3"/>
  <c r="F22" i="3"/>
  <c r="E22" i="3"/>
  <c r="D22" i="3"/>
  <c r="C22" i="3"/>
  <c r="B22" i="3"/>
  <c r="L21" i="3"/>
  <c r="K21" i="3"/>
  <c r="G21" i="3"/>
  <c r="F21" i="3"/>
  <c r="E21" i="3"/>
  <c r="B21" i="3"/>
  <c r="D21" i="3" s="1"/>
  <c r="K20" i="3"/>
  <c r="H20" i="3"/>
  <c r="I20" i="3" s="1"/>
  <c r="J20" i="3" s="1"/>
  <c r="E20" i="3"/>
  <c r="D20" i="3"/>
  <c r="C20" i="3"/>
  <c r="B20" i="3"/>
  <c r="K19" i="3"/>
  <c r="F19" i="3"/>
  <c r="G19" i="3" s="1"/>
  <c r="E19" i="3"/>
  <c r="B19" i="3"/>
  <c r="D19" i="3" s="1"/>
  <c r="N18" i="3"/>
  <c r="M18" i="3"/>
  <c r="L18" i="3"/>
  <c r="K18" i="3"/>
  <c r="E18" i="3"/>
  <c r="F18" i="3" s="1"/>
  <c r="D18" i="3"/>
  <c r="B18" i="3"/>
  <c r="C18" i="3" s="1"/>
  <c r="H18" i="3" s="1"/>
  <c r="I18" i="3" s="1"/>
  <c r="J18" i="3" s="1"/>
  <c r="M17" i="3"/>
  <c r="L17" i="3"/>
  <c r="K17" i="3"/>
  <c r="H17" i="3"/>
  <c r="I17" i="3" s="1"/>
  <c r="J17" i="3" s="1"/>
  <c r="G17" i="3"/>
  <c r="F17" i="3"/>
  <c r="E17" i="3"/>
  <c r="D17" i="3"/>
  <c r="C17" i="3"/>
  <c r="B17" i="3"/>
  <c r="L16" i="3"/>
  <c r="K16" i="3"/>
  <c r="G16" i="3"/>
  <c r="F16" i="3"/>
  <c r="E16" i="3"/>
  <c r="B16" i="3"/>
  <c r="D16" i="3" s="1"/>
  <c r="M15" i="3"/>
  <c r="L15" i="3"/>
  <c r="K15" i="3"/>
  <c r="E15" i="3"/>
  <c r="C15" i="3"/>
  <c r="H15" i="3" s="1"/>
  <c r="I15" i="3" s="1"/>
  <c r="J15" i="3" s="1"/>
  <c r="B15" i="3"/>
  <c r="D15" i="3" s="1"/>
  <c r="L14" i="3"/>
  <c r="K14" i="3"/>
  <c r="E14" i="3"/>
  <c r="B14" i="3"/>
  <c r="D14" i="3" s="1"/>
  <c r="M13" i="3"/>
  <c r="L13" i="3"/>
  <c r="K13" i="3"/>
  <c r="I13" i="3"/>
  <c r="J13" i="3" s="1"/>
  <c r="E13" i="3"/>
  <c r="F13" i="3" s="1"/>
  <c r="G13" i="3" s="1"/>
  <c r="B13" i="3"/>
  <c r="C13" i="3" s="1"/>
  <c r="H13" i="3" s="1"/>
  <c r="L12" i="3"/>
  <c r="K12" i="3"/>
  <c r="G12" i="3"/>
  <c r="E12" i="3"/>
  <c r="F12" i="3" s="1"/>
  <c r="D12" i="3"/>
  <c r="B12" i="3"/>
  <c r="C12" i="3" s="1"/>
  <c r="H12" i="3" s="1"/>
  <c r="I12" i="3" s="1"/>
  <c r="J12" i="3" s="1"/>
  <c r="M11" i="3"/>
  <c r="L11" i="3"/>
  <c r="K11" i="3"/>
  <c r="H11" i="3"/>
  <c r="I11" i="3" s="1"/>
  <c r="J11" i="3" s="1"/>
  <c r="E11" i="3"/>
  <c r="D11" i="3"/>
  <c r="C11" i="3"/>
  <c r="B11" i="3"/>
  <c r="L10" i="3"/>
  <c r="K10" i="3"/>
  <c r="G10" i="3"/>
  <c r="F10" i="3"/>
  <c r="E10" i="3"/>
  <c r="D10" i="3"/>
  <c r="C10" i="3"/>
  <c r="H10" i="3" s="1"/>
  <c r="I10" i="3" s="1"/>
  <c r="J10" i="3" s="1"/>
  <c r="B10" i="3"/>
  <c r="L9" i="3"/>
  <c r="K9" i="3"/>
  <c r="F9" i="3"/>
  <c r="G9" i="3" s="1"/>
  <c r="E9" i="3"/>
  <c r="C9" i="3"/>
  <c r="H9" i="3" s="1"/>
  <c r="I9" i="3" s="1"/>
  <c r="J9" i="3" s="1"/>
  <c r="B9" i="3"/>
  <c r="D9" i="3" s="1"/>
  <c r="L8" i="3"/>
  <c r="K8" i="3"/>
  <c r="I8" i="3"/>
  <c r="J8" i="3" s="1"/>
  <c r="E8" i="3"/>
  <c r="F8" i="3" s="1"/>
  <c r="G8" i="3" s="1"/>
  <c r="B8" i="3"/>
  <c r="C8" i="3" s="1"/>
  <c r="H8" i="3" s="1"/>
  <c r="L7" i="3"/>
  <c r="K7" i="3"/>
  <c r="G7" i="3"/>
  <c r="E7" i="3"/>
  <c r="F7" i="3" s="1"/>
  <c r="D7" i="3"/>
  <c r="B7" i="3"/>
  <c r="C7" i="3" s="1"/>
  <c r="H7" i="3" s="1"/>
  <c r="I7" i="3" s="1"/>
  <c r="J7" i="3" s="1"/>
  <c r="L6" i="3"/>
  <c r="K6" i="3"/>
  <c r="G6" i="3"/>
  <c r="E6" i="3"/>
  <c r="F6" i="3" s="1"/>
  <c r="D6" i="3"/>
  <c r="B6" i="3"/>
  <c r="C6" i="3" s="1"/>
  <c r="H6" i="3" s="1"/>
  <c r="I6" i="3" s="1"/>
  <c r="J6" i="3" s="1"/>
  <c r="N5" i="3"/>
  <c r="M5" i="3"/>
  <c r="L5" i="3"/>
  <c r="K5" i="3"/>
  <c r="I5" i="3"/>
  <c r="J5" i="3" s="1"/>
  <c r="H5" i="3"/>
  <c r="E5" i="3"/>
  <c r="F5" i="3" s="1"/>
  <c r="D5" i="3"/>
  <c r="B5" i="3"/>
  <c r="C5" i="3" s="1"/>
  <c r="M4" i="3"/>
  <c r="L4" i="3"/>
  <c r="K4" i="3"/>
  <c r="E4" i="3"/>
  <c r="F4" i="3" s="1"/>
  <c r="D4" i="3"/>
  <c r="C4" i="3"/>
  <c r="H4" i="3" s="1"/>
  <c r="I4" i="3" s="1"/>
  <c r="J4" i="3" s="1"/>
  <c r="B4" i="3"/>
  <c r="F131" i="3" l="1"/>
  <c r="G131" i="3" s="1"/>
  <c r="D155" i="3"/>
  <c r="C155" i="3"/>
  <c r="H155" i="3" s="1"/>
  <c r="I155" i="3" s="1"/>
  <c r="J155" i="3" s="1"/>
  <c r="C164" i="3"/>
  <c r="H164" i="3" s="1"/>
  <c r="I164" i="3" s="1"/>
  <c r="J164" i="3" s="1"/>
  <c r="D164" i="3"/>
  <c r="G195" i="3"/>
  <c r="F195" i="3"/>
  <c r="C57" i="3"/>
  <c r="H57" i="3" s="1"/>
  <c r="I57" i="3" s="1"/>
  <c r="J57" i="3" s="1"/>
  <c r="G18" i="3"/>
  <c r="C19" i="3"/>
  <c r="H19" i="3" s="1"/>
  <c r="I19" i="3" s="1"/>
  <c r="J19" i="3" s="1"/>
  <c r="C41" i="3"/>
  <c r="H41" i="3" s="1"/>
  <c r="I41" i="3" s="1"/>
  <c r="J41" i="3" s="1"/>
  <c r="C55" i="3"/>
  <c r="H55" i="3" s="1"/>
  <c r="I55" i="3" s="1"/>
  <c r="J55" i="3" s="1"/>
  <c r="F73" i="3"/>
  <c r="G73" i="3" s="1"/>
  <c r="C99" i="3"/>
  <c r="H99" i="3" s="1"/>
  <c r="I99" i="3" s="1"/>
  <c r="J99" i="3" s="1"/>
  <c r="D99" i="3"/>
  <c r="F111" i="3"/>
  <c r="G111" i="3" s="1"/>
  <c r="F158" i="3"/>
  <c r="G158" i="3"/>
  <c r="F175" i="3"/>
  <c r="G175" i="3" s="1"/>
  <c r="G200" i="3"/>
  <c r="D222" i="3"/>
  <c r="C222" i="3"/>
  <c r="H222" i="3" s="1"/>
  <c r="I222" i="3" s="1"/>
  <c r="J222" i="3" s="1"/>
  <c r="F237" i="3"/>
  <c r="G237" i="3" s="1"/>
  <c r="C90" i="3"/>
  <c r="H90" i="3" s="1"/>
  <c r="I90" i="3" s="1"/>
  <c r="J90" i="3" s="1"/>
  <c r="D90" i="3"/>
  <c r="G93" i="3"/>
  <c r="F93" i="3"/>
  <c r="F151" i="3"/>
  <c r="G151" i="3" s="1"/>
  <c r="F159" i="3"/>
  <c r="G159" i="3"/>
  <c r="D252" i="3"/>
  <c r="C252" i="3"/>
  <c r="H252" i="3" s="1"/>
  <c r="I252" i="3" s="1"/>
  <c r="J252" i="3" s="1"/>
  <c r="D264" i="3"/>
  <c r="C264" i="3"/>
  <c r="H264" i="3" s="1"/>
  <c r="I264" i="3" s="1"/>
  <c r="J264" i="3" s="1"/>
  <c r="D270" i="3"/>
  <c r="C270" i="3"/>
  <c r="H270" i="3" s="1"/>
  <c r="I270" i="3" s="1"/>
  <c r="J270" i="3" s="1"/>
  <c r="C679" i="3"/>
  <c r="H679" i="3" s="1"/>
  <c r="I679" i="3" s="1"/>
  <c r="J679" i="3" s="1"/>
  <c r="D679" i="3"/>
  <c r="D59" i="3"/>
  <c r="C59" i="3"/>
  <c r="H59" i="3" s="1"/>
  <c r="I59" i="3" s="1"/>
  <c r="J59" i="3" s="1"/>
  <c r="D81" i="3"/>
  <c r="C81" i="3"/>
  <c r="H81" i="3" s="1"/>
  <c r="I81" i="3" s="1"/>
  <c r="J81" i="3" s="1"/>
  <c r="G82" i="3"/>
  <c r="C173" i="3"/>
  <c r="H173" i="3" s="1"/>
  <c r="I173" i="3" s="1"/>
  <c r="J173" i="3" s="1"/>
  <c r="D173" i="3"/>
  <c r="D317" i="3"/>
  <c r="C317" i="3"/>
  <c r="H317" i="3" s="1"/>
  <c r="I317" i="3" s="1"/>
  <c r="J317" i="3" s="1"/>
  <c r="G5" i="3"/>
  <c r="F15" i="3"/>
  <c r="G15" i="3" s="1"/>
  <c r="C16" i="3"/>
  <c r="H16" i="3" s="1"/>
  <c r="I16" i="3" s="1"/>
  <c r="J16" i="3" s="1"/>
  <c r="C21" i="3"/>
  <c r="H21" i="3" s="1"/>
  <c r="I21" i="3" s="1"/>
  <c r="J21" i="3" s="1"/>
  <c r="G39" i="3"/>
  <c r="D50" i="3"/>
  <c r="C50" i="3"/>
  <c r="H50" i="3" s="1"/>
  <c r="I50" i="3" s="1"/>
  <c r="J50" i="3" s="1"/>
  <c r="C51" i="3"/>
  <c r="H51" i="3" s="1"/>
  <c r="I51" i="3" s="1"/>
  <c r="J51" i="3" s="1"/>
  <c r="D54" i="3"/>
  <c r="C54" i="3"/>
  <c r="H54" i="3" s="1"/>
  <c r="I54" i="3" s="1"/>
  <c r="J54" i="3" s="1"/>
  <c r="F39" i="3"/>
  <c r="C42" i="3"/>
  <c r="H42" i="3" s="1"/>
  <c r="I42" i="3" s="1"/>
  <c r="J42" i="3" s="1"/>
  <c r="G50" i="3"/>
  <c r="G54" i="3"/>
  <c r="F59" i="3"/>
  <c r="G59" i="3" s="1"/>
  <c r="G65" i="3"/>
  <c r="F65" i="3"/>
  <c r="F80" i="3"/>
  <c r="G80" i="3" s="1"/>
  <c r="D89" i="3"/>
  <c r="D101" i="3"/>
  <c r="C101" i="3"/>
  <c r="H101" i="3" s="1"/>
  <c r="I101" i="3" s="1"/>
  <c r="J101" i="3" s="1"/>
  <c r="F106" i="3"/>
  <c r="G106" i="3" s="1"/>
  <c r="G130" i="3"/>
  <c r="F130" i="3"/>
  <c r="D139" i="3"/>
  <c r="C139" i="3"/>
  <c r="H139" i="3" s="1"/>
  <c r="I139" i="3" s="1"/>
  <c r="J139" i="3" s="1"/>
  <c r="G140" i="3"/>
  <c r="F168" i="3"/>
  <c r="G168" i="3" s="1"/>
  <c r="F170" i="3"/>
  <c r="G170" i="3" s="1"/>
  <c r="F218" i="3"/>
  <c r="G218" i="3"/>
  <c r="G266" i="3"/>
  <c r="F266" i="3"/>
  <c r="F289" i="3"/>
  <c r="G289" i="3" s="1"/>
  <c r="G14" i="3"/>
  <c r="G30" i="3"/>
  <c r="F30" i="3"/>
  <c r="F69" i="3"/>
  <c r="G69" i="3"/>
  <c r="F193" i="3"/>
  <c r="G193" i="3"/>
  <c r="F227" i="3"/>
  <c r="G227" i="3" s="1"/>
  <c r="C40" i="3"/>
  <c r="H40" i="3" s="1"/>
  <c r="I40" i="3" s="1"/>
  <c r="J40" i="3" s="1"/>
  <c r="C96" i="3"/>
  <c r="H96" i="3" s="1"/>
  <c r="I96" i="3" s="1"/>
  <c r="J96" i="3" s="1"/>
  <c r="F141" i="3"/>
  <c r="G141" i="3" s="1"/>
  <c r="F38" i="3"/>
  <c r="G38" i="3" s="1"/>
  <c r="G71" i="3"/>
  <c r="F71" i="3"/>
  <c r="F79" i="3"/>
  <c r="G79" i="3" s="1"/>
  <c r="F105" i="3"/>
  <c r="G105" i="3" s="1"/>
  <c r="F167" i="3"/>
  <c r="G167" i="3" s="1"/>
  <c r="D174" i="3"/>
  <c r="C174" i="3"/>
  <c r="H174" i="3" s="1"/>
  <c r="I174" i="3" s="1"/>
  <c r="J174" i="3" s="1"/>
  <c r="D265" i="3"/>
  <c r="C265" i="3"/>
  <c r="H265" i="3" s="1"/>
  <c r="I265" i="3" s="1"/>
  <c r="J265" i="3" s="1"/>
  <c r="G352" i="3"/>
  <c r="F352" i="3"/>
  <c r="F355" i="3"/>
  <c r="G355" i="3" s="1"/>
  <c r="G34" i="3"/>
  <c r="F34" i="3"/>
  <c r="F116" i="3"/>
  <c r="G116" i="3" s="1"/>
  <c r="G60" i="3"/>
  <c r="F60" i="3"/>
  <c r="F91" i="3"/>
  <c r="G91" i="3" s="1"/>
  <c r="G124" i="3"/>
  <c r="D134" i="3"/>
  <c r="C134" i="3"/>
  <c r="H134" i="3" s="1"/>
  <c r="I134" i="3" s="1"/>
  <c r="J134" i="3" s="1"/>
  <c r="D46" i="3"/>
  <c r="C46" i="3"/>
  <c r="H46" i="3" s="1"/>
  <c r="I46" i="3" s="1"/>
  <c r="J46" i="3" s="1"/>
  <c r="D8" i="3"/>
  <c r="F11" i="3"/>
  <c r="G11" i="3" s="1"/>
  <c r="D13" i="3"/>
  <c r="F20" i="3"/>
  <c r="G20" i="3" s="1"/>
  <c r="D24" i="3"/>
  <c r="C24" i="3"/>
  <c r="H24" i="3" s="1"/>
  <c r="I24" i="3" s="1"/>
  <c r="J24" i="3" s="1"/>
  <c r="D31" i="3"/>
  <c r="C31" i="3"/>
  <c r="H31" i="3" s="1"/>
  <c r="I31" i="3" s="1"/>
  <c r="J31" i="3" s="1"/>
  <c r="C32" i="3"/>
  <c r="H32" i="3" s="1"/>
  <c r="I32" i="3" s="1"/>
  <c r="J32" i="3" s="1"/>
  <c r="D35" i="3"/>
  <c r="C35" i="3"/>
  <c r="H35" i="3" s="1"/>
  <c r="I35" i="3" s="1"/>
  <c r="J35" i="3" s="1"/>
  <c r="G46" i="3"/>
  <c r="F49" i="3"/>
  <c r="G49" i="3" s="1"/>
  <c r="G53" i="3"/>
  <c r="F53" i="3"/>
  <c r="D70" i="3"/>
  <c r="G76" i="3"/>
  <c r="G85" i="3"/>
  <c r="D109" i="3"/>
  <c r="C109" i="3"/>
  <c r="H109" i="3" s="1"/>
  <c r="I109" i="3" s="1"/>
  <c r="J109" i="3" s="1"/>
  <c r="D120" i="3"/>
  <c r="C120" i="3"/>
  <c r="H120" i="3" s="1"/>
  <c r="I120" i="3" s="1"/>
  <c r="J120" i="3" s="1"/>
  <c r="C132" i="3"/>
  <c r="H132" i="3" s="1"/>
  <c r="I132" i="3" s="1"/>
  <c r="J132" i="3" s="1"/>
  <c r="G139" i="3"/>
  <c r="G153" i="3"/>
  <c r="G157" i="3"/>
  <c r="D190" i="3"/>
  <c r="C190" i="3"/>
  <c r="H190" i="3" s="1"/>
  <c r="I190" i="3" s="1"/>
  <c r="J190" i="3" s="1"/>
  <c r="F228" i="3"/>
  <c r="G228" i="3" s="1"/>
  <c r="C238" i="3"/>
  <c r="H238" i="3" s="1"/>
  <c r="I238" i="3" s="1"/>
  <c r="J238" i="3" s="1"/>
  <c r="D238" i="3"/>
  <c r="D309" i="3"/>
  <c r="C309" i="3"/>
  <c r="H309" i="3" s="1"/>
  <c r="I309" i="3" s="1"/>
  <c r="J309" i="3" s="1"/>
  <c r="C349" i="3"/>
  <c r="H349" i="3" s="1"/>
  <c r="I349" i="3" s="1"/>
  <c r="J349" i="3" s="1"/>
  <c r="D349" i="3"/>
  <c r="G4" i="3"/>
  <c r="G36" i="3"/>
  <c r="F36" i="3"/>
  <c r="G31" i="3"/>
  <c r="F104" i="3"/>
  <c r="G104" i="3"/>
  <c r="G121" i="3"/>
  <c r="F121" i="3"/>
  <c r="C138" i="3"/>
  <c r="H138" i="3" s="1"/>
  <c r="I138" i="3" s="1"/>
  <c r="J138" i="3" s="1"/>
  <c r="D138" i="3"/>
  <c r="D223" i="3"/>
  <c r="C223" i="3"/>
  <c r="H223" i="3" s="1"/>
  <c r="I223" i="3" s="1"/>
  <c r="J223" i="3" s="1"/>
  <c r="G236" i="3"/>
  <c r="F306" i="3"/>
  <c r="G306" i="3" s="1"/>
  <c r="C790" i="3"/>
  <c r="H790" i="3" s="1"/>
  <c r="I790" i="3" s="1"/>
  <c r="J790" i="3" s="1"/>
  <c r="D790" i="3"/>
  <c r="F14" i="3"/>
  <c r="D39" i="3"/>
  <c r="C39" i="3"/>
  <c r="H39" i="3" s="1"/>
  <c r="I39" i="3" s="1"/>
  <c r="J39" i="3" s="1"/>
  <c r="G61" i="3"/>
  <c r="F61" i="3"/>
  <c r="C66" i="3"/>
  <c r="H66" i="3" s="1"/>
  <c r="I66" i="3" s="1"/>
  <c r="J66" i="3" s="1"/>
  <c r="D107" i="3"/>
  <c r="C107" i="3"/>
  <c r="H107" i="3" s="1"/>
  <c r="I107" i="3" s="1"/>
  <c r="J107" i="3" s="1"/>
  <c r="C123" i="3"/>
  <c r="H123" i="3" s="1"/>
  <c r="I123" i="3" s="1"/>
  <c r="J123" i="3" s="1"/>
  <c r="D123" i="3"/>
  <c r="D191" i="3"/>
  <c r="C191" i="3"/>
  <c r="H191" i="3" s="1"/>
  <c r="I191" i="3" s="1"/>
  <c r="J191" i="3" s="1"/>
  <c r="F279" i="3"/>
  <c r="G279" i="3" s="1"/>
  <c r="G35" i="3"/>
  <c r="C14" i="3"/>
  <c r="H14" i="3" s="1"/>
  <c r="I14" i="3" s="1"/>
  <c r="J14" i="3" s="1"/>
  <c r="F24" i="3"/>
  <c r="G24" i="3" s="1"/>
  <c r="F26" i="3"/>
  <c r="G26" i="3" s="1"/>
  <c r="F31" i="3"/>
  <c r="F35" i="3"/>
  <c r="F45" i="3"/>
  <c r="G45" i="3" s="1"/>
  <c r="C62" i="3"/>
  <c r="H62" i="3" s="1"/>
  <c r="I62" i="3" s="1"/>
  <c r="J62" i="3" s="1"/>
  <c r="C92" i="3"/>
  <c r="H92" i="3" s="1"/>
  <c r="I92" i="3" s="1"/>
  <c r="J92" i="3" s="1"/>
  <c r="D92" i="3"/>
  <c r="C97" i="3"/>
  <c r="H97" i="3" s="1"/>
  <c r="I97" i="3" s="1"/>
  <c r="J97" i="3" s="1"/>
  <c r="D100" i="3"/>
  <c r="C100" i="3"/>
  <c r="H100" i="3" s="1"/>
  <c r="I100" i="3" s="1"/>
  <c r="J100" i="3" s="1"/>
  <c r="C142" i="3"/>
  <c r="H142" i="3" s="1"/>
  <c r="I142" i="3" s="1"/>
  <c r="J142" i="3" s="1"/>
  <c r="D145" i="3"/>
  <c r="C145" i="3"/>
  <c r="H145" i="3" s="1"/>
  <c r="I145" i="3" s="1"/>
  <c r="J145" i="3" s="1"/>
  <c r="G146" i="3"/>
  <c r="D147" i="3"/>
  <c r="C147" i="3"/>
  <c r="H147" i="3" s="1"/>
  <c r="I147" i="3" s="1"/>
  <c r="J147" i="3" s="1"/>
  <c r="G152" i="3"/>
  <c r="F152" i="3"/>
  <c r="D169" i="3"/>
  <c r="D176" i="3"/>
  <c r="C176" i="3"/>
  <c r="H176" i="3" s="1"/>
  <c r="I176" i="3" s="1"/>
  <c r="J176" i="3" s="1"/>
  <c r="F285" i="3"/>
  <c r="G285" i="3" s="1"/>
  <c r="C332" i="3"/>
  <c r="H332" i="3" s="1"/>
  <c r="I332" i="3" s="1"/>
  <c r="J332" i="3" s="1"/>
  <c r="D332" i="3"/>
  <c r="G97" i="3"/>
  <c r="F169" i="3"/>
  <c r="G169" i="3"/>
  <c r="G171" i="3"/>
  <c r="G172" i="3"/>
  <c r="F172" i="3"/>
  <c r="F189" i="3"/>
  <c r="G189" i="3" s="1"/>
  <c r="G230" i="3"/>
  <c r="F230" i="3"/>
  <c r="D257" i="3"/>
  <c r="C257" i="3"/>
  <c r="H257" i="3" s="1"/>
  <c r="I257" i="3" s="1"/>
  <c r="J257" i="3" s="1"/>
  <c r="G282" i="3"/>
  <c r="F554" i="3"/>
  <c r="G554" i="3" s="1"/>
  <c r="F662" i="3"/>
  <c r="G662" i="3"/>
  <c r="F56" i="3"/>
  <c r="G56" i="3" s="1"/>
  <c r="G66" i="3"/>
  <c r="C67" i="3"/>
  <c r="H67" i="3" s="1"/>
  <c r="I67" i="3" s="1"/>
  <c r="J67" i="3" s="1"/>
  <c r="G75" i="3"/>
  <c r="C76" i="3"/>
  <c r="H76" i="3" s="1"/>
  <c r="I76" i="3" s="1"/>
  <c r="J76" i="3" s="1"/>
  <c r="G83" i="3"/>
  <c r="D85" i="3"/>
  <c r="G88" i="3"/>
  <c r="G89" i="3"/>
  <c r="F97" i="3"/>
  <c r="G101" i="3"/>
  <c r="D103" i="3"/>
  <c r="D110" i="3"/>
  <c r="G114" i="3"/>
  <c r="D115" i="3"/>
  <c r="G119" i="3"/>
  <c r="G120" i="3"/>
  <c r="F132" i="3"/>
  <c r="G132" i="3" s="1"/>
  <c r="G133" i="3"/>
  <c r="G134" i="3"/>
  <c r="C135" i="3"/>
  <c r="H135" i="3" s="1"/>
  <c r="I135" i="3" s="1"/>
  <c r="J135" i="3" s="1"/>
  <c r="G147" i="3"/>
  <c r="C148" i="3"/>
  <c r="H148" i="3" s="1"/>
  <c r="I148" i="3" s="1"/>
  <c r="J148" i="3" s="1"/>
  <c r="F153" i="3"/>
  <c r="G154" i="3"/>
  <c r="G155" i="3"/>
  <c r="D157" i="3"/>
  <c r="C158" i="3"/>
  <c r="H158" i="3" s="1"/>
  <c r="I158" i="3" s="1"/>
  <c r="J158" i="3" s="1"/>
  <c r="F171" i="3"/>
  <c r="G174" i="3"/>
  <c r="C182" i="3"/>
  <c r="H182" i="3" s="1"/>
  <c r="I182" i="3" s="1"/>
  <c r="J182" i="3" s="1"/>
  <c r="D182" i="3"/>
  <c r="C196" i="3"/>
  <c r="H196" i="3" s="1"/>
  <c r="I196" i="3" s="1"/>
  <c r="J196" i="3" s="1"/>
  <c r="D196" i="3"/>
  <c r="C212" i="3"/>
  <c r="H212" i="3" s="1"/>
  <c r="I212" i="3" s="1"/>
  <c r="J212" i="3" s="1"/>
  <c r="D221" i="3"/>
  <c r="C221" i="3"/>
  <c r="H221" i="3" s="1"/>
  <c r="I221" i="3" s="1"/>
  <c r="J221" i="3" s="1"/>
  <c r="D233" i="3"/>
  <c r="F238" i="3"/>
  <c r="G238" i="3" s="1"/>
  <c r="D244" i="3"/>
  <c r="C244" i="3"/>
  <c r="H244" i="3" s="1"/>
  <c r="I244" i="3" s="1"/>
  <c r="J244" i="3" s="1"/>
  <c r="C272" i="3"/>
  <c r="H272" i="3" s="1"/>
  <c r="I272" i="3" s="1"/>
  <c r="J272" i="3" s="1"/>
  <c r="D275" i="3"/>
  <c r="C275" i="3"/>
  <c r="H275" i="3" s="1"/>
  <c r="I275" i="3" s="1"/>
  <c r="J275" i="3" s="1"/>
  <c r="F282" i="3"/>
  <c r="D296" i="3"/>
  <c r="G335" i="3"/>
  <c r="D423" i="3"/>
  <c r="C423" i="3"/>
  <c r="H423" i="3" s="1"/>
  <c r="I423" i="3" s="1"/>
  <c r="J423" i="3" s="1"/>
  <c r="F436" i="3"/>
  <c r="G436" i="3"/>
  <c r="D170" i="3"/>
  <c r="C170" i="3"/>
  <c r="H170" i="3" s="1"/>
  <c r="I170" i="3" s="1"/>
  <c r="J170" i="3" s="1"/>
  <c r="C177" i="3"/>
  <c r="H177" i="3" s="1"/>
  <c r="I177" i="3" s="1"/>
  <c r="J177" i="3" s="1"/>
  <c r="D177" i="3"/>
  <c r="G202" i="3"/>
  <c r="G206" i="3"/>
  <c r="C219" i="3"/>
  <c r="H219" i="3" s="1"/>
  <c r="I219" i="3" s="1"/>
  <c r="J219" i="3" s="1"/>
  <c r="D219" i="3"/>
  <c r="D228" i="3"/>
  <c r="C228" i="3"/>
  <c r="H228" i="3" s="1"/>
  <c r="I228" i="3" s="1"/>
  <c r="J228" i="3" s="1"/>
  <c r="D241" i="3"/>
  <c r="C241" i="3"/>
  <c r="H241" i="3" s="1"/>
  <c r="I241" i="3" s="1"/>
  <c r="J241" i="3" s="1"/>
  <c r="F246" i="3"/>
  <c r="G246" i="3" s="1"/>
  <c r="F253" i="3"/>
  <c r="G253" i="3" s="1"/>
  <c r="D259" i="3"/>
  <c r="C259" i="3"/>
  <c r="H259" i="3" s="1"/>
  <c r="I259" i="3" s="1"/>
  <c r="J259" i="3" s="1"/>
  <c r="F268" i="3"/>
  <c r="G268" i="3" s="1"/>
  <c r="G281" i="3"/>
  <c r="D321" i="3"/>
  <c r="C321" i="3"/>
  <c r="H321" i="3" s="1"/>
  <c r="I321" i="3" s="1"/>
  <c r="J321" i="3" s="1"/>
  <c r="F335" i="3"/>
  <c r="D432" i="3"/>
  <c r="C432" i="3"/>
  <c r="H432" i="3" s="1"/>
  <c r="I432" i="3" s="1"/>
  <c r="J432" i="3" s="1"/>
  <c r="G86" i="3"/>
  <c r="G127" i="3"/>
  <c r="G128" i="3"/>
  <c r="G162" i="3"/>
  <c r="D231" i="3"/>
  <c r="C231" i="3"/>
  <c r="H231" i="3" s="1"/>
  <c r="I231" i="3" s="1"/>
  <c r="J231" i="3" s="1"/>
  <c r="F261" i="3"/>
  <c r="G261" i="3" s="1"/>
  <c r="D293" i="3"/>
  <c r="C293" i="3"/>
  <c r="H293" i="3" s="1"/>
  <c r="I293" i="3" s="1"/>
  <c r="J293" i="3" s="1"/>
  <c r="F299" i="3"/>
  <c r="G299" i="3" s="1"/>
  <c r="F327" i="3"/>
  <c r="G327" i="3" s="1"/>
  <c r="G81" i="3"/>
  <c r="G144" i="3"/>
  <c r="G145" i="3"/>
  <c r="G165" i="3"/>
  <c r="D166" i="3"/>
  <c r="C166" i="3"/>
  <c r="H166" i="3" s="1"/>
  <c r="I166" i="3" s="1"/>
  <c r="J166" i="3" s="1"/>
  <c r="F173" i="3"/>
  <c r="G173" i="3" s="1"/>
  <c r="F180" i="3"/>
  <c r="G180" i="3" s="1"/>
  <c r="G201" i="3"/>
  <c r="G231" i="3"/>
  <c r="D297" i="3"/>
  <c r="C297" i="3"/>
  <c r="H297" i="3" s="1"/>
  <c r="I297" i="3" s="1"/>
  <c r="J297" i="3" s="1"/>
  <c r="G179" i="3"/>
  <c r="G184" i="3"/>
  <c r="G207" i="3"/>
  <c r="F207" i="3"/>
  <c r="G248" i="3"/>
  <c r="G277" i="3"/>
  <c r="G288" i="3"/>
  <c r="F288" i="3"/>
  <c r="F324" i="3"/>
  <c r="G324" i="3" s="1"/>
  <c r="G328" i="3"/>
  <c r="F328" i="3"/>
  <c r="F331" i="3"/>
  <c r="G331" i="3"/>
  <c r="D335" i="3"/>
  <c r="C335" i="3"/>
  <c r="H335" i="3" s="1"/>
  <c r="I335" i="3" s="1"/>
  <c r="J335" i="3" s="1"/>
  <c r="C372" i="3"/>
  <c r="H372" i="3" s="1"/>
  <c r="I372" i="3" s="1"/>
  <c r="J372" i="3" s="1"/>
  <c r="D372" i="3"/>
  <c r="F440" i="3"/>
  <c r="G440" i="3" s="1"/>
  <c r="G212" i="3"/>
  <c r="F212" i="3"/>
  <c r="D215" i="3"/>
  <c r="C215" i="3"/>
  <c r="H215" i="3" s="1"/>
  <c r="I215" i="3" s="1"/>
  <c r="J215" i="3" s="1"/>
  <c r="G240" i="3"/>
  <c r="F267" i="3"/>
  <c r="G267" i="3" s="1"/>
  <c r="F269" i="3"/>
  <c r="G269" i="3" s="1"/>
  <c r="G272" i="3"/>
  <c r="F296" i="3"/>
  <c r="G296" i="3" s="1"/>
  <c r="D301" i="3"/>
  <c r="C301" i="3"/>
  <c r="H301" i="3" s="1"/>
  <c r="I301" i="3" s="1"/>
  <c r="J301" i="3" s="1"/>
  <c r="C316" i="3"/>
  <c r="H316" i="3" s="1"/>
  <c r="I316" i="3" s="1"/>
  <c r="J316" i="3" s="1"/>
  <c r="D316" i="3"/>
  <c r="G338" i="3"/>
  <c r="D362" i="3"/>
  <c r="C362" i="3"/>
  <c r="H362" i="3" s="1"/>
  <c r="I362" i="3" s="1"/>
  <c r="J362" i="3" s="1"/>
  <c r="D370" i="3"/>
  <c r="C370" i="3"/>
  <c r="H370" i="3" s="1"/>
  <c r="I370" i="3" s="1"/>
  <c r="J370" i="3" s="1"/>
  <c r="D437" i="3"/>
  <c r="C437" i="3"/>
  <c r="H437" i="3" s="1"/>
  <c r="I437" i="3" s="1"/>
  <c r="J437" i="3" s="1"/>
  <c r="D461" i="3"/>
  <c r="C461" i="3"/>
  <c r="H461" i="3" s="1"/>
  <c r="I461" i="3" s="1"/>
  <c r="J461" i="3" s="1"/>
  <c r="C186" i="3"/>
  <c r="H186" i="3" s="1"/>
  <c r="I186" i="3" s="1"/>
  <c r="J186" i="3" s="1"/>
  <c r="D192" i="3"/>
  <c r="G211" i="3"/>
  <c r="C214" i="3"/>
  <c r="H214" i="3" s="1"/>
  <c r="I214" i="3" s="1"/>
  <c r="J214" i="3" s="1"/>
  <c r="F221" i="3"/>
  <c r="G221" i="3" s="1"/>
  <c r="G235" i="3"/>
  <c r="F240" i="3"/>
  <c r="C251" i="3"/>
  <c r="H251" i="3" s="1"/>
  <c r="I251" i="3" s="1"/>
  <c r="J251" i="3" s="1"/>
  <c r="C254" i="3"/>
  <c r="H254" i="3" s="1"/>
  <c r="I254" i="3" s="1"/>
  <c r="J254" i="3" s="1"/>
  <c r="F258" i="3"/>
  <c r="G258" i="3" s="1"/>
  <c r="C262" i="3"/>
  <c r="H262" i="3" s="1"/>
  <c r="I262" i="3" s="1"/>
  <c r="J262" i="3" s="1"/>
  <c r="F271" i="3"/>
  <c r="G271" i="3" s="1"/>
  <c r="G274" i="3"/>
  <c r="F274" i="3"/>
  <c r="G292" i="3"/>
  <c r="C300" i="3"/>
  <c r="H300" i="3" s="1"/>
  <c r="I300" i="3" s="1"/>
  <c r="J300" i="3" s="1"/>
  <c r="G303" i="3"/>
  <c r="G309" i="3"/>
  <c r="D312" i="3"/>
  <c r="G316" i="3"/>
  <c r="G323" i="3"/>
  <c r="F326" i="3"/>
  <c r="G326" i="3"/>
  <c r="F338" i="3"/>
  <c r="F214" i="3"/>
  <c r="G214" i="3" s="1"/>
  <c r="G216" i="3"/>
  <c r="G220" i="3"/>
  <c r="G244" i="3"/>
  <c r="F244" i="3"/>
  <c r="G262" i="3"/>
  <c r="F264" i="3"/>
  <c r="G264" i="3" s="1"/>
  <c r="D278" i="3"/>
  <c r="C278" i="3"/>
  <c r="H278" i="3" s="1"/>
  <c r="I278" i="3" s="1"/>
  <c r="J278" i="3" s="1"/>
  <c r="C308" i="3"/>
  <c r="H308" i="3" s="1"/>
  <c r="I308" i="3" s="1"/>
  <c r="J308" i="3" s="1"/>
  <c r="D308" i="3"/>
  <c r="F315" i="3"/>
  <c r="G315" i="3" s="1"/>
  <c r="D493" i="3"/>
  <c r="C493" i="3"/>
  <c r="H493" i="3" s="1"/>
  <c r="I493" i="3" s="1"/>
  <c r="J493" i="3" s="1"/>
  <c r="F505" i="3"/>
  <c r="G505" i="3" s="1"/>
  <c r="G199" i="3"/>
  <c r="G204" i="3"/>
  <c r="D208" i="3"/>
  <c r="C208" i="3"/>
  <c r="H208" i="3" s="1"/>
  <c r="I208" i="3" s="1"/>
  <c r="J208" i="3" s="1"/>
  <c r="G213" i="3"/>
  <c r="D239" i="3"/>
  <c r="C239" i="3"/>
  <c r="H239" i="3" s="1"/>
  <c r="I239" i="3" s="1"/>
  <c r="J239" i="3" s="1"/>
  <c r="G249" i="3"/>
  <c r="G251" i="3"/>
  <c r="F251" i="3"/>
  <c r="G256" i="3"/>
  <c r="D286" i="3"/>
  <c r="C286" i="3"/>
  <c r="H286" i="3" s="1"/>
  <c r="I286" i="3" s="1"/>
  <c r="J286" i="3" s="1"/>
  <c r="G308" i="3"/>
  <c r="F334" i="3"/>
  <c r="G334" i="3" s="1"/>
  <c r="G373" i="3"/>
  <c r="F373" i="3"/>
  <c r="D386" i="3"/>
  <c r="C386" i="3"/>
  <c r="H386" i="3" s="1"/>
  <c r="I386" i="3" s="1"/>
  <c r="J386" i="3" s="1"/>
  <c r="D333" i="3"/>
  <c r="C333" i="3"/>
  <c r="H333" i="3" s="1"/>
  <c r="I333" i="3" s="1"/>
  <c r="J333" i="3" s="1"/>
  <c r="D340" i="3"/>
  <c r="C340" i="3"/>
  <c r="H340" i="3" s="1"/>
  <c r="I340" i="3" s="1"/>
  <c r="J340" i="3" s="1"/>
  <c r="G344" i="3"/>
  <c r="F344" i="3"/>
  <c r="D347" i="3"/>
  <c r="C347" i="3"/>
  <c r="H347" i="3" s="1"/>
  <c r="I347" i="3" s="1"/>
  <c r="J347" i="3" s="1"/>
  <c r="G396" i="3"/>
  <c r="F414" i="3"/>
  <c r="G414" i="3" s="1"/>
  <c r="D533" i="3"/>
  <c r="C533" i="3"/>
  <c r="H533" i="3" s="1"/>
  <c r="I533" i="3" s="1"/>
  <c r="J533" i="3" s="1"/>
  <c r="D541" i="3"/>
  <c r="C541" i="3"/>
  <c r="H541" i="3" s="1"/>
  <c r="I541" i="3" s="1"/>
  <c r="J541" i="3" s="1"/>
  <c r="C548" i="3"/>
  <c r="H548" i="3" s="1"/>
  <c r="I548" i="3" s="1"/>
  <c r="J548" i="3" s="1"/>
  <c r="D548" i="3"/>
  <c r="D406" i="3"/>
  <c r="C406" i="3"/>
  <c r="H406" i="3" s="1"/>
  <c r="I406" i="3" s="1"/>
  <c r="J406" i="3" s="1"/>
  <c r="G408" i="3"/>
  <c r="F408" i="3"/>
  <c r="D410" i="3"/>
  <c r="C410" i="3"/>
  <c r="H410" i="3" s="1"/>
  <c r="I410" i="3" s="1"/>
  <c r="J410" i="3" s="1"/>
  <c r="D478" i="3"/>
  <c r="C478" i="3"/>
  <c r="H478" i="3" s="1"/>
  <c r="I478" i="3" s="1"/>
  <c r="J478" i="3" s="1"/>
  <c r="G481" i="3"/>
  <c r="G510" i="3"/>
  <c r="F510" i="3"/>
  <c r="F578" i="3"/>
  <c r="G578" i="3" s="1"/>
  <c r="F581" i="3"/>
  <c r="G581" i="3"/>
  <c r="F618" i="3"/>
  <c r="G618" i="3" s="1"/>
  <c r="G320" i="3"/>
  <c r="F346" i="3"/>
  <c r="G346" i="3" s="1"/>
  <c r="G348" i="3"/>
  <c r="D361" i="3"/>
  <c r="C361" i="3"/>
  <c r="H361" i="3" s="1"/>
  <c r="I361" i="3" s="1"/>
  <c r="J361" i="3" s="1"/>
  <c r="D380" i="3"/>
  <c r="F381" i="3"/>
  <c r="G381" i="3" s="1"/>
  <c r="G435" i="3"/>
  <c r="C447" i="3"/>
  <c r="H447" i="3" s="1"/>
  <c r="I447" i="3" s="1"/>
  <c r="J447" i="3" s="1"/>
  <c r="D447" i="3"/>
  <c r="G476" i="3"/>
  <c r="F476" i="3"/>
  <c r="F481" i="3"/>
  <c r="F361" i="3"/>
  <c r="G361" i="3" s="1"/>
  <c r="F380" i="3"/>
  <c r="G380" i="3" s="1"/>
  <c r="G434" i="3"/>
  <c r="F496" i="3"/>
  <c r="G496" i="3" s="1"/>
  <c r="G521" i="3"/>
  <c r="F521" i="3"/>
  <c r="F231" i="3"/>
  <c r="C232" i="3"/>
  <c r="H232" i="3" s="1"/>
  <c r="I232" i="3" s="1"/>
  <c r="J232" i="3" s="1"/>
  <c r="F236" i="3"/>
  <c r="C237" i="3"/>
  <c r="H237" i="3" s="1"/>
  <c r="I237" i="3" s="1"/>
  <c r="J237" i="3" s="1"/>
  <c r="F241" i="3"/>
  <c r="G241" i="3" s="1"/>
  <c r="C242" i="3"/>
  <c r="H242" i="3" s="1"/>
  <c r="I242" i="3" s="1"/>
  <c r="J242" i="3" s="1"/>
  <c r="C243" i="3"/>
  <c r="H243" i="3" s="1"/>
  <c r="I243" i="3" s="1"/>
  <c r="J243" i="3" s="1"/>
  <c r="F249" i="3"/>
  <c r="C250" i="3"/>
  <c r="H250" i="3" s="1"/>
  <c r="I250" i="3" s="1"/>
  <c r="J250" i="3" s="1"/>
  <c r="F254" i="3"/>
  <c r="G254" i="3" s="1"/>
  <c r="F257" i="3"/>
  <c r="G257" i="3" s="1"/>
  <c r="C258" i="3"/>
  <c r="H258" i="3" s="1"/>
  <c r="I258" i="3" s="1"/>
  <c r="J258" i="3" s="1"/>
  <c r="F262" i="3"/>
  <c r="C263" i="3"/>
  <c r="H263" i="3" s="1"/>
  <c r="I263" i="3" s="1"/>
  <c r="J263" i="3" s="1"/>
  <c r="C266" i="3"/>
  <c r="H266" i="3" s="1"/>
  <c r="I266" i="3" s="1"/>
  <c r="J266" i="3" s="1"/>
  <c r="C268" i="3"/>
  <c r="H268" i="3" s="1"/>
  <c r="I268" i="3" s="1"/>
  <c r="J268" i="3" s="1"/>
  <c r="F272" i="3"/>
  <c r="F275" i="3"/>
  <c r="G275" i="3" s="1"/>
  <c r="C276" i="3"/>
  <c r="H276" i="3" s="1"/>
  <c r="I276" i="3" s="1"/>
  <c r="J276" i="3" s="1"/>
  <c r="C281" i="3"/>
  <c r="H281" i="3" s="1"/>
  <c r="I281" i="3" s="1"/>
  <c r="J281" i="3" s="1"/>
  <c r="C287" i="3"/>
  <c r="H287" i="3" s="1"/>
  <c r="I287" i="3" s="1"/>
  <c r="J287" i="3" s="1"/>
  <c r="F293" i="3"/>
  <c r="G293" i="3" s="1"/>
  <c r="C298" i="3"/>
  <c r="H298" i="3" s="1"/>
  <c r="I298" i="3" s="1"/>
  <c r="J298" i="3" s="1"/>
  <c r="D302" i="3"/>
  <c r="C306" i="3"/>
  <c r="H306" i="3" s="1"/>
  <c r="I306" i="3" s="1"/>
  <c r="J306" i="3" s="1"/>
  <c r="F309" i="3"/>
  <c r="C323" i="3"/>
  <c r="H323" i="3" s="1"/>
  <c r="I323" i="3" s="1"/>
  <c r="J323" i="3" s="1"/>
  <c r="C324" i="3"/>
  <c r="H324" i="3" s="1"/>
  <c r="I324" i="3" s="1"/>
  <c r="J324" i="3" s="1"/>
  <c r="C325" i="3"/>
  <c r="H325" i="3" s="1"/>
  <c r="I325" i="3" s="1"/>
  <c r="J325" i="3" s="1"/>
  <c r="D345" i="3"/>
  <c r="C345" i="3"/>
  <c r="H345" i="3" s="1"/>
  <c r="I345" i="3" s="1"/>
  <c r="J345" i="3" s="1"/>
  <c r="F350" i="3"/>
  <c r="G350" i="3" s="1"/>
  <c r="G366" i="3"/>
  <c r="G379" i="3"/>
  <c r="G393" i="3"/>
  <c r="F393" i="3"/>
  <c r="D401" i="3"/>
  <c r="F429" i="3"/>
  <c r="G429" i="3" s="1"/>
  <c r="F434" i="3"/>
  <c r="D337" i="3"/>
  <c r="C337" i="3"/>
  <c r="H337" i="3" s="1"/>
  <c r="I337" i="3" s="1"/>
  <c r="J337" i="3" s="1"/>
  <c r="G353" i="3"/>
  <c r="F358" i="3"/>
  <c r="G358" i="3" s="1"/>
  <c r="G368" i="3"/>
  <c r="G369" i="3"/>
  <c r="F369" i="3"/>
  <c r="G392" i="3"/>
  <c r="G428" i="3"/>
  <c r="D455" i="3"/>
  <c r="C455" i="3"/>
  <c r="H455" i="3" s="1"/>
  <c r="I455" i="3" s="1"/>
  <c r="J455" i="3" s="1"/>
  <c r="D464" i="3"/>
  <c r="C464" i="3"/>
  <c r="H464" i="3" s="1"/>
  <c r="I464" i="3" s="1"/>
  <c r="J464" i="3" s="1"/>
  <c r="G475" i="3"/>
  <c r="F475" i="3"/>
  <c r="G390" i="3"/>
  <c r="F397" i="3"/>
  <c r="G397" i="3" s="1"/>
  <c r="G416" i="3"/>
  <c r="D469" i="3"/>
  <c r="C469" i="3"/>
  <c r="H469" i="3" s="1"/>
  <c r="I469" i="3" s="1"/>
  <c r="J469" i="3" s="1"/>
  <c r="D479" i="3"/>
  <c r="C479" i="3"/>
  <c r="H479" i="3" s="1"/>
  <c r="I479" i="3" s="1"/>
  <c r="J479" i="3" s="1"/>
  <c r="G483" i="3"/>
  <c r="D502" i="3"/>
  <c r="C502" i="3"/>
  <c r="H502" i="3" s="1"/>
  <c r="I502" i="3" s="1"/>
  <c r="J502" i="3" s="1"/>
  <c r="G382" i="3"/>
  <c r="D389" i="3"/>
  <c r="C389" i="3"/>
  <c r="H389" i="3" s="1"/>
  <c r="I389" i="3" s="1"/>
  <c r="J389" i="3" s="1"/>
  <c r="F437" i="3"/>
  <c r="G437" i="3" s="1"/>
  <c r="D442" i="3"/>
  <c r="C442" i="3"/>
  <c r="H442" i="3" s="1"/>
  <c r="I442" i="3" s="1"/>
  <c r="J442" i="3" s="1"/>
  <c r="G466" i="3"/>
  <c r="G471" i="3"/>
  <c r="C514" i="3"/>
  <c r="H514" i="3" s="1"/>
  <c r="I514" i="3" s="1"/>
  <c r="J514" i="3" s="1"/>
  <c r="D514" i="3"/>
  <c r="F566" i="3"/>
  <c r="G566" i="3"/>
  <c r="G425" i="3"/>
  <c r="F455" i="3"/>
  <c r="G455" i="3" s="1"/>
  <c r="G490" i="3"/>
  <c r="F490" i="3"/>
  <c r="C509" i="3"/>
  <c r="H509" i="3" s="1"/>
  <c r="I509" i="3" s="1"/>
  <c r="J509" i="3" s="1"/>
  <c r="D509" i="3"/>
  <c r="G586" i="3"/>
  <c r="F586" i="3"/>
  <c r="F589" i="3"/>
  <c r="G589" i="3"/>
  <c r="G617" i="3"/>
  <c r="F617" i="3"/>
  <c r="F385" i="3"/>
  <c r="G385" i="3" s="1"/>
  <c r="F401" i="3"/>
  <c r="G401" i="3" s="1"/>
  <c r="G404" i="3"/>
  <c r="C417" i="3"/>
  <c r="H417" i="3" s="1"/>
  <c r="I417" i="3" s="1"/>
  <c r="J417" i="3" s="1"/>
  <c r="F424" i="3"/>
  <c r="G424" i="3" s="1"/>
  <c r="F425" i="3"/>
  <c r="C430" i="3"/>
  <c r="H430" i="3" s="1"/>
  <c r="I430" i="3" s="1"/>
  <c r="J430" i="3" s="1"/>
  <c r="C436" i="3"/>
  <c r="H436" i="3" s="1"/>
  <c r="I436" i="3" s="1"/>
  <c r="J436" i="3" s="1"/>
  <c r="C441" i="3"/>
  <c r="H441" i="3" s="1"/>
  <c r="I441" i="3" s="1"/>
  <c r="J441" i="3" s="1"/>
  <c r="D448" i="3"/>
  <c r="C448" i="3"/>
  <c r="H448" i="3" s="1"/>
  <c r="I448" i="3" s="1"/>
  <c r="J448" i="3" s="1"/>
  <c r="F464" i="3"/>
  <c r="G464" i="3" s="1"/>
  <c r="G474" i="3"/>
  <c r="C492" i="3"/>
  <c r="H492" i="3" s="1"/>
  <c r="I492" i="3" s="1"/>
  <c r="J492" i="3" s="1"/>
  <c r="D492" i="3"/>
  <c r="D497" i="3"/>
  <c r="C497" i="3"/>
  <c r="H497" i="3" s="1"/>
  <c r="I497" i="3" s="1"/>
  <c r="J497" i="3" s="1"/>
  <c r="D549" i="3"/>
  <c r="C549" i="3"/>
  <c r="H549" i="3" s="1"/>
  <c r="I549" i="3" s="1"/>
  <c r="J549" i="3" s="1"/>
  <c r="C351" i="3"/>
  <c r="H351" i="3" s="1"/>
  <c r="I351" i="3" s="1"/>
  <c r="J351" i="3" s="1"/>
  <c r="G374" i="3"/>
  <c r="C378" i="3"/>
  <c r="H378" i="3" s="1"/>
  <c r="I378" i="3" s="1"/>
  <c r="J378" i="3" s="1"/>
  <c r="F388" i="3"/>
  <c r="G388" i="3" s="1"/>
  <c r="D391" i="3"/>
  <c r="C391" i="3"/>
  <c r="H391" i="3" s="1"/>
  <c r="I391" i="3" s="1"/>
  <c r="J391" i="3" s="1"/>
  <c r="F404" i="3"/>
  <c r="G412" i="3"/>
  <c r="G419" i="3"/>
  <c r="F445" i="3"/>
  <c r="G445" i="3" s="1"/>
  <c r="F451" i="3"/>
  <c r="G451" i="3" s="1"/>
  <c r="G454" i="3"/>
  <c r="F460" i="3"/>
  <c r="G460" i="3" s="1"/>
  <c r="F489" i="3"/>
  <c r="G489" i="3" s="1"/>
  <c r="F492" i="3"/>
  <c r="G492" i="3" s="1"/>
  <c r="G497" i="3"/>
  <c r="G500" i="3"/>
  <c r="D504" i="3"/>
  <c r="F513" i="3"/>
  <c r="G513" i="3" s="1"/>
  <c r="F520" i="3"/>
  <c r="G520" i="3" s="1"/>
  <c r="F546" i="3"/>
  <c r="G546" i="3" s="1"/>
  <c r="F562" i="3"/>
  <c r="G562" i="3" s="1"/>
  <c r="F501" i="3"/>
  <c r="G501" i="3" s="1"/>
  <c r="G511" i="3"/>
  <c r="F569" i="3"/>
  <c r="G569" i="3"/>
  <c r="D643" i="3"/>
  <c r="C643" i="3"/>
  <c r="H643" i="3" s="1"/>
  <c r="I643" i="3" s="1"/>
  <c r="J643" i="3" s="1"/>
  <c r="G657" i="3"/>
  <c r="F657" i="3"/>
  <c r="G487" i="3"/>
  <c r="D507" i="3"/>
  <c r="C507" i="3"/>
  <c r="H507" i="3" s="1"/>
  <c r="I507" i="3" s="1"/>
  <c r="J507" i="3" s="1"/>
  <c r="F517" i="3"/>
  <c r="G517" i="3" s="1"/>
  <c r="G525" i="3"/>
  <c r="F525" i="3"/>
  <c r="G543" i="3"/>
  <c r="G551" i="3"/>
  <c r="F565" i="3"/>
  <c r="G565" i="3" s="1"/>
  <c r="F574" i="3"/>
  <c r="G574" i="3" s="1"/>
  <c r="F577" i="3"/>
  <c r="G577" i="3" s="1"/>
  <c r="C605" i="3"/>
  <c r="H605" i="3" s="1"/>
  <c r="I605" i="3" s="1"/>
  <c r="J605" i="3" s="1"/>
  <c r="D605" i="3"/>
  <c r="G637" i="3"/>
  <c r="F637" i="3"/>
  <c r="F656" i="3"/>
  <c r="G656" i="3" s="1"/>
  <c r="F349" i="3"/>
  <c r="G349" i="3" s="1"/>
  <c r="F353" i="3"/>
  <c r="C354" i="3"/>
  <c r="H354" i="3" s="1"/>
  <c r="I354" i="3" s="1"/>
  <c r="J354" i="3" s="1"/>
  <c r="F356" i="3"/>
  <c r="G356" i="3" s="1"/>
  <c r="C357" i="3"/>
  <c r="H357" i="3" s="1"/>
  <c r="I357" i="3" s="1"/>
  <c r="J357" i="3" s="1"/>
  <c r="F364" i="3"/>
  <c r="G364" i="3" s="1"/>
  <c r="C365" i="3"/>
  <c r="H365" i="3" s="1"/>
  <c r="I365" i="3" s="1"/>
  <c r="J365" i="3" s="1"/>
  <c r="F372" i="3"/>
  <c r="G372" i="3" s="1"/>
  <c r="C373" i="3"/>
  <c r="H373" i="3" s="1"/>
  <c r="I373" i="3" s="1"/>
  <c r="J373" i="3" s="1"/>
  <c r="C379" i="3"/>
  <c r="H379" i="3" s="1"/>
  <c r="I379" i="3" s="1"/>
  <c r="J379" i="3" s="1"/>
  <c r="C381" i="3"/>
  <c r="H381" i="3" s="1"/>
  <c r="I381" i="3" s="1"/>
  <c r="J381" i="3" s="1"/>
  <c r="C384" i="3"/>
  <c r="H384" i="3" s="1"/>
  <c r="I384" i="3" s="1"/>
  <c r="J384" i="3" s="1"/>
  <c r="C395" i="3"/>
  <c r="H395" i="3" s="1"/>
  <c r="I395" i="3" s="1"/>
  <c r="J395" i="3" s="1"/>
  <c r="C399" i="3"/>
  <c r="H399" i="3" s="1"/>
  <c r="I399" i="3" s="1"/>
  <c r="J399" i="3" s="1"/>
  <c r="F405" i="3"/>
  <c r="G405" i="3" s="1"/>
  <c r="F409" i="3"/>
  <c r="G409" i="3" s="1"/>
  <c r="F413" i="3"/>
  <c r="G413" i="3" s="1"/>
  <c r="C415" i="3"/>
  <c r="H415" i="3" s="1"/>
  <c r="I415" i="3" s="1"/>
  <c r="J415" i="3" s="1"/>
  <c r="C418" i="3"/>
  <c r="H418" i="3" s="1"/>
  <c r="I418" i="3" s="1"/>
  <c r="J418" i="3" s="1"/>
  <c r="C420" i="3"/>
  <c r="H420" i="3" s="1"/>
  <c r="I420" i="3" s="1"/>
  <c r="J420" i="3" s="1"/>
  <c r="F422" i="3"/>
  <c r="G422" i="3" s="1"/>
  <c r="C427" i="3"/>
  <c r="H427" i="3" s="1"/>
  <c r="I427" i="3" s="1"/>
  <c r="J427" i="3" s="1"/>
  <c r="C431" i="3"/>
  <c r="H431" i="3" s="1"/>
  <c r="I431" i="3" s="1"/>
  <c r="J431" i="3" s="1"/>
  <c r="F441" i="3"/>
  <c r="G441" i="3" s="1"/>
  <c r="F447" i="3"/>
  <c r="G447" i="3" s="1"/>
  <c r="C449" i="3"/>
  <c r="H449" i="3" s="1"/>
  <c r="I449" i="3" s="1"/>
  <c r="J449" i="3" s="1"/>
  <c r="D598" i="3"/>
  <c r="C598" i="3"/>
  <c r="H598" i="3" s="1"/>
  <c r="I598" i="3" s="1"/>
  <c r="J598" i="3" s="1"/>
  <c r="F611" i="3"/>
  <c r="G611" i="3" s="1"/>
  <c r="D616" i="3"/>
  <c r="C616" i="3"/>
  <c r="H616" i="3" s="1"/>
  <c r="I616" i="3" s="1"/>
  <c r="J616" i="3" s="1"/>
  <c r="C433" i="3"/>
  <c r="H433" i="3" s="1"/>
  <c r="I433" i="3" s="1"/>
  <c r="J433" i="3" s="1"/>
  <c r="D443" i="3"/>
  <c r="G452" i="3"/>
  <c r="F461" i="3"/>
  <c r="G461" i="3" s="1"/>
  <c r="D470" i="3"/>
  <c r="G478" i="3"/>
  <c r="C494" i="3"/>
  <c r="H494" i="3" s="1"/>
  <c r="I494" i="3" s="1"/>
  <c r="J494" i="3" s="1"/>
  <c r="C506" i="3"/>
  <c r="H506" i="3" s="1"/>
  <c r="I506" i="3" s="1"/>
  <c r="J506" i="3" s="1"/>
  <c r="F527" i="3"/>
  <c r="G527" i="3" s="1"/>
  <c r="C532" i="3"/>
  <c r="H532" i="3" s="1"/>
  <c r="I532" i="3" s="1"/>
  <c r="J532" i="3" s="1"/>
  <c r="C540" i="3"/>
  <c r="H540" i="3" s="1"/>
  <c r="I540" i="3" s="1"/>
  <c r="J540" i="3" s="1"/>
  <c r="F542" i="3"/>
  <c r="G542" i="3" s="1"/>
  <c r="F550" i="3"/>
  <c r="G550" i="3" s="1"/>
  <c r="G558" i="3"/>
  <c r="F561" i="3"/>
  <c r="G561" i="3" s="1"/>
  <c r="G582" i="3"/>
  <c r="F582" i="3"/>
  <c r="F585" i="3"/>
  <c r="G585" i="3"/>
  <c r="G449" i="3"/>
  <c r="G506" i="3"/>
  <c r="F506" i="3"/>
  <c r="F532" i="3"/>
  <c r="G532" i="3" s="1"/>
  <c r="F540" i="3"/>
  <c r="G540" i="3" s="1"/>
  <c r="D545" i="3"/>
  <c r="C545" i="3"/>
  <c r="H545" i="3" s="1"/>
  <c r="I545" i="3" s="1"/>
  <c r="J545" i="3" s="1"/>
  <c r="G570" i="3"/>
  <c r="F570" i="3"/>
  <c r="F573" i="3"/>
  <c r="G573" i="3"/>
  <c r="F652" i="3"/>
  <c r="G652" i="3" s="1"/>
  <c r="G529" i="3"/>
  <c r="G531" i="3"/>
  <c r="G537" i="3"/>
  <c r="G539" i="3"/>
  <c r="D544" i="3"/>
  <c r="G547" i="3"/>
  <c r="F555" i="3"/>
  <c r="G555" i="3" s="1"/>
  <c r="F590" i="3"/>
  <c r="G590" i="3" s="1"/>
  <c r="D604" i="3"/>
  <c r="C604" i="3"/>
  <c r="H604" i="3" s="1"/>
  <c r="I604" i="3" s="1"/>
  <c r="J604" i="3" s="1"/>
  <c r="F610" i="3"/>
  <c r="G610" i="3" s="1"/>
  <c r="F682" i="3"/>
  <c r="G682" i="3" s="1"/>
  <c r="F622" i="3"/>
  <c r="G622" i="3" s="1"/>
  <c r="F643" i="3"/>
  <c r="G643" i="3" s="1"/>
  <c r="F649" i="3"/>
  <c r="G649" i="3" s="1"/>
  <c r="D664" i="3"/>
  <c r="C664" i="3"/>
  <c r="H664" i="3" s="1"/>
  <c r="I664" i="3" s="1"/>
  <c r="J664" i="3" s="1"/>
  <c r="F818" i="3"/>
  <c r="G818" i="3" s="1"/>
  <c r="G621" i="3"/>
  <c r="G625" i="3"/>
  <c r="F625" i="3"/>
  <c r="G636" i="3"/>
  <c r="F636" i="3"/>
  <c r="D688" i="3"/>
  <c r="C688" i="3"/>
  <c r="H688" i="3" s="1"/>
  <c r="I688" i="3" s="1"/>
  <c r="J688" i="3" s="1"/>
  <c r="G603" i="3"/>
  <c r="G605" i="3"/>
  <c r="D615" i="3"/>
  <c r="F621" i="3"/>
  <c r="C624" i="3"/>
  <c r="H624" i="3" s="1"/>
  <c r="I624" i="3" s="1"/>
  <c r="J624" i="3" s="1"/>
  <c r="C638" i="3"/>
  <c r="H638" i="3" s="1"/>
  <c r="I638" i="3" s="1"/>
  <c r="J638" i="3" s="1"/>
  <c r="C772" i="3"/>
  <c r="H772" i="3" s="1"/>
  <c r="I772" i="3" s="1"/>
  <c r="J772" i="3" s="1"/>
  <c r="D772" i="3"/>
  <c r="G615" i="3"/>
  <c r="F615" i="3"/>
  <c r="D719" i="3"/>
  <c r="C719" i="3"/>
  <c r="H719" i="3" s="1"/>
  <c r="I719" i="3" s="1"/>
  <c r="J719" i="3" s="1"/>
  <c r="C730" i="3"/>
  <c r="H730" i="3" s="1"/>
  <c r="I730" i="3" s="1"/>
  <c r="J730" i="3" s="1"/>
  <c r="D730" i="3"/>
  <c r="D614" i="3"/>
  <c r="C623" i="3"/>
  <c r="H623" i="3" s="1"/>
  <c r="I623" i="3" s="1"/>
  <c r="J623" i="3" s="1"/>
  <c r="D631" i="3"/>
  <c r="C631" i="3"/>
  <c r="H631" i="3" s="1"/>
  <c r="I631" i="3" s="1"/>
  <c r="J631" i="3" s="1"/>
  <c r="D640" i="3"/>
  <c r="C640" i="3"/>
  <c r="H640" i="3" s="1"/>
  <c r="I640" i="3" s="1"/>
  <c r="J640" i="3" s="1"/>
  <c r="F642" i="3"/>
  <c r="G642" i="3" s="1"/>
  <c r="F658" i="3"/>
  <c r="G658" i="3" s="1"/>
  <c r="G666" i="3"/>
  <c r="F666" i="3"/>
  <c r="F619" i="3"/>
  <c r="G619" i="3" s="1"/>
  <c r="F653" i="3"/>
  <c r="G653" i="3" s="1"/>
  <c r="F683" i="3"/>
  <c r="G683" i="3" s="1"/>
  <c r="G704" i="3"/>
  <c r="G623" i="3"/>
  <c r="F623" i="3"/>
  <c r="F680" i="3"/>
  <c r="G680" i="3" s="1"/>
  <c r="F627" i="3"/>
  <c r="G627" i="3" s="1"/>
  <c r="D632" i="3"/>
  <c r="C632" i="3"/>
  <c r="H632" i="3" s="1"/>
  <c r="I632" i="3" s="1"/>
  <c r="J632" i="3" s="1"/>
  <c r="G645" i="3"/>
  <c r="F645" i="3"/>
  <c r="F676" i="3"/>
  <c r="G676" i="3" s="1"/>
  <c r="F679" i="3"/>
  <c r="G679" i="3" s="1"/>
  <c r="D703" i="3"/>
  <c r="C703" i="3"/>
  <c r="H703" i="3" s="1"/>
  <c r="I703" i="3" s="1"/>
  <c r="J703" i="3" s="1"/>
  <c r="D762" i="3"/>
  <c r="C762" i="3"/>
  <c r="H762" i="3" s="1"/>
  <c r="I762" i="3" s="1"/>
  <c r="J762" i="3" s="1"/>
  <c r="F825" i="3"/>
  <c r="G825" i="3" s="1"/>
  <c r="G599" i="3"/>
  <c r="C608" i="3"/>
  <c r="H608" i="3" s="1"/>
  <c r="I608" i="3" s="1"/>
  <c r="J608" i="3" s="1"/>
  <c r="C636" i="3"/>
  <c r="H636" i="3" s="1"/>
  <c r="I636" i="3" s="1"/>
  <c r="J636" i="3" s="1"/>
  <c r="G651" i="3"/>
  <c r="D678" i="3"/>
  <c r="C678" i="3"/>
  <c r="H678" i="3" s="1"/>
  <c r="I678" i="3" s="1"/>
  <c r="J678" i="3" s="1"/>
  <c r="G708" i="3"/>
  <c r="G727" i="3"/>
  <c r="F801" i="3"/>
  <c r="G801" i="3" s="1"/>
  <c r="D810" i="3"/>
  <c r="C810" i="3"/>
  <c r="H810" i="3" s="1"/>
  <c r="I810" i="3" s="1"/>
  <c r="J810" i="3" s="1"/>
  <c r="D661" i="3"/>
  <c r="C661" i="3"/>
  <c r="H661" i="3" s="1"/>
  <c r="I661" i="3" s="1"/>
  <c r="J661" i="3" s="1"/>
  <c r="G798" i="3"/>
  <c r="F798" i="3"/>
  <c r="F607" i="3"/>
  <c r="G607" i="3" s="1"/>
  <c r="D655" i="3"/>
  <c r="C655" i="3"/>
  <c r="H655" i="3" s="1"/>
  <c r="I655" i="3" s="1"/>
  <c r="J655" i="3" s="1"/>
  <c r="C658" i="3"/>
  <c r="H658" i="3" s="1"/>
  <c r="I658" i="3" s="1"/>
  <c r="J658" i="3" s="1"/>
  <c r="D660" i="3"/>
  <c r="D663" i="3"/>
  <c r="C667" i="3"/>
  <c r="H667" i="3" s="1"/>
  <c r="I667" i="3" s="1"/>
  <c r="J667" i="3" s="1"/>
  <c r="D667" i="3"/>
  <c r="G673" i="3"/>
  <c r="D675" i="3"/>
  <c r="C675" i="3"/>
  <c r="H675" i="3" s="1"/>
  <c r="I675" i="3" s="1"/>
  <c r="J675" i="3" s="1"/>
  <c r="G678" i="3"/>
  <c r="D707" i="3"/>
  <c r="C707" i="3"/>
  <c r="H707" i="3" s="1"/>
  <c r="I707" i="3" s="1"/>
  <c r="J707" i="3" s="1"/>
  <c r="G720" i="3"/>
  <c r="F723" i="3"/>
  <c r="G723" i="3"/>
  <c r="C726" i="3"/>
  <c r="H726" i="3" s="1"/>
  <c r="I726" i="3" s="1"/>
  <c r="J726" i="3" s="1"/>
  <c r="D726" i="3"/>
  <c r="D648" i="3"/>
  <c r="C648" i="3"/>
  <c r="H648" i="3" s="1"/>
  <c r="I648" i="3" s="1"/>
  <c r="J648" i="3" s="1"/>
  <c r="G663" i="3"/>
  <c r="F663" i="3"/>
  <c r="F675" i="3"/>
  <c r="G675" i="3"/>
  <c r="G709" i="3"/>
  <c r="D727" i="3"/>
  <c r="C727" i="3"/>
  <c r="H727" i="3" s="1"/>
  <c r="I727" i="3" s="1"/>
  <c r="J727" i="3" s="1"/>
  <c r="F796" i="3"/>
  <c r="G796" i="3" s="1"/>
  <c r="F869" i="3"/>
  <c r="G869" i="3" s="1"/>
  <c r="G677" i="3"/>
  <c r="F677" i="3"/>
  <c r="D689" i="3"/>
  <c r="C689" i="3"/>
  <c r="H689" i="3" s="1"/>
  <c r="I689" i="3" s="1"/>
  <c r="J689" i="3" s="1"/>
  <c r="G705" i="3"/>
  <c r="F751" i="3"/>
  <c r="G751" i="3" s="1"/>
  <c r="C775" i="3"/>
  <c r="H775" i="3" s="1"/>
  <c r="I775" i="3" s="1"/>
  <c r="J775" i="3" s="1"/>
  <c r="D775" i="3"/>
  <c r="F804" i="3"/>
  <c r="G804" i="3" s="1"/>
  <c r="D668" i="3"/>
  <c r="F671" i="3"/>
  <c r="G671" i="3" s="1"/>
  <c r="F673" i="3"/>
  <c r="F674" i="3"/>
  <c r="G674" i="3" s="1"/>
  <c r="G691" i="3"/>
  <c r="C698" i="3"/>
  <c r="H698" i="3" s="1"/>
  <c r="I698" i="3" s="1"/>
  <c r="J698" i="3" s="1"/>
  <c r="D699" i="3"/>
  <c r="C699" i="3"/>
  <c r="H699" i="3" s="1"/>
  <c r="I699" i="3" s="1"/>
  <c r="J699" i="3" s="1"/>
  <c r="G703" i="3"/>
  <c r="F704" i="3"/>
  <c r="F705" i="3"/>
  <c r="C714" i="3"/>
  <c r="H714" i="3" s="1"/>
  <c r="I714" i="3" s="1"/>
  <c r="J714" i="3" s="1"/>
  <c r="D715" i="3"/>
  <c r="C715" i="3"/>
  <c r="H715" i="3" s="1"/>
  <c r="I715" i="3" s="1"/>
  <c r="J715" i="3" s="1"/>
  <c r="G719" i="3"/>
  <c r="F720" i="3"/>
  <c r="D739" i="3"/>
  <c r="C739" i="3"/>
  <c r="H739" i="3" s="1"/>
  <c r="I739" i="3" s="1"/>
  <c r="J739" i="3" s="1"/>
  <c r="C780" i="3"/>
  <c r="H780" i="3" s="1"/>
  <c r="I780" i="3" s="1"/>
  <c r="J780" i="3" s="1"/>
  <c r="D780" i="3"/>
  <c r="D799" i="3"/>
  <c r="D840" i="3"/>
  <c r="C840" i="3"/>
  <c r="H840" i="3" s="1"/>
  <c r="I840" i="3" s="1"/>
  <c r="J840" i="3" s="1"/>
  <c r="C665" i="3"/>
  <c r="H665" i="3" s="1"/>
  <c r="I665" i="3" s="1"/>
  <c r="J665" i="3" s="1"/>
  <c r="G667" i="3"/>
  <c r="C669" i="3"/>
  <c r="H669" i="3" s="1"/>
  <c r="I669" i="3" s="1"/>
  <c r="J669" i="3" s="1"/>
  <c r="C684" i="3"/>
  <c r="H684" i="3" s="1"/>
  <c r="I684" i="3" s="1"/>
  <c r="J684" i="3" s="1"/>
  <c r="D685" i="3"/>
  <c r="C685" i="3"/>
  <c r="H685" i="3" s="1"/>
  <c r="I685" i="3" s="1"/>
  <c r="J685" i="3" s="1"/>
  <c r="G689" i="3"/>
  <c r="F690" i="3"/>
  <c r="G690" i="3" s="1"/>
  <c r="F691" i="3"/>
  <c r="C695" i="3"/>
  <c r="H695" i="3" s="1"/>
  <c r="I695" i="3" s="1"/>
  <c r="J695" i="3" s="1"/>
  <c r="G717" i="3"/>
  <c r="D733" i="3"/>
  <c r="C733" i="3"/>
  <c r="H733" i="3" s="1"/>
  <c r="I733" i="3" s="1"/>
  <c r="J733" i="3" s="1"/>
  <c r="D758" i="3"/>
  <c r="C758" i="3"/>
  <c r="H758" i="3" s="1"/>
  <c r="I758" i="3" s="1"/>
  <c r="J758" i="3" s="1"/>
  <c r="F767" i="3"/>
  <c r="G767" i="3" s="1"/>
  <c r="G654" i="3"/>
  <c r="G687" i="3"/>
  <c r="G695" i="3"/>
  <c r="G699" i="3"/>
  <c r="F701" i="3"/>
  <c r="G701" i="3" s="1"/>
  <c r="D711" i="3"/>
  <c r="C711" i="3"/>
  <c r="H711" i="3" s="1"/>
  <c r="I711" i="3" s="1"/>
  <c r="J711" i="3" s="1"/>
  <c r="G715" i="3"/>
  <c r="F717" i="3"/>
  <c r="G725" i="3"/>
  <c r="F747" i="3"/>
  <c r="G747" i="3" s="1"/>
  <c r="F835" i="3"/>
  <c r="G835" i="3" s="1"/>
  <c r="D837" i="3"/>
  <c r="C837" i="3"/>
  <c r="H837" i="3" s="1"/>
  <c r="I837" i="3" s="1"/>
  <c r="J837" i="3" s="1"/>
  <c r="D681" i="3"/>
  <c r="C681" i="3"/>
  <c r="H681" i="3" s="1"/>
  <c r="I681" i="3" s="1"/>
  <c r="J681" i="3" s="1"/>
  <c r="G694" i="3"/>
  <c r="G697" i="3"/>
  <c r="G713" i="3"/>
  <c r="D723" i="3"/>
  <c r="C723" i="3"/>
  <c r="H723" i="3" s="1"/>
  <c r="I723" i="3" s="1"/>
  <c r="J723" i="3" s="1"/>
  <c r="G724" i="3"/>
  <c r="G729" i="3"/>
  <c r="D746" i="3"/>
  <c r="C746" i="3"/>
  <c r="H746" i="3" s="1"/>
  <c r="I746" i="3" s="1"/>
  <c r="J746" i="3" s="1"/>
  <c r="G763" i="3"/>
  <c r="F763" i="3"/>
  <c r="D777" i="3"/>
  <c r="C777" i="3"/>
  <c r="H777" i="3" s="1"/>
  <c r="I777" i="3" s="1"/>
  <c r="J777" i="3" s="1"/>
  <c r="F819" i="3"/>
  <c r="G819" i="3" s="1"/>
  <c r="F827" i="3"/>
  <c r="G827" i="3" s="1"/>
  <c r="G749" i="3"/>
  <c r="F749" i="3"/>
  <c r="G765" i="3"/>
  <c r="F765" i="3"/>
  <c r="G794" i="3"/>
  <c r="F802" i="3"/>
  <c r="G802" i="3" s="1"/>
  <c r="F813" i="3"/>
  <c r="G813" i="3"/>
  <c r="D830" i="3"/>
  <c r="C830" i="3"/>
  <c r="H830" i="3" s="1"/>
  <c r="I830" i="3" s="1"/>
  <c r="J830" i="3" s="1"/>
  <c r="F742" i="3"/>
  <c r="G742" i="3" s="1"/>
  <c r="F745" i="3"/>
  <c r="G745" i="3" s="1"/>
  <c r="F761" i="3"/>
  <c r="G761" i="3" s="1"/>
  <c r="D770" i="3"/>
  <c r="C770" i="3"/>
  <c r="H770" i="3" s="1"/>
  <c r="I770" i="3" s="1"/>
  <c r="J770" i="3" s="1"/>
  <c r="G772" i="3"/>
  <c r="D788" i="3"/>
  <c r="C788" i="3"/>
  <c r="H788" i="3" s="1"/>
  <c r="I788" i="3" s="1"/>
  <c r="J788" i="3" s="1"/>
  <c r="D809" i="3"/>
  <c r="C809" i="3"/>
  <c r="H809" i="3" s="1"/>
  <c r="I809" i="3" s="1"/>
  <c r="J809" i="3" s="1"/>
  <c r="D844" i="3"/>
  <c r="C844" i="3"/>
  <c r="H844" i="3" s="1"/>
  <c r="I844" i="3" s="1"/>
  <c r="J844" i="3" s="1"/>
  <c r="G851" i="3"/>
  <c r="F851" i="3"/>
  <c r="G857" i="3"/>
  <c r="F857" i="3"/>
  <c r="G740" i="3"/>
  <c r="G743" i="3"/>
  <c r="G759" i="3"/>
  <c r="G771" i="3"/>
  <c r="D783" i="3"/>
  <c r="C783" i="3"/>
  <c r="H783" i="3" s="1"/>
  <c r="I783" i="3" s="1"/>
  <c r="J783" i="3" s="1"/>
  <c r="G809" i="3"/>
  <c r="F809" i="3"/>
  <c r="C814" i="3"/>
  <c r="H814" i="3" s="1"/>
  <c r="I814" i="3" s="1"/>
  <c r="J814" i="3" s="1"/>
  <c r="D814" i="3"/>
  <c r="C822" i="3"/>
  <c r="H822" i="3" s="1"/>
  <c r="I822" i="3" s="1"/>
  <c r="J822" i="3" s="1"/>
  <c r="D822" i="3"/>
  <c r="G878" i="3"/>
  <c r="F878" i="3"/>
  <c r="G732" i="3"/>
  <c r="F738" i="3"/>
  <c r="G738" i="3" s="1"/>
  <c r="F757" i="3"/>
  <c r="G757" i="3" s="1"/>
  <c r="D803" i="3"/>
  <c r="C803" i="3"/>
  <c r="H803" i="3" s="1"/>
  <c r="I803" i="3" s="1"/>
  <c r="J803" i="3" s="1"/>
  <c r="D805" i="3"/>
  <c r="C805" i="3"/>
  <c r="H805" i="3" s="1"/>
  <c r="I805" i="3" s="1"/>
  <c r="J805" i="3" s="1"/>
  <c r="F814" i="3"/>
  <c r="G814" i="3" s="1"/>
  <c r="D894" i="3"/>
  <c r="C894" i="3"/>
  <c r="H894" i="3" s="1"/>
  <c r="I894" i="3" s="1"/>
  <c r="J894" i="3" s="1"/>
  <c r="F727" i="3"/>
  <c r="F732" i="3"/>
  <c r="G734" i="3"/>
  <c r="G736" i="3"/>
  <c r="C752" i="3"/>
  <c r="H752" i="3" s="1"/>
  <c r="I752" i="3" s="1"/>
  <c r="J752" i="3" s="1"/>
  <c r="D753" i="3"/>
  <c r="G755" i="3"/>
  <c r="C782" i="3"/>
  <c r="H782" i="3" s="1"/>
  <c r="I782" i="3" s="1"/>
  <c r="J782" i="3" s="1"/>
  <c r="G787" i="3"/>
  <c r="F787" i="3"/>
  <c r="F805" i="3"/>
  <c r="G805" i="3" s="1"/>
  <c r="G807" i="3"/>
  <c r="C836" i="3"/>
  <c r="H836" i="3" s="1"/>
  <c r="I836" i="3" s="1"/>
  <c r="J836" i="3" s="1"/>
  <c r="D836" i="3"/>
  <c r="G848" i="3"/>
  <c r="F848" i="3"/>
  <c r="G866" i="3"/>
  <c r="F866" i="3"/>
  <c r="G753" i="3"/>
  <c r="F753" i="3"/>
  <c r="G768" i="3"/>
  <c r="F782" i="3"/>
  <c r="G782" i="3" s="1"/>
  <c r="G786" i="3"/>
  <c r="G792" i="3"/>
  <c r="C820" i="3"/>
  <c r="H820" i="3" s="1"/>
  <c r="I820" i="3" s="1"/>
  <c r="J820" i="3" s="1"/>
  <c r="G836" i="3"/>
  <c r="F836" i="3"/>
  <c r="D893" i="3"/>
  <c r="C893" i="3"/>
  <c r="H893" i="3" s="1"/>
  <c r="I893" i="3" s="1"/>
  <c r="J893" i="3" s="1"/>
  <c r="G882" i="3"/>
  <c r="D889" i="3"/>
  <c r="C889" i="3"/>
  <c r="H889" i="3" s="1"/>
  <c r="I889" i="3" s="1"/>
  <c r="J889" i="3" s="1"/>
  <c r="G808" i="3"/>
  <c r="D848" i="3"/>
  <c r="C848" i="3"/>
  <c r="H848" i="3" s="1"/>
  <c r="I848" i="3" s="1"/>
  <c r="J848" i="3" s="1"/>
  <c r="G856" i="3"/>
  <c r="D878" i="3"/>
  <c r="C878" i="3"/>
  <c r="H878" i="3" s="1"/>
  <c r="I878" i="3" s="1"/>
  <c r="J878" i="3" s="1"/>
  <c r="F882" i="3"/>
  <c r="G889" i="3"/>
  <c r="F889" i="3"/>
  <c r="G840" i="3"/>
  <c r="G844" i="3"/>
  <c r="G865" i="3"/>
  <c r="D872" i="3"/>
  <c r="C872" i="3"/>
  <c r="H872" i="3" s="1"/>
  <c r="I872" i="3" s="1"/>
  <c r="J872" i="3" s="1"/>
  <c r="G822" i="3"/>
  <c r="D860" i="3"/>
  <c r="C860" i="3"/>
  <c r="H860" i="3" s="1"/>
  <c r="I860" i="3" s="1"/>
  <c r="J860" i="3" s="1"/>
  <c r="F873" i="3"/>
  <c r="G873" i="3" s="1"/>
  <c r="D876" i="3"/>
  <c r="C876" i="3"/>
  <c r="H876" i="3" s="1"/>
  <c r="I876" i="3" s="1"/>
  <c r="J876" i="3" s="1"/>
  <c r="G806" i="3"/>
  <c r="C811" i="3"/>
  <c r="H811" i="3" s="1"/>
  <c r="I811" i="3" s="1"/>
  <c r="J811" i="3" s="1"/>
  <c r="G817" i="3"/>
  <c r="G821" i="3"/>
  <c r="F822" i="3"/>
  <c r="D832" i="3"/>
  <c r="C832" i="3"/>
  <c r="H832" i="3" s="1"/>
  <c r="I832" i="3" s="1"/>
  <c r="J832" i="3" s="1"/>
  <c r="G839" i="3"/>
  <c r="F839" i="3"/>
  <c r="F843" i="3"/>
  <c r="G843" i="3" s="1"/>
  <c r="F847" i="3"/>
  <c r="G847" i="3" s="1"/>
  <c r="C859" i="3"/>
  <c r="H859" i="3" s="1"/>
  <c r="I859" i="3" s="1"/>
  <c r="J859" i="3" s="1"/>
  <c r="F863" i="3"/>
  <c r="G863" i="3" s="1"/>
  <c r="G877" i="3"/>
  <c r="F877" i="3"/>
  <c r="F896" i="3"/>
  <c r="G896" i="3" s="1"/>
  <c r="G832" i="3"/>
  <c r="G885" i="3"/>
  <c r="D890" i="3"/>
  <c r="C890" i="3"/>
  <c r="H890" i="3" s="1"/>
  <c r="I890" i="3" s="1"/>
  <c r="J890" i="3" s="1"/>
  <c r="G892" i="3"/>
  <c r="D849" i="3"/>
  <c r="C849" i="3"/>
  <c r="H849" i="3" s="1"/>
  <c r="I849" i="3" s="1"/>
  <c r="J849" i="3" s="1"/>
  <c r="D857" i="3"/>
  <c r="C857" i="3"/>
  <c r="H857" i="3" s="1"/>
  <c r="I857" i="3" s="1"/>
  <c r="J857" i="3" s="1"/>
  <c r="G858" i="3"/>
  <c r="D879" i="3"/>
  <c r="C879" i="3"/>
  <c r="H879" i="3" s="1"/>
  <c r="I879" i="3" s="1"/>
  <c r="J879" i="3" s="1"/>
  <c r="F885" i="3"/>
  <c r="D888" i="3"/>
  <c r="C888" i="3"/>
  <c r="H888" i="3" s="1"/>
  <c r="I888" i="3" s="1"/>
  <c r="J888" i="3" s="1"/>
  <c r="F891" i="3"/>
  <c r="G891" i="3" s="1"/>
  <c r="C851" i="3"/>
  <c r="H851" i="3" s="1"/>
  <c r="I851" i="3" s="1"/>
  <c r="J851" i="3" s="1"/>
  <c r="F855" i="3"/>
  <c r="G855" i="3" s="1"/>
  <c r="C856" i="3"/>
  <c r="H856" i="3" s="1"/>
  <c r="I856" i="3" s="1"/>
  <c r="J856" i="3" s="1"/>
  <c r="C858" i="3"/>
  <c r="H858" i="3" s="1"/>
  <c r="I858" i="3" s="1"/>
  <c r="J858" i="3" s="1"/>
  <c r="F862" i="3"/>
  <c r="G862" i="3" s="1"/>
  <c r="C863" i="3"/>
  <c r="H863" i="3" s="1"/>
  <c r="I863" i="3" s="1"/>
  <c r="J863" i="3" s="1"/>
  <c r="F865" i="3"/>
  <c r="F892" i="3"/>
</calcChain>
</file>

<file path=xl/sharedStrings.xml><?xml version="1.0" encoding="utf-8"?>
<sst xmlns="http://schemas.openxmlformats.org/spreadsheetml/2006/main" count="9458" uniqueCount="2008">
  <si>
    <t>Column2</t>
  </si>
  <si>
    <t>Coluna1</t>
  </si>
  <si>
    <t>Revistas científicas / Journals</t>
  </si>
  <si>
    <t>revistas Internacionais / international journals</t>
  </si>
  <si>
    <t>Costa, O. e Gouveia, L. (2020). Educação Superior a Distância nas Regiões do Brasil. Revista Científica de Educação a Distância. PAIDÉI@. V. 12, n. 21, pp 127-148. ISSN: 1982-6109.[ paper ]</t>
  </si>
  <si>
    <t>Lopes, S.; Gouveia, L. e Reis, P. (2020). A metodologia de ensino b-learning e a abordagem da sala de aula invertida (flipped classroom): resultados experimentais. Revista EducaOnline V.14, n.1 Janeiro/Abril. ISSN: 1983-2664.
[ paper ]</t>
  </si>
  <si>
    <t>Martins, E. e Gouveia, L. (2019). Modelo Pedagógico de M-Learning em Sala de Aula Invertida (MLSAI): Reflexões Sobre o Uso de Recursos Tecnológicos. Revista Renote, Novas Tecnologias na Educação. V. 17, n. 3. pp 407-416. ISSN 1679-1916 DOI: 10.22456/1679-1916.99524
[ paper ]</t>
  </si>
  <si>
    <t>Pinho, M.; Gouveia, L. (2019). O uso do Governo Digital pelo controle social no combate à corrupção pública brasileira. Revista Controle – Doutrina e Artigos. V. 17, n. 2, pp 206-237. e ISSN: 2525-3387. DOI: 10.32586/rcda.v17i2.532 
[ paper ]</t>
  </si>
  <si>
    <t>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10.22161/ijaers.611.8[ paper ]</t>
  </si>
  <si>
    <t>Toso, R. e Gouveia, L. (2019). Active methodologies with the use of integrated mock-ups to the teaching of the logistic subject. International Journal of Advanced Engineering Research and Science (IJAERS). Vol 6, Issue 11, November. ISSN: 2456-1908. DOI: 10.22161/ijaers.611.5  
[ paper ]</t>
  </si>
  <si>
    <t>Lopes, S.; Gouveia, L. e Reis, P. (2019). O método MaCAIES: uma proposta metodológica para a implementação da sala de aula invertida no Ensino Superior. Research, Society and Development, Itabira, v. 9, n. 1, jan. 2020. ISSN: 2525-3409. ISSN 2525-3409. DOI: 10.33448/rsd-v9i1.1921 
[ paper ]</t>
  </si>
  <si>
    <t>Capítulos em livros / Book chapters</t>
  </si>
  <si>
    <t>Martins, E. R.; Gouveia, L. (2019). ML-SAI: Modelo pedagógico fundamentado na sala de aula invertida destinado a atividades de m-learning. ESPACIOS (CARACAS), v. 40, n. 36, p. 19. ISSN: 0798-1015.
[ paper ]</t>
  </si>
  <si>
    <t>Martins, E. R.; Gouveia, L. (2019). Modelo pedagógico ML-SAI: reflexões sobre as abordagens metodológicas. ESPACIOS (CARACAS), v. 40, n. 36, p. 21. ISSN: 0798-1015. 
[ paper ]</t>
  </si>
  <si>
    <t>Lopes, S.; Gouveia, L. e Reis, P. (2019). The Flipped Classroom and Higher Education . Experiences with Computer Science Students. International Journal of Advanced Engineering Research and Science (IJAERS). Vol 6, Issue 10, October 2019, pp 13-18. ISSN 2349-6495.  
[ paper ]</t>
  </si>
  <si>
    <t>Martins, E e Gouveia, L. (2020). Benefícios e Desafios do Uso do Modelo Pedagógico ML-SAI. Research, Society and Development. v. 9, n. 1, e63911611. ISSN: 2525-3409. DOI: 10.33448/rsd-v9i1.1611  
[ paper ]</t>
  </si>
  <si>
    <t>Martins, E e Gouveia, L. (2019). Evolução da construção de um modelo pedagógico para atividades de m-learning. Research, Society and Development. v. 8, n. 10, p. 1-13. ISSN: 2525-3409. DOI: 10.33448/rsd-v8i10.1384 
[ paper ]</t>
  </si>
  <si>
    <t>Posição Ano (</t>
  </si>
  <si>
    <t>Martins, E. e Gouveia, L. (2019). Aprendizagem Móvel com a Tecnologia Educacional Kahoot: Uma Discussão da Perspectiva dos Aprendizes. Revista EDUCAONLINE, v. 13, n. 3, p. 37-57. ISSN: 1983-2664. 
[ paper ]</t>
  </si>
  <si>
    <t>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10.22161/ijaers.6724 
[ paper ]</t>
  </si>
  <si>
    <t>Autores</t>
  </si>
  <si>
    <t>Martins E. and Gouveia, L. (2019). Production of Dissertations and Theses on Mobile Learning in Brazilian Postgraduate Courses. International Journal of Advanced Engineering Research and Science (IJAERS). ISSN: 2349-6495, vol 6, no. 3, March, pp. 1-5. AI Publications, ISSN: 2349-6495. DOI: 10.22161/ijaers.6.3.1[ paper ]</t>
  </si>
  <si>
    <t>Ano</t>
  </si>
  <si>
    <t>Costa, O. e Gouveia, L. (2019). Educação superior a distância: fatores preditores da evasão anteriores a admissão de estudantes. Revista Educação Em Questão, 57(51). DOI: 10.21680/1981-1802.2019v57n51ID15671  
[ paper ]</t>
  </si>
  <si>
    <t>Acaba Ano )</t>
  </si>
  <si>
    <t>Martins, E. e Gouveia, L. (2018). O Uso do WhatsApp como Ferramenta de Apoio a Aprendizagem no Ensino Médio. Revista Novas Tecnologias na Educação (RENOTE). Vol. 16, n. 2. CINTED Centro Interdisciplinar de Novas Tecnologias na Educação. UFRGS. ISSN: 1679-1916.
[ paper ]</t>
  </si>
  <si>
    <t>Martins, E. e Gouveia, L. (2018). Feminine participation in the information systems course of the federal institute of goiás câmpus luziânia. International Journal of Development Research (IJDR). Volume: 08, Issue 10, pp. 23685-23687. October. Article ID: 14446 ISSN: 2230-9926 
[ paper ]</t>
  </si>
  <si>
    <t xml:space="preserve">Acaba Título </t>
  </si>
  <si>
    <t>em editoras internacionais / international editors</t>
  </si>
  <si>
    <t>Martins, E. e Gouveia, L. (2018). Flipped Classroom Applied To High School with Whatsapp Aid. International Journal of Humanities and Social Science (IJHSS). Vol. 8, N. 10. October, pp. 136-141. ISSN 2220-8488. doi:10.30845/ijhss.v8n10p15 
[ paper ]</t>
  </si>
  <si>
    <t>Título</t>
  </si>
  <si>
    <t>Martins, E. R.; Gouveia, L. (2018). Requirements for M-Learning Activities. International Journal of Humanities, Social Sciences and Education (IJHSSE). Vol. 5, n. 11, p. 1-7. ISSN 2349-0373. doi:10.20431/2349-0381.051101 
[ paper ]</t>
  </si>
  <si>
    <t>Costa, O. e Gouveia, L. (2018). Modelos de Retenção de Estudantes: abordagens e perspectivas. Revista REAd - Revista Eletrônica. Vol. 24, n. 3 - Setembro / Dezembro, pp 155-182. ISSN 1413-2311. DOI (10.1590/1413-2311.226.85489)
[ paper ]</t>
  </si>
  <si>
    <t>Martins, E.; Geraldes, W.; Afonseca, U. e Gouveia, L. (2018). Tecnologias Móveis em Contexto Educativo: uma Revisão Sistemática da Literatura. Revista Novas Tecnologias na Educação (RENOTE). CINTED - UFRGS. V. 16. Nº 1, Julho. ISSN 1679-1916.[ paper ]</t>
  </si>
  <si>
    <t>Aragão, S.; Pontes, A.; Gouveia, L.; Lopes, S. Katsuda, P.; Pereira, A.; Oliveira, M.; Oliveira, J.; Coroa, R.; Araújo, G. e Siqueira, M. (2018). The Visualization of Cattle Movement Data in The State of Pará in 2016. Through Networks of Animal Transit Graphs and Guides. Advances in Science, Technology and Engineering Systems Journal (ASTESJ). Vol 3, nº 5, pp. 92-90. ISSN: 2415-6698.[ paper ]</t>
  </si>
  <si>
    <t>Khan, S. and Gouveia, L. (2018). Cloud Computing Service Level Agreement Issues and Challenges: a Bibliographic review. International Journal of Cyber-Security and Digital Forensics (IJCSDF). Vol 7, n. 3. pp 209-229. Hong Kong. The Society of Digital Information and Wireless Communications (SDIWC). ISSN: 2305-001.[ handle]</t>
  </si>
  <si>
    <t>Daradkeh, Y,; Gouveia, L. and Sen, S. (2018). Strategic Thinking and Brands move to the Digital transformation. Matter: International Journal of Science and Technology. Vol 4, N. 1, pp 88-105. Global Research &amp; Development Services. ISSN 2454-5880.  
[ paper ]</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</si>
  <si>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</si>
  <si>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Khan, S. and Gouveia, L. (2018). Moving Towards Cloud Analyzing the Drivers and Barriers to the Adoption of Cloud Computing in HE (Higher Education) institution in UK: An Exploratory Study with Proposed Solution. International Journal of Cyber-Security and Digital Forensics (IJCSDF) Vol 7 N. 2, pp 142-154. The Society of Digital Information and Wireless Communications (SDIWC). ISSN: 2305-001 
[ paper ]</t>
  </si>
  <si>
    <t>Khan, S. e Gouveia, L. (2017).The implication and challenges of GDPR’s on Cloud Computing Industry. International Journal of Computer Science (IIJCS). Volume 5, Issue 7, July. IPASJ, International Publisher for Advanced Scientific Journals. ISSN 2321-5992.   
[ paper ]</t>
  </si>
  <si>
    <t>Khan, S. e Gouveia, L. (2017).Is flipped classroom preferred learning style for the Millennials? An Exploratory study. International Journal of of Management (IIJM). Vol. 5, No 8. August. pp 7-21. ISSN: 2321-646X.   
[ paper ]</t>
  </si>
  <si>
    <t>Khan, S. and Gouveia, L. (2017). Empirical Factors that Influences the Adoption and Selection of Internet Service: An Exploratory Study in Higher Education. International Journal of Latest Research in Science and technology (IJLRST). Volume 6, Issue 3, May-June, pp 58-63. MNK, Publication. ISSN 2278-5299. 
[ paper ]</t>
  </si>
  <si>
    <t>Khan, S. and Gouveia, L. (2017).Cyber Security Attacks: Common Vulnerabilities in the Critical Infrastructure. International Journal of Computer Science (IIJCS). Volume 5, Issue 6, June. IPASJ, International Publisher for Advanced Scientific Journals. ISSN 2321-5992. 
[ paper ]</t>
  </si>
  <si>
    <t>Robalo, A. e Gouveia, L. (2016). Estratégia Metodológica para a Promoção da Cultura Digital nos Professores do Instituto Superior de Ciências da Educação do Huambo, Angola. Revista Órbita Pedagógica, Vol. 3, Ano 2016, No. 2 (Maio-Agosto), pp 19-34. Instituto Superior de Ciências de Educação do Huambo, Angola. ISSN 2409-0131.  
[ paper ]</t>
  </si>
  <si>
    <t>Daradkeh, Y., Doru, P. and Gouveia, L.  (2016). Shaping virtual companies: a brief discussion. International Journal of Open Information Technologies (INJOIT).  vol. 4, n 1, pp 21-24. ISSN: 2307-8162.[ paper ]</t>
  </si>
  <si>
    <t>Constantino, J., Gouveia, L. and Daradkeh, Y.  (2015). The Idea of e-participation Digital Engine where people can take place. International Journal of Open Information Technologies (INJOIT). Vol 3, Nº 11, pp 25-28. ISSN: 2307-8162.[ paper ]</t>
  </si>
  <si>
    <t>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 paper ]</t>
  </si>
  <si>
    <t>Fidalgo, F.; Gouveia, L.; Daradkeh, Y. and Qoussini, A. (2015). A conceptual Model Proposal to Explicit and Reuse at the ransfer of Tacit Knowledge.International Journal Electrical Electronics &amp; Computer Sicence Engineering (IJEECSE). Volume 2, Issue 4 (August, 2015). ISSN: 2454-1222, pp 90-95. 
[ paper ]</t>
  </si>
  <si>
    <t>Abrantes, S.; Gouveia, L. and Daradkeh, Y. (2015). A study to Relate the Quality of Forum Messages with the Flow Experience.International Journal of Open Information Technologies (INJOIT). Vol 3, Nº 7, pp 32-36. ISSN: 2307-8162.[ paper ]</t>
  </si>
  <si>
    <t>Daradkeh, Y.; Selimi, E. andGouveia, L. (2015). Information Overload: how to solve the problem? Current trends in technology and its impacts to individuals and organizational context. International Journal of Open Information Technologies (INJOIT). Vol 3, Nº 3, pp 27-30.  ISSN: 2307-8162.[paper [ paper ]</t>
  </si>
  <si>
    <t>Quental, C. and Gouveia, L. (2014). Web platform for public e-participation management: a case study. International Journal of Civic Engagement and Social Change (IJESC). April-June 2014, Vol. 1, no 2, pp 1-22. ISSN: 2328-5494. DOI: 10.418/ijcesc.2014040101 
[ paper ]</t>
  </si>
  <si>
    <t>Sousa, A; Agante, P.; Gouveia, L. (2014). Communication Model for Generalist News Media Websites, IERI Procedia, Volume 10, 2014, pp 32-37, Elsevier. ISSN 2212-6678. DOI: 10.1016/j.ieri.2014.09.067[ paper ]</t>
  </si>
  <si>
    <t>Sousa, A; Agante, P.; Gouveia, L. (2014). Communication Model for Sports Media Web Portals, AASRI Procedia, Volume 8, 2014, pp 44-49, Elsevier. ISSN 2212-6716. DOI: 10.1016/j.aasri.2014.08.008 
[ paper ]</t>
  </si>
  <si>
    <t>Quental, C. and Gouveia, L. (2014). Web platform for public e-participation management: a case study. International Journal of Civic Engagement and Social Change (IJESC). January-March 2014, Vol. 1, no 1, pp 60-77. ISSN: 2328-5494. DOI: 10.418/ijcesc.2014010105 
[ paper ]</t>
  </si>
  <si>
    <t>Simões, L. e Gouveia, L. (2012). Influence of Psychological Variables on the Academic Use of Facebook. In Wankel, c. and Blessinger, P. (Eds). Increasing Student Engagement and Retention using Social Technologies (Cutting-edge Technologies in Higher Education, Volume 6), pp 121-158. New York: Emerald Group Publishing Limited. ISSN 2044-9968. DOI: 10.1108/S2044-9968(2012)000006B007</t>
  </si>
  <si>
    <t>Sousa, A. e Gouveia, L. (2012). iLeger: Uma proposta de Mediação Digital para Períodos Eleitorais. Iberian Journal of Information Systems and Technologies (RISTI), No 9 (2012), 43-57, Jul 2012. ISSN: 1646-9895.  doi:10.4304/risti.9.43-57
[ paper ]</t>
  </si>
  <si>
    <t>Gouveia, L. (2012). O Conceito de Rede face ao Digital e aos Media Sociais. Multimed Revista do Reseau Mediterraneen de Centres D'Etudes et de Formation. Nº 1. Edições Universidade Fernando Pessoa, pp 85-103. ISSN: 2182-6552.
[ paper ]</t>
  </si>
  <si>
    <t>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t>
  </si>
  <si>
    <t>Peres, P. e Gouveia, L. (2012). Desenhando Percursos de Aprendizagem: contributos para a estruturação de iniciativas de b-learning. Revista EducaOnline. Volume 6, Nº 1 - Janeiro/Abril de 2012, pp 43-66. ISSN 1983-2664. 
paper [ pdf ]</t>
  </si>
  <si>
    <t>Fidalgo, F. and Gouveia, L. (2012). Employee Turnover Impact in Organizational Knowledge Management: The Portuguese real Estate Case. Journal of Knowledge Management, Economics and Information Technology (JKMEIT). Scientific Papers. Vol. II, Issue 2. April 2012, pp 1-16. ISSN: 2069-5934. 
[ paper ]</t>
  </si>
  <si>
    <t>Daradkeh, Y.; Selimi, D. and Gouveia, L. (2012). e-books vs. p-books: who's profiting? European Scientific Journal. March edition, vol. 8, n6, pp 175-184. ISSN: 1857-7881. 
paper [ pdf ]</t>
  </si>
  <si>
    <t>Simões, L. e Gouveia, L. (2011). Estudo exploratório sobre a utilização de Web 2.0 por Docentes do Ensino Superior. Revista EducaOnline. Vol 5, n.3 Setembro/ Dezembro, pp81-100. ISSN 1983-2664. 
[ pdf ]</t>
  </si>
  <si>
    <t>Simões, L., &amp; Gouveia, L. B. (2011). Social Technology Appropriation in Higher Education. Journal of Social Informatics / Revista de Informatica Sociala, VIII(16), pp21-34. ISSN: 1584-384Xpaper [ pdf ]</t>
  </si>
  <si>
    <t>Abrantes, S. e Gouveia, L. (2011). A adopção e difusão de práticas de m-learning no contexto do ensino superior: um estudo de avaliação do uso de dispositivos móveis em ambientes colaborativos. Revista EducaOnline. Vol 5, n.2 Maio/Agosto, 67-81. ISSN 1983-2664. 
paper [ pdf ]</t>
  </si>
  <si>
    <t>Abrantes, S. e Gouveia, L. (2011). Laptops vs Desktops in a Google Groups environment: a study on collaborative learning. International Journal of Interactive Mobile Technologies (iJIM). Vol 5, Nº1, 2011, pp 4-11. ISSN: 1865-7923. 
paper [ pdf ]</t>
  </si>
  <si>
    <t>Abrantes, S. e Gouveia, L. (2010). Evaluation Adoption of Innovations of Mobile Devices and Desktops within Collaborative Environments in a Higher Education Context. Communications of the IBIMA. Volume 2011 (2011), Article ID 341897. 9p. ISSN: 1943-7765.paper [ pdf ]</t>
  </si>
  <si>
    <t>Constantino, J. e Gouveia, L. (2009). Contributos para o estudo do capital social no contexto de comunidades virtuais de participação. Revista Ibérica de Sistemas e Tecnologias de Informação (RISTI ). n.3, 06/2009. AISTI, pp 25-38. ISSN 1646-9895.
paper [ pdf (216KB) ]</t>
  </si>
  <si>
    <t>Gouveia, L. (2002). Is there any room for face-to-face teaching in a digital world? A proposed framework for web usage.  Educational Media International. Journal of ICEM, Routledge. Vol 38, n 4, pp 299-305. December 2001.  ISSN 0952-3987. DOI: 10.1080/09523980110105088[ paper ]</t>
  </si>
  <si>
    <t>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t>
  </si>
  <si>
    <t>Gouveia, L. (1999). Digital support for teachers teaching. Current experience on using Internet facilities in virtual university environments.  Educational Media International. Journal of ICEM, Vol. 36, nº1, March. Routledge, pp 19-31. ISSN 0952-3987. DOI: 10.1080/0952398990360104[ paper ]</t>
  </si>
  <si>
    <t>revistas Nacionais / national journals</t>
  </si>
  <si>
    <t>Sousa, C. e Gouveia, L. (2019). Modelos de gestão do conhecimento em bibliotecas acadêmicas do Brasil. Uma análise sistemática. Folha de Rosto. Revista de Biblioteconomia e Ciência da Informação. V.5 n.2 pp 41-49. ISSN 2447-0120.
[ paper ]</t>
  </si>
  <si>
    <t>Lopes, S.; Gouveia, L. e Reis, P. (2019). A sala de aula invertida num cenário potencial de integração com a Wikipédia. Revista de Ciência se Tecnologias de Informação e Comunicação, Prisma.com. Especial International Wiki Scientific Conference. n.40, pp 135-143. ISSN: 1646-3153. DOI: https://doi.org/10.21747/16463153/40
[ paper ]</t>
  </si>
  <si>
    <t>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10.14488/enegep2019_tn_wpg_293_1657_38747  
[ paper ]</t>
  </si>
  <si>
    <t>Lima, C. e Gouveia, L. (2019). Interações entre os Agentes envolvidos no Portal da Transparência. Revista Juris UniToledo. Araçatuba, SP. V. 04, n. 04, pp 46-59. Out/Dez. ISSN: 2526-6500.
[ paper ]</t>
  </si>
  <si>
    <t>Martins, E. e Gouveia, L. (2019). Produção de dissertações e teses sobre sala de aula invertida nos cursos de pós-graduação brasileiros. Revista Thema. v. 16, n. 2, p. 405-414. ISSN 2177-2894. DOI: http://dx.doi.org/10.15536/thema.V16.2019.405 
[ paper ]</t>
  </si>
  <si>
    <t>Martins, E. e Gouveia, L. (2019). Comparação entre a Metodologia de Sala de Aula Invertida e a Metodologia de Aula Tradicional em um Curso de Engenharia de Produção. Anais do VII Simpósio de Engenharia de Produção (SIMEP 2009). Editora Even3. Montes Claros (MG). Brasil. ISSN: 2318-9258.
[ paper ]</t>
  </si>
  <si>
    <t>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 paper ]</t>
  </si>
  <si>
    <t>Araujo, A. e Gouveia, L. (2019). Implantação de um Sistema de Informação de Ouvidoria em uma Instituição de Ensino de Nível Superior. Estudos sobre a atuação das Ouvidorias em instituição brasileiras. Revista Científica da ABO Associação Brasileira de Ouvidores / Ombudsman. São Paulo: Brasil. Ano 2 - n. 2, pp 181-187. ISSN: 2594-5068.</t>
  </si>
  <si>
    <t>Abrantes, S.; Gouveia, L. (2014). A adopção e difusão de práticas de m-learning no contexto do ensino superior. In Haguenaer, C.; Ulbricht, V.; Lima, L. (eds) (2014). Pesquisas em Linguagem e Educação no Contexto das Tecnologias Digitais. Curitiba: Brasil, Editora CRV, pp 105-128. ISBN: 978-85-8042-905-3.</t>
  </si>
  <si>
    <t>Araújo, A. e Gouveia, L. (2018). O Digital nas Instituições de Ensino Superior: um diagnóstico sobre a percepção da comunidade acadêmica de uma instituição de ensino superior em Belém do Pará (Brasil). Revista Estação Científica. Faculdade Estácio de Sá de Juiz de Fora, Brasil. nº 19. Kaneiro a Julho / 2018. ISSN: 1809-046X. 
[ paper ]</t>
  </si>
  <si>
    <t>Guerra, F. e Gouveia, L. (2018). Política tecnológica de combate à sonegação fiscal e seus reflexos nos processos das empresas. Revista de Contabilidade e Gestão Contemporânea (RCGC). Universidade Federal Fluminense, UFF. Niterói/RJ. N.1. Jan-jun. pp 30-41. ISSN: 2595-7287.[ paper ]</t>
  </si>
  <si>
    <t>Araújo, A. e Gouveia, L. (2018). A informação como fator diferenciados para o sucesso estratégico das organizações. Revista Estação Científica. Faculdade Estácio de Sá de Juiz de Fora. Juiz de Fora, Brasil. nº 17, janeiro – junho / 2017. ISSN 1809-046X.[ paper ]</t>
  </si>
  <si>
    <t>Gouveia, L. e Morgado, R. (2017). A importância das Ciberarmas no Contexto da Ciberdefesa de um Pequeno Estado. Atlântico Business Journal. Vol 1, n. 1. pp 9-16. Outubro 2017. ABSJournal.</t>
  </si>
  <si>
    <t>Gouveia, L. e Couto, P. (2017). A importância crescente do Capital Humano, Intelectual, Social e Territorial e a sua associação ao conhecimento. Atlântico Business Journal. Vol 1, n. 1. pp 28-34. Outubro 2017. ABSJournal.</t>
  </si>
  <si>
    <t>Gouveia, L. e Pinto, C. (2017). Contributo para a discussão sobre a contabilização do Conhecimento e do Capital Humano nas Organizações. Atlântico Business Journal. Vol 1, n. 1. pp 35-37. Outubro 2017. ABSJournal.</t>
  </si>
  <si>
    <t>Araújo, A. e Gouveia, L. (2016). Uma Revisão sobre os Princípios da Teoria Geral dos Sistemas. Revista Estação Científica. Faculdade Estácio de Sá de Juiz de Fora. Juiz de Fora, Brasil. nº 16, julho – dezembro / 2016. ISSN 1809-046X.
[ paper ]</t>
  </si>
  <si>
    <t>Gouveia, L. e Neves, J. (2014). O Digital e a Sociedade em Rede: contribuições para a importância de considerar a questão da (ciber)defesa.Revista do Departamento de Inovação, Ciência e Tecnologia(DICT). N. 5. Universidade Portucalense. Dezembro, pp 34-40. ISSN 1647-4023.
[ paper ]</t>
  </si>
  <si>
    <t>Gouveia, L. e Neves, J. (2014). Uma reflexão sobre o E-Government em Cidades Médias: o impacte do digital no contexto português.Revista do Departamento de Inovação, Ciência e Tecnologia(DICT). N. 5. Universidade Portucalense. Dezembro, pp 17-24. ISSN 1647-4023.</t>
  </si>
  <si>
    <t>Cardoso, T. e Gouveia, L. (2013). As redes sociais e a Web 2.0 nas Bibliotecas Públicas do Distrito de Aveiro. Revista do Departamento de Inovação, Ciência e Tecnologia (DICT). n. 4. Universidade Portucalense. Outubro, pp 67-73. ISSN 1647-4023.
[ texto ]</t>
  </si>
  <si>
    <t>Moura, P. e Gouveia, L. (2011). Gestão da oferta cultural nos museus: uma proposta de reflexão sobre a oportunidade digital. Revista do Departamento de Inovação, Ciência e Tecnologia (DICT), Universidade Portucalense. N. 2/3. Dezembro, pp 79-89. ISSN 1647-4023</t>
  </si>
  <si>
    <t>Simões, L. e Gouveia, L. (2011). Apropriação de tecnologia Web 2.0 no Ensino Superior. Edição Especial Cadernos de Estudos Mediáticos 08. Comunicação audiovisual: identidades, discursos e representações Freitas, E.  e Tuna, S. (orgs). nº 8 (2011), Porto. Edições Universidade Fernando Pessoa. ISSN 1647-3191, pp 65-74.</t>
  </si>
  <si>
    <t>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t>
  </si>
  <si>
    <t>Reiter, Johannes and Gouveia, L. (2010). Different views on Web 2.0: an overview. Revista da Faculdade de Ciência e Tecnologia (FCT), nº7, pp 82-91 (2010). ISSN: 1646-0499.</t>
  </si>
  <si>
    <t>Soigne, C. e Gouveia, L. (2011). Universidade Virtual. Estudo exploratório de uso da plataforma Sakai na UFP. Revista da Faculdade de Ciência e Tecnologia (FCT), nº7, pp 92-103 (2010). ISSN: 1646-0499.</t>
  </si>
  <si>
    <t>Abrantes, S. e Gouveia, L. (2010). O recurso a jogos de computador para suporte à aprendizagem: breve sistematização. Revista do Departamento de Inovação, Ciência e Tecnologia (DICT), nº 1. Universidade Portucalense. Dezembro de 2009, pp. 129-141. ISSN: 1647-4023.</t>
  </si>
  <si>
    <t>Sousa, P.; Rodrigues, E.; Cunha, M.; Neves, A.; Santos, A.; Malheiro, A.; Dudziak, E.; Ribeiro,F.; Reis, G.; Menou, M.; Ferreira, M.; Gouveia, L. e Santos, R. (2007). A blogosfera: perspectivas e desafios no campo da ciência da informação. Novos Espaços na Web os Blogs na Área da Documentação e Informação. Cadernos de Biblioteconomia Arquivística e Documentação Cadernos BAD, Núm. 1, 2007, pp. 87-106. Associação Portuguesa de Bibliotecários, Arquivistas e Documentalistas Lisboa, Portugal. ISSN 0007 9421.
artigo [ pdf (2,52MB) ]</t>
  </si>
  <si>
    <t>Constantino, J. e Gouveia, L. (2009). A minha aldeia é todo o mundo: uma reflexão sobre participação cívica. Revista A Obra Nasce. n.6, Setembro de 2009. Edições Universidade Fernando Pessoa, pp 9-14. ISSN 1645-8729.
paper [ pdf (220KB) ]</t>
  </si>
  <si>
    <t>Gaio, S. e Gouveia, L. (2009). A relevância de uma abordagem de rede na edificação da marca territorial. Revista A Obra Nasce. n.6, Setembro de 2009. Edições Universidade Fernando Pessoa, pp 33-39. ISSN 1645-8729.
paper [ pdf (180KB) ]</t>
  </si>
  <si>
    <t>Gouveia, L.; Neves, N. e Carvalho, C. (2009). Um ensaio sobre a Governação na Era da Globalização. Revista Geopolítica. n.3, Junho de 2009. Centro Português de Geopolítica, pp 235-268. ISSN 1646-8066.
paper [ pdf (164KB) ]</t>
  </si>
  <si>
    <t>Simões, L. e Gouveia, L. (2008). Geração Net, Web 2.0 e ensino superior, in Freitas, E. e Tuna, S. (Orgs.) (2009). Novos Média, Novas Gerações, Novas Formas de Comunicar. Edição especial Cadernos de Estudos mediáticos, n. 6. Edições Universidade Fernando Pessoa, pp 21-32. ISBN 978-989-643-023-8.
paper [ pdf (52KB) ]</t>
  </si>
  <si>
    <t>Gouveia, L. e Reis, L. (2008). The Sakai Collaborative Learning Environment: current experience. Revista da FCHS. Nº 5, Universidade Fernando Pessoa, pp 96-104. ISSN: 1646-0480.artigo [ pdf (44KB) ]</t>
  </si>
  <si>
    <t>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t>
  </si>
  <si>
    <t>Rurato, P. e Gouveia, L. e Gouveia, J. (2007). As características dos Aprendentes na Educação a Distância: A particularidade de uma análise individualizada. Revista daFaculdade de Ciência Humanas e Sociais (FCHS). Nº 4, Universidade Fernando Pessoa, pp 100-117. ISSN: 1646-0502.
artigo [ pdf (105KB) ]</t>
  </si>
  <si>
    <t>Rurato, P. e Gouveia, L. e Gouveia, J. (2007). As características dos Aprendentes na Educação a Distância: Factores de Motivação. Revista da Faculdade de Ciência e Tecnologia da UFP (FCT). Nº 4, Universidade Fernando Pessoa, pp 80-92. ISSN: 166-0480.
artigo [ pdf (140KB) ]</t>
  </si>
  <si>
    <t>Silva, R. e Gouveia, L. (2007). Utilização do computador para a aprendizagem da matemática no ensino pré-escolar e básico. Revista da Faculdade de Ciência e Tecnologia da UFP (FCT). Nº 4, Universidade Fernando Pessoa, pp 93-105. ISSN: 166-0480.
artigo [ pdf (165KB) ]</t>
  </si>
  <si>
    <t>Gaio, S., Gouveia, J. e Gouveia, L. (2007). O Branding e a dimensão digital da cidade: dinâmicas e contributos para a competitividade. Revista Portuguesa de Marketing. 2006(2), Ano 10, nº19. IPAM Edições. ISSN 0873-2949, pp 47-53.
texto [ pdf (192KB) ]</t>
  </si>
  <si>
    <t>Gaio, S. e Gouveia, L. (2007) O Branding Territorial: uma abordagem mercadológica à Cidade. Revista A Obra Nasce. Fevereiro. Edições UFP. ISSN 1645-8729, pp 27-36
texto [ pdf (104KB) ]</t>
  </si>
  <si>
    <t>Rurato, P. e Gouveia, L. (2005). Uma Reflexão sobre o Perfil dos Aprendentes Adultos no Ensino a Distância  (EAD). Revista da Faculdade de Ciência e Tecnologia da UFP (FCT). Nº 2. Dezembro de 2005, pp 174-199. ISBN 972-8830-35-1.
texto [ pdf (104KB)]</t>
  </si>
  <si>
    <t>Teixeira, P. e Gouveia, L. (2005). Local E-Government: A Situação das Juntas de Freguesia do Concelho de Vila Nova de Gaia. Revista da Faculdade de Ciência e Tecnologia da UFP (FCT). Nº 2. Dezembro de 2005, pp 108-133. ISBN 972-8830-35-1.
texto [ pdf (240KB)]</t>
  </si>
  <si>
    <t>Gouveia, L. (2004). Manifesto Digital para o espaço público. Revista A Obra Nasce, nº2. Revista de Arquitectura da Universidade Fernando Pessoa. Edições Fernando Pessoa, pp 124-132. ISSN 1645-8729.</t>
  </si>
  <si>
    <t>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t>
  </si>
  <si>
    <t>Ferreira, M. e Gouveia, L. (2004). Património Local e Tecnologias de Informação, uma relação inevitável. Revista da Faculdade de Ciência Humanas e Sociais (FCHS) nº1. Universidade Fernando Pessoa. Edições UFP. ISSN: 1646-0502, pp 191-201.</t>
  </si>
  <si>
    <t>Rurato, P. e Gouveia, L. (2004). História do ensino a distância: uma abordagem estruturada. Revista da Faculdade de Ciência Humanas e Sociais (FCHS) nº1 Ano 2004. Universidade Fernando Pessoa. Edições UFP. ISSN: 1646-0502, pp 159-168.</t>
  </si>
  <si>
    <t>Ribeiro, N. e Gouveia, L. (2004). Proposta de um modelo de referência para as tecnologias multimédia. Revista da Faculdade de Ciência e Tecnologia (FCT). nº1. Universidade Fernando Pessoa. Edições UFP. ISSN: 1646-0499, pp 109-115.</t>
  </si>
  <si>
    <t>Rurato, P. e Gouveia, L. (2004). Contribuição para o conceito de ensino a distância: vantagens e desvantagens da sua prática. Revista da Faculdade de Ciência e Tecnologia (FCT). nº1 Ano 2004. Universidade Fernando Pessoa. Edições UFP ISSN: 1646-0499, pp 85-91.</t>
  </si>
  <si>
    <t>Gouveia, L. (2004). O impacto do digital no território. O gaia global como caso de estudo. A Obra Nasce. nº1. Revista de Arquitectura da Universidade Fernando Pessoa. Edições Fernando Pessoa, pp 94-104. ISSN 1645-8729.</t>
  </si>
  <si>
    <t>Gouveia, L. (2003). Estudo sobre a utilização da Internet para suporte ao ensino presencial. Revista Antropológicas, nº 7. Porto, UFP. Edições Universidade Fernando Pessoa. ISSN 0873-819X, pp 239-262.</t>
  </si>
  <si>
    <t>Gouveia, L. and Gouveia, F. (2001). Visualisation issues for human systems development: the case of a knowledge sharing support system. UFP Journal nº 6, pp 381-403. November. Edições Universidade Fernando Pessoa. ISSN 0873-8181.</t>
  </si>
  <si>
    <t>Gouveia, L. (2000). Ambientes Virtuais Colaborativos: a procura de formas alternativas de interacção. Revista Politécnica nº2. Edições da Cooperativa de Ensino Politécnico. Porto. pp 26-31. ISSN 0874-8799.
paper [ pdf (39KB)]</t>
  </si>
  <si>
    <t>Gouveia, L. (2000). Efeitos da exposição prolongada à tecnologia (ou uma contribuição para a discussão do conceito de cultura tecnologica). Revista da UFP nº5, pp 425-429. Edições Universidade Fernando Pessoa. Porto. ISSN 0873-8181.
paper [ pdf (14KB)]</t>
  </si>
  <si>
    <t>Gouveia, L. (1999). On Education, Learning and Training: bring windows where just walls exist. Revista da UFP nº3, Vol. 3, pp 223-228. Edições Universidade Fernando Pessoa. Porto, Maio. ISSN 0873-8181.paper [ pdf (17KB)]</t>
  </si>
  <si>
    <t>Abrantes, S. L., &amp; Gouveia, L. B. (2014). Using Games for Primary School: Assessing its Use with Flow Experience. In I. Association (Ed.), K-12 Education: Concepts, Methodologies, Tools, and Applications (pp. 840-852). Hershey, PA: Information Science Reference. doi:10.4018/978-1-4666-4502-8.ch049. Sousa, A.;</t>
  </si>
  <si>
    <t>Gouveia, L. (1998). Group assessment: alternative forms to evaluate student skills. Revista da UFP nº2, Vol. 2, pp 519-526. Edições Universidade Fernando Pessoa. Porto, Maio. ISSN 0873-8181.paper [ HTML | pdf (21KB)]</t>
  </si>
  <si>
    <t>Livros / Books</t>
  </si>
  <si>
    <t>como autor / as author</t>
  </si>
  <si>
    <t>Martins, E. e Gouveia, L. (2020). Educational Model MS-SAI: Mobile Learning and Flipped Classroom. February. Lambert Academic Publishing. ISBN: 978-620-0-56527-3.</t>
  </si>
  <si>
    <t>Correia, A. e Gouveia, L. (2019). Governação e Smart Cities. Estudo do Porto. Lisboa. Chiado Editora. ISBN: 978-989-52-6487-2.</t>
  </si>
  <si>
    <t>Martins, E. e Gouveia, L. (2018). Sala de Aula Invertida utilizando Mobile Learning. Novas Edições Acadêmicas. ISBN 9786139547569.</t>
  </si>
  <si>
    <t>Araújo, A. e Gouveia, L. (2017). O Digital nas Instituições de Ensino Superior. Rio de Janeiro. Publit Soluções Editoriais. ISBN 978-85-525-0002-5.</t>
  </si>
  <si>
    <t>Alfredo, P. e Gouveia, L. (2015).Contribuições para a discussão de um modelo de Governo Electrónico Local para Angola.Porto. Kwigia Editora. ISBN: 978-989-99332-0-0.</t>
  </si>
  <si>
    <t>Gouveia, L. e Cunha, L. (2015).Web 2.0 and Higher Education. A psychological perspective.Lambert Academic Publishing. ISBN: 978-3-659-68346-6.</t>
  </si>
  <si>
    <t>Moura, P. e Gouveia, L. (2014). Gestão da Informação em Museus: contributo para o seu estudo. Porto. Edições Green Line, Instituto para o Desenvolvimento Sustentável. ISBN: 978-989-99013-8-7.</t>
  </si>
  <si>
    <t>Coelho, J. et al. (2012). Repensar a Sociedade da Informação e do Conhecimento no Início do Século XXI. Lisboa: Edições Sílabo. ISBN: 978-972-618-695-3.</t>
  </si>
  <si>
    <t>Sousa, A.; Agante, P. and Gouveia, L. (2012). A Worked Proposal on eParticipation for State Wide Elections. in Ko, A. et al. (Eds): Advancing Democracy, Government and Governance.Lecture Notes in Computer Science, LCNS. Volume 7452, pp 178-190. Springer-Verlag Berlin Heidelberg. ISBN: 978-3-642-32700-1.</t>
  </si>
  <si>
    <t>Gouveia, L. (2009). A Virtual Environment to share knowledge. VDM Verlag Dr. Muller. ISBN 978-3-639-12986-1.</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</si>
  <si>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</si>
  <si>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Bairrão, M. e Gouveia, L. (2007). Gestão da Informação na Biblioteca Escolar. Edições GestKowning. Março de 2007. ISBN: 978-989-95330-0-4.</t>
  </si>
  <si>
    <t>Gouveia, L. (2006) Negócio Electrónico: conceitos e perspectivas de desenvolvimento. Livro I - Colecção Negócio Electrónico. Dezembro de 2006. SPI - Principia. ISBN: 972 8589 62 X.</t>
  </si>
  <si>
    <t>Ribeiro, N. e Gouveia, L. e Rurato, P. e Moreira, R. (2005). Informática e Competências Tecnológicas para a Sociedade da Informação. 2ª Edição revista e aumentada. Edições Universidade Fernando Pessoa. ISBN 972-8830-30-0.</t>
  </si>
  <si>
    <t>Gouveia, L. e Ranito, J. (2004). Sistemas de Informação de Apoio à Decisão. Livro VII - Colecção Inovação e Governância nas autarquias. Dezembro de 2004. SPI - Principia. ISBN: 972 8589 43 3.</t>
  </si>
  <si>
    <t>Gouveia, L. (2004). Local e-government: a governação digital na autarquia. Livro V - Colecção Inovação e Governância nas autarquias. Dezembro de 2004. SPI - Principia. ISBN: 972 8589 41 7.</t>
  </si>
  <si>
    <t>Magalhães, N. e Gouveia, L. e Rurato, P. (2003). Informática e Competências Tecnológicas para a Sociedade da Informação. Outubro de 2003. Edições Universidade Fernando Pessoa. ISBN: 972-8830-04-1.</t>
  </si>
  <si>
    <t>como editor / as editor</t>
  </si>
  <si>
    <t>Freitas, J.; Gouveia, L. e Regedor, A. (editores) (2012). Ciência da Informação. Contributos para o seu estudo. Porto: Edições Universidade Fernando Pessoa. ISBN: 978-989-643-090-0.</t>
  </si>
  <si>
    <t>Gouveia, L. e Gaio, S. (editores) (2004). Sociedade da Informação: balanço e implicações. Junho de 2004. Edições Universidade Fernando Pessoa. ISBN 972-8830-18-1.</t>
  </si>
  <si>
    <t>Gouveia, L. and Gaio, S. (eds) (2004). Readings in Information Society. University Fernando Pessoa Press. March. ISBN 972-8830-14-9.</t>
  </si>
  <si>
    <t>Gouveia, L. (editor). (2003). Cidades e Regiões Digitais: impacte nas cidades e nas pessoas. Setembro de 2003. Edições Universidade Fernando Pessoa. ISBN: 972-8830-03-3</t>
  </si>
  <si>
    <t>Abrantes, S. and Gouveia, L. (2012). Using Games for Primary School: Assessing its Use with Flow Experience. Cruz-Cunha, M. (2012). Handbook of Research on Serious Games as Educational, Business and Research Tools, pp 769-781. ISBN 9781466601499.</t>
  </si>
  <si>
    <t>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t>
  </si>
  <si>
    <t>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t>
  </si>
  <si>
    <t>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t>
  </si>
  <si>
    <t>Fernandes, N.; Gouveia, F. and Gouveia, L. (2009) UFP-UV: UFP in the Sakai Project. In Berg, A. and Korcuska, M. (2009). Sakai Courseware Management. The Official Guide. London: Packt Publishing. ISBN: 1847199402.</t>
  </si>
  <si>
    <t>Gouveia, L. (2005). Emergent Skills in Higher Education: The Quest for Emotion and Virtual University. Chapter Three in Preston, D. (2005). Contemporary Issues in Education. Volume 33. A volume in the At the Interface project 'The Idea of Education'. Rodopi. ISBN 90 420 1684 1, pp 37-48.</t>
  </si>
  <si>
    <t>Gouveia, L. (2004). Emergent skills in higher education: the quest for emotion and virtual university. In Preston, D. and Nguyen, T. (Eds). Virtuality and Education. A Reader. Inter-Disciplinary Press. Oxford, United Kingdom: Publishing Creative Research. e-book. ISBN: 1-904710-10-7, pp 14-18.e-book completo [ pdf (0,99MB) ].</t>
  </si>
  <si>
    <t>Gouveia, L. and Gouveia, J. (2003). EFTWeb: A Model for the Enhanced Use of Educational Materials, in Albalooshi, F. (ed.) Virtual Education Cases in Learning &amp; Teaching Technologies. Chapter VI. Idea Group Publishing. ISBN: 1-9317777-82-9, pp 75-90.</t>
  </si>
  <si>
    <t>Rurato, P.; Gouveia, L. and Gouveia, J. (2002). A Study on Adult Education and Distance Learning. Mendez, A. et al. (eds) Educational Technology: International Conference on Information and Communication Technologies in Education. Junta de Extremadura. Vol. I, pp 78-80. ISBN I-84-95251-77-9.paper [ pdf (22KB)]</t>
  </si>
  <si>
    <t>Gouveia, L. (2002). A Proposal to Support Collaborative Learning: using a structure to share context. Mendez, A. et al. (eds) Educational Technology: International Conference on Information and Communication Technologies in Education. Junta de Extremadura. Vol. I, pp 63-67. ISBN I-84-95251-77-9.paper [ pdf (34KB)] ]</t>
  </si>
  <si>
    <t>Gouveia, L. and Gouveia, F. (2002). Evaluation of a visualisation design for knowledge sharing and information discovery. In J.Filipe, Sharp, B. and Miranda, P. (Eds.), 2002. Enterprise Information Systems III. Kluwer Academic Publishers, Dordrecht, The Netherlands. March 2002, ISBN 1-4020-0563-6, pp 83-89.</t>
  </si>
  <si>
    <t>Gouveia, L. (2001). A technological related discussion on the potential of change in education, learning and training. in Ferrari, A. and Mealha, O. (eds.) Proceedings of TMR Euroconference. Universidade de Aveiro. Aveiro. Portugal, pp 53-60. ISBN 972-798-010-5.paper:  [ pdf (42KB) ]</t>
  </si>
  <si>
    <t>em editoras nacionais / national editors</t>
  </si>
  <si>
    <t>Carvalho, E. e Gouveia, L. (2019). Transparência e Acesso ao Controle Social. CiniPUB. Congresso Interdisciplinar de Políticas Públicas. CAEDJUS. In Asensi, F. et al. Políticas Públicas e Suas Especificidades. Rio de Janeiro: Grupo FGB/Pembroke Collins, pp 548-564. ISBN: 978-65-81331-13-9.
[ livro ]</t>
  </si>
  <si>
    <t>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10.5935/978-85-7042-205-7.CAP.07
[ livro ]</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</si>
  <si>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 
[ livro ]</t>
  </si>
  <si>
    <t>Martins, E. e Gouveia, L. (2019). M-Learning e Sala de Aula Invertida: Construção de um Modelo Pedagógico (ML-SAI). In: Solange Aparecida de Souza Monteiro. (Org.). Inquietações e proposituras na formação docente. 1ed. Ponta Grossa, PR: Atena Editora, v. 1, p. 184-192. DOI: 10.22533/at.ed.81119110617, ISBN: 978-85-7247-381-1.
[ handle ]</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</si>
  <si>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t>
  </si>
  <si>
    <t>Martins, E. R.; Gouveia, L. (2019). Google Drive na Aprendizagem Colaborativa. In: Gabriella Rossetti Ferreira. (Org.). Educação e Tecnologias: Experiências, Desafios e Perspectivas 2. 1ed. Capítulo 19. Ponta Grossa (PR): Atena Editora, v. 2, p. 190-198. ISBN: 9788572472753. DOI: 10.22533/at.ed.75319180419  
[ paper ]</t>
  </si>
  <si>
    <t>Martins, E. e Gouveia, L. (2019). Sala de Aula Invertida com WhatsApp. In Karina Durau (Org.). Demandas e Contextos da Educação no Século XXI, Capítulo 23, 254-263. Ponta Grossa (PR): Atena Editora. ISBN: 9788572470827. DOI: 10.22533/at.ed.82719040223
[ paper ]</t>
  </si>
  <si>
    <t>Martins, E. e Gouveia, L. (2018). O Uso do WhatsApp no Ensino. In: Michélle Barreto Justus (Org.). Ensino, Pesquisa e Realizações, Capítulo 21, 209-216. Ponta Grossa (PR): Atena Editora. DOI: 10.22533/at.ed.06318121221 
[ paper ]</t>
  </si>
  <si>
    <t>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t>
  </si>
  <si>
    <t>Martins, E. R.; Geraldes, W. B.; Afonseca, U. R.; Gouveia, L. (2018). Tecnologias Móveis em Contexto Educativo. In: Francisca Júlia Camargo Dresch. (Org.). Impactos das Tecnologias nas Ciências Humanas e Sociais Aplicadas; v. 2. 1ed, Capitulo 14, pp 168-177. Ponta Grossa (PR): Atena Editora. DOI: 10.22533/at.ed.758180511 
[ paper ]</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</si>
  <si>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t>
  </si>
  <si>
    <t>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t>
  </si>
  <si>
    <t>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t>
  </si>
  <si>
    <t>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</si>
  <si>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</si>
  <si>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</si>
  <si>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</si>
  <si>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</si>
  <si>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</si>
  <si>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</si>
  <si>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</si>
  <si>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</si>
  <si>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</si>
  <si>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</si>
  <si>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</si>
  <si>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</si>
  <si>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</si>
  <si>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</si>
  <si>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t>
  </si>
  <si>
    <t>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t>
  </si>
  <si>
    <t>Silva, C. e Gouveia, L. (2017). A Transparência e Sua Importância Para o Poder Público. Boletim de Gestão Pública, N. 4 - Setembro/Outubro. Instituto de Pesquisa e Estratégia Econômica do Ceará (IPECE). Governo do Estado do Ceará. Brasil, pp 4-7. 
[ boletim ]</t>
  </si>
  <si>
    <t>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ebook ]</t>
  </si>
  <si>
    <t>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ebook ]</t>
  </si>
  <si>
    <t>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ebook ]</t>
  </si>
  <si>
    <t>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ebook ]</t>
  </si>
  <si>
    <t>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ebook ]</t>
  </si>
  <si>
    <t>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t>
  </si>
  <si>
    <t>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ebook ]</t>
  </si>
  <si>
    <t>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ebook ]</t>
  </si>
  <si>
    <t>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ebook ]</t>
  </si>
  <si>
    <t>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ebook ]</t>
  </si>
  <si>
    <t>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ebook ]</t>
  </si>
  <si>
    <t>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ebook ]</t>
  </si>
  <si>
    <t>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ebook ]</t>
  </si>
  <si>
    <t>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</si>
  <si>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t>
  </si>
  <si>
    <t>Gouveia, L. (2013). O Digital e as Redes como mecanismos de inovação na participação pública. in Lira, S.; Ramos, C. e Leão, I. (2012). De Re Publica: Ensaios em torno da ideia republicana. Edições Universidade Fernando Pessoa, pp 305-330. ISBN: 9789896430955.</t>
  </si>
  <si>
    <t>Gouveia, L. (2012). Tecnologias de Informação Documental: impacte do Digital in Freitas, J.; Gouveia, L. e Regedor, A. (2012). Ciência da Informação. Contributos para o seu estudo. Porto: Edições Universidade Fernando Pessoa, pp 41-69. ISBN: 978-989-643-090-0.</t>
  </si>
  <si>
    <t>Abrantes, S. e Gouveia, L. (2009). A experiência do fluxo no uso de jogos para suporte à aprendizagem de Matemática no Ensino Básico. In  Dias, P.; Osório, A. e Ramos, A. (orgs) (2009). O Digital e o Currículo. Universidade do Minho Centro de Competência, Maio, pp 63-81. ISBN 978-972-98456-4-2.</t>
  </si>
  <si>
    <t>Gouveia, L. (2008). As TIC e o  E-Business como alavanca dos Processos de Negócio. In Vários autores. (2008). Empresas 2.0. A Tecnologia como Suporte à Gestão do Futuro. AEP. Porto. Parte V, Capítulo 12, pp 245-271. ISBN: 978-972-8702-33-5. 
artigo [ pdf (62KB) ] | ebook completo [ pdf (5,52MB) ]</t>
  </si>
  <si>
    <t>Gouveia, L. (2006). A Gestão da Informação: um ensaio sobre a sua relevância no contexto organizacional. In CXO (2006). Information Lifecycle Management. Criar a empresa centrada Informação. Biblioteca de Gestão &amp; TI. CXO Media. DL nº 250834, pp 174-180.
texto [ pdf (36KB) ]</t>
  </si>
  <si>
    <t>Xavier, J. e Gouveia, L. e Gouveia, J. (2004). Cidades e Regiões Inteligentes – uma reflexão sobre o caso português. In Gouveia, L. e Gaio, S. (orgs). Sociedade da Informação: balanço e implicações. Junho de 2004. Edições Universidade Fernando Pessoa. ISBN 972-8830-18-1, pp 23-29.</t>
  </si>
  <si>
    <t>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t>
  </si>
  <si>
    <t>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t>
  </si>
  <si>
    <t>Gouveia, L. e Gaio, S. (2004). Introdução: balanço e implicações e Sociedade da Informação. In Gouveia, L. e Gaio, S. (orgs). Sociedade da Informação: balanço e implicações. Junho de 2004. Edições Universidade Fernando Pessoa. ISBN 972-8830-18-1, pp 15-17.</t>
  </si>
  <si>
    <t>Gouveia, L. and Gaio, S. (2004). Introduction to information society in Gouveia, L.and Gaio, S. (2004). Readings in Information Society. University Fernando Pessoa Press. March. ISBN 972-8830-14-9, pp 11-13.</t>
  </si>
  <si>
    <t>Gouveia, L. and Xavier, J. and Gouveia, J.. (2004). Gaia Global: a digital cities initiative in Gouveia, L. and Gaio, S. (2004). Readings in Information Society. University Fernando Pessoa Press. March. ISBN 972-8830-14-9, pp 17-37.</t>
  </si>
  <si>
    <t>Gouveia, L. (2004). Why physical place for a digital oriented world in Gouveia, L. and Gaio, S. (2004). Readings in Information Society. University Fernando Pessoa Press. March. ISBN 972-8830-14-9, pp 91-100.</t>
  </si>
  <si>
    <t>Rurato, P. and Gouveia, L. and Gouveia, J. (2004). Adult Education and Distance Learning: Issues, Barriers and Outcomes in Gouveia, L. and Gaio, S. (2004). Readings in Information Society. University Fernando Pessoa Press. March, pp 133-141. ISBN 972-8830-14-9.</t>
  </si>
  <si>
    <t>Gouveia, L. (2003). Cidades e Regiões Digitais: questões e desafios no digital. In Gouveia, L.(organizador). (2003). Cidades e Regiões Digitais: impacte nas cidades e nas pessoas. Setembro de 2003. Edições Universidade Fernando Pessoa, pp 11-13. ISBN: 972-8830-03-3</t>
  </si>
  <si>
    <t>Xavier, J. e Gouveia, L. e Gouveia, J. (2003). Gaia Global - O Cidadão como umbigo da Cidade Digital. In Gouveia, L. (org.) Cidades e Regiões Digitais: impacte nas cidades e nas pessoas. Setembro de 2003. Edições Universidade Fernando Pessoa, pp 135-155. ISBN: 972-8830-03-3</t>
  </si>
  <si>
    <t>Gouveia, L. e Gouveia, J. (2003), Autarquias Digitais: promessas e desafios. In Gouveia, L. (org.) Cidades e Regiões Digitais: impacte nas cidades e nas pessoas. Setembro de 2003. Edições Universidade Fernando Pessoa, pp 187-193. ISBN: 972-8830-03-3</t>
  </si>
  <si>
    <t>Gouveia, L. and Gouveia, F. (2003). Virtual Environments and Kowledge Sharing. Tavares, L. and Pereira, M. (eds.) E-Portugal. Chapter 3: Sistemas e Processos, ACEP, pp 125-134.</t>
  </si>
  <si>
    <t>Lamas, D.; Gouveia, F. e Gouveia, L. (2001). O Símbolo e a Interactividade no uso de computadores. In Leão, I. (Org.). Actas do Congresso Internacional Literatura, Cinema e outras Artes. Edições Universidade Fernando Pessoa. ISBN 972-8184-64-6, pp 303-310.
paper [ pdf (26KB) ]</t>
  </si>
  <si>
    <t>Gouveia, L.; Gouveia, J. and Restivo, F. (2000) EFTWeb: a working model to support Education, Learning and Training. Valadares, L. and Pereira, M. (eds.). Nova Economia e Tecnologias de Informação: Desafios para Portugal, pp 400-410. Universidade Católica Editora. ISBN 972-54-0019-4.paper [ pdf (47KB) an edited version of the CEPI´99 paper]</t>
  </si>
  <si>
    <t>Gouveia, L.; Gouveia, F. and Lamas, D. (2000). Innovation in Business Processes: An experiment using CAIN. Valadares, L. and Pereira, M. (eds.). Nova Economia e Tecnologias de Informação: Desafios para Portugal, pp 368-377. Universidade Católica Editora.  ISBN 972-54-0019-4.paper [ pfd (48KB) an edited version of the CEPI´99 paper]</t>
  </si>
  <si>
    <t>Gouveia, L. (1998). Sociedade Digital: que oportunidades?. Da Rosa, V. and Castillo, S. (eds.) Pós-Colonialismo e Identidade, UFP, Porto, pp 181-189. Porto, Maio. ISBN 972-8184-30-1
texto [ HTML ]</t>
  </si>
  <si>
    <t>Relatórios académicos / Academic reports</t>
  </si>
  <si>
    <t>teses e dissertações / thesis and dissertations</t>
  </si>
  <si>
    <t>Gouveia, L. (2010). Relatório Lição de Síntese: A Sociedade da Informação. implicações para o indivíduo e para a organização. Apresentação no âmbito das provas públicas de Agregação em Engenharia e Gestão Industrial. Universidade de Aveiro, 17 de Junho.</t>
  </si>
  <si>
    <t>Gouveia, L. (2010). Relatório da Unidade Curricular Gestão do Conhecimento. Apresentação no âmbito das provas públicas de Agregação em Engenharia e Gestão Industrial. Universidade de Aveiro, 16 de Junho.</t>
  </si>
  <si>
    <t>Gouveia, L. (2008) O Digital e a sua relação com as fronteiras físicas dos Estados. Trabalho de investigação individual (TII). Curso de Defesa Nacional 2007/2008, Instituto de Defesa Nacional, Agosto de 2008.
texto [ pdf (136KB) ]</t>
  </si>
  <si>
    <t>Gouveia, L. (2002). A Visualisation Design for Sharing Knowledge, A virtual environment for collaborative learning support. PhD Thesis Viva. Computer Science Department. Lancaster University, England, UK. 19th March.presentation [ pdf (24KB)]</t>
  </si>
  <si>
    <t>Gouveia, L. (2001). A Visualisation Design for Sharing Knowledge, A virtual environment for collaborative learning support. PhD Thesis. Computer Science Department. Lancaster University, England, UK, December.final version [ pdf (34MB)]</t>
  </si>
  <si>
    <t>Gouveia, L. (1999). Second year PhD report. Away Day, CSEG Group, Lancaster University. Lancaster, UK, Novemberreport [ pdf (30KB) ] presentation [ pdf (555KB) ]</t>
  </si>
  <si>
    <t>Gouveia, L. (1998). First year PhD report. Lancaster University. Lancaster, UK, 6 Novemberpaper [ pdf (30KB) ] presentation [ pdf (555KB) ]</t>
  </si>
  <si>
    <t>Gouveia, L. (1995). Aplicações multimédia para o Sistema de Informação da Empresa. Dissertação de Mestrado, FEUP-DEEC. Universidade do Porto. Dezembro. Porto[ pdf (22,1MB) ou Descrição em HTML ]</t>
  </si>
  <si>
    <t>Zagallo, J. e Gouveia, L. (1989). O serviço Videotex. Projecto final de licenciatura. Departamento de Informática. Universidade Portucalense. UPIH. Julho. Porto.</t>
  </si>
  <si>
    <t>relatórios internos / internal reports</t>
  </si>
  <si>
    <t>Cavaignac, S.; Gouveia, L. e Reis, P. (2019). Jogos na Aprendizagem: uma proposta de modelo para o ensino do Jornalismo. Relatório Interno *TRS 09/2019. Grupo Tecnologias, Redes e Sociedade, Universidade Fernando Pessoa. 
[ handle ]</t>
  </si>
  <si>
    <t>Lopes, S.; Gouveia, L. e Reis, P. (2019). Resultados e análise estatística de experimentos realizados no Ensino Superior: a prática metodológica da sala de aula invertida (flipped classroom). Relatório Interno *TRS 08/2019. Grupo Tecnologias, Redes e Sociedade, Universidade Fernando Pessoa.
[ handle ]</t>
  </si>
  <si>
    <t>Toso, R. e Gouveia, L. (2019). Utilização da metodologia de projetos: Maquete de Logística Móvel. Relatório Interno *TRS 07/2019. Grupo Tecnologias, Redes e Sociedade, Universidade Fernando Pessoa.
[ handle ]</t>
  </si>
  <si>
    <t>Almasri, A. e Gouveia, L. (2019). Adding Energy Star Rating Schema to Android Applications on Google Play Store an Example of a Preventive Power Saving Model. Internal Report *TRS 06/2019. Technology, Networks and Society Group. University Fernando Pessoa. 
[ handle ]</t>
  </si>
  <si>
    <t>Almasri, A. e Gouveia, L. (2019). Reviewing the Efficiency of Current Power-Saving Approaches Used Among Different Stages of an Android-Application Lifecycle. Internal Report *TRS 05/2019. Technology, Networks and Society Group. University Fernando Pessoa. 
[ handle ]</t>
  </si>
  <si>
    <t>Almasri, A. e Gouveia, L. (2019). Analyzing and Evaluating the Amount of Power Consumption Used by Current Power-Saving-Applications on Android Smartphones. Internal Report *TRS 04/2019. Technology, Networks and Society Group. University Fernando Pessoa. 
[ handle ]</t>
  </si>
  <si>
    <t>Nogueira, D. e Gouveia, L. (2019). Pesquisa das palavras-chave Redes Digitais; Capacitação e Competências: um estudo bibliométrico. Relatório Interno *TRS 03/2019. Grupo Tecnologias, Redes e Sociedade. Universidade Fernando Pessoa.
[ handle ]</t>
  </si>
  <si>
    <t>Carvalho, M. e Gouveia, L. (2019). Gestão do Conhecimento, considerando os fluxos informacionais em contexto de fluidez - uma investigação prévia. Relatório Interno 2/2019. *TRS Tecnologia, Redes e Sociedade. Março. Universidade Fernando Pessoa.
[ handle ]</t>
  </si>
  <si>
    <t>Lopes, S.; Gouveia, L. e Reis, P. (2019). Utilização da metodologia da sala de aula invertida (flipped classroom): análise de eficiência dos instrumentos e resultados do experimento piloto.  Relatório Interno 1/2019. *TRS Tecnologia, Redes e Sociedade. Janeiro. Universidade Fernando Pessoa.  
[ handle ]</t>
  </si>
  <si>
    <t>Barros, V. e Gouveia, L. (2018). Contribuições para a discussão de um modelo de avaliação do impacto social. Relatório Interno 10/2018. *TRS Tecnologia, Redes e Sociedade. Novembro. Universidade Fernando Pessoa. 
[ handle ]</t>
  </si>
  <si>
    <t>Correia, A. e Gouveia, L. (2018). FIWARE: uma plataforma de desenvolvimento de soluções inteligentes. Relatório Interno 09/2018. *TRS Tecnologia, Redes e Sociedade. Junho. Universidade Fernando Pessoa. 
[ handle ]</t>
  </si>
  <si>
    <t>Menezes, N. e Gouveia, L. (2018). O Recurso a TIC para suporte de atividade em sala de aula, teste piloto. Relatório Interno 08/2018. *TRS Tecnologia, Redes e Sociedade. Junho. Universidade Fernando Pessoa. 
[ handle ]</t>
  </si>
  <si>
    <t>Cordeiro, S. e Gouveia, L. (2018). Regulamento Geral de Proteção de Dados (RGPD): o novo pesadelo das empresas? Relatório Interno 07/2018. *TRS Tecnologia, Redes e Sociedade. Maio. Universidade Fernando Pessoa.
[ handle ]</t>
  </si>
  <si>
    <t>Araújo, A. e Gouveia, L. (2018). Questionário sobre o nível de utilização e importância das TICs numa IES a Coordenadores de Curso. Teste Piloto. Relatório Interno 06/2018. *TRS Tecnologia, Redes e Sociedade. Maio. Universidade Fernando Pessoa.
[ handle ]</t>
  </si>
  <si>
    <t>Lopes, S.; Gouveia, L. e Reis, P. (2018). Experimento prático de uma aula sobre Diagramas de Classe (UML), com a utilização da metodologia da “sala de aula invertida” (Flipped Classroom). Relatório Interno 05/2018. *TRS Tecnologia, Redes e Sociedade. Abril. Universidade Fernando Pessoa. 
[ handle ]</t>
  </si>
  <si>
    <t>Araújo, A. e Gouveia, L. (2018). Questionário sobre o nível de utilização e importância das TICs numa IES. Teste Piloto. Relatório Interno 04/2018. *TRS Tecnologia, Redes e Sociedade. Abril. Universidade Fernando Pessoa.
[ handle ]</t>
  </si>
  <si>
    <t>Gouveia, L. (2018). Contributos para a escrita e organização da estrutura do relatório final de doutoramento: a tese. Relatório Interno 03/2018. *TRS Tecnologia, Redes e Sociedade. Março. Universidade Fernando Pessoa.
[ handle ]</t>
  </si>
  <si>
    <t>Araújo, A. e Gouveia, L. (2018). Pressupostos sobre a pesquisa científica e os testes piloto. Relatório Interno 02/2018. *TRS Tecnologia, Redes e Sociedade. Março. Universidade Fernando Pessoa. 
[ handle ]</t>
  </si>
  <si>
    <t>Khan, S. and Gouveia, L. (2018). Digital Transformation Journey: a discussion. Internal Report 01/2018. *TRS Technology, Networks and Society. March. University Fernando Pessoa. 
[ handle ]</t>
  </si>
  <si>
    <t>Gouveia, L. e Morgado, R. (2017).Estratégia Nacional de Segurança do Ciberespaço. Relatório Interno 10/2017. *TRS Tecnologia, Redes e Sociedade. Junho. Universidade Fernando Pessoa.
[ handle ]</t>
  </si>
  <si>
    <t>Correia, A. e Gouveia, L. (2017).Um Estudo sobre a Qualidade de Vida na Cidade do Porto: exploração de um post no Facebook. Relatório Interno 09/2017. *TRS Tecnologia, Redes e Sociedade. Junho. Universidade Fernando Pessoa.
[ handle ]</t>
  </si>
  <si>
    <t>Rocha, L. e Gouveia, L. (2017).Aplicação de questionário sobre consumo de bens e serviços na Economia Partilhada. Relatório Interno 08/2017. *TRS Tecnologia, Redes e Sociedade. Junho. Universidade Fernando Pessoa.
[ handle ]</t>
  </si>
  <si>
    <t>Filho, Re Gouveia, L. (2017). Proposta de renovação da rede lógica do MT-Hemocentro.Relatório Interno 07/2017. *TRS Tecnologia, Redes e Sociedade. Maio. Universidade Fernando Pessoa.
[ handle ]</t>
  </si>
  <si>
    <t>Quental, C. e Gouveia, L. (2017). Modelo de mediação digital para participação pública em sindicatos. Um relato das experiências realizadas. Relatório Interno 06/2017. *TRS Tecnologia, Redes e Sociedade. Abril. Universidade Fernando Pessoa.
[ handle ]</t>
  </si>
  <si>
    <t>Khan, S. and Gouveia, L. (2017). EMSL Framework: (Minimum Service Level Framework) for Cloud Providers and Users. Internal Report 05/2017. *TRS Technology, Networks and Society. April. University Fernando Pessoa. 
[ handle ]</t>
  </si>
  <si>
    <t>Nogueira, D. e Gouveia, L.  (2017). Estudo Preliminar sobre a Rede Nacional de Escolas de Governo do Brasil. Relatório Interno 04/2017. Grupo Tecnologia, Redes e Sociedade. Abril. Universidade Fernando Pessoa.
[ handle ]</t>
  </si>
  <si>
    <t>Gouveia, L. (2017). Sobre o trabalho de mestrado: informação de contexto e estrutura tipo da dissertação.Relatório Interno TRS 03/2017. Grupo Tecnologia, Redes e Sociedade. Março. Universidade Fernando Pessoa. 
[ handle ]</t>
  </si>
  <si>
    <t>Salimo, G. e Gouveia, L. (2017). Questionário sobre o nível de utilização e importância das TICs nas IES por Professores, Alunos e Funcionários. Teste piloto.Relatório Interno TRS 02/2017. Grupo Tecnologia, Redes e Sociedade. Março. Universidade Fernando Pessoa. 
[ handle ]</t>
  </si>
  <si>
    <t>Marin, D. e Gouveia, L. (2017). Contributos para a melhoria do serviço prestado pela Prefeitura Municipal de Paulo Bento. Análise de processos de compras e licitações.Relatório Interno TRS 01/2017. Grupo Tecnologia, Redes e Sociedade. Fevereiro. Universidade Fernando Pessoa. 
[ handle ]</t>
  </si>
  <si>
    <t>Robalo, A. e Gouveia, L. (2016). As competências em TIC para professores: estudo da proposta UNESCO de 2008. Relatório Interno TRS 02/2016. Grupo tecnologia, Redes e Sociedade. Fevereiro. Universidade Fernando Pessoa. 
[ handle ]</t>
  </si>
  <si>
    <t>Salimo, G. e Gouveia, L.  (2016). Ensino Superior em Moçambique. Os desafios da gestão na Era Digital.Relatório Interno TRS 01/2016. Grupo Tecnologia, Redes e Sociedade. Fevereiro. Universidade Fernando Pessoa.
[ handle ]</t>
  </si>
  <si>
    <t>Robalo, A. e Gouveia, L.  (2015). Aplicação do questionário a professores do Município do Huambo (Angola) sobre competências TIC para professores: Teste Piloto. Relatório Interno TRS 04/2015. Grupo Tecnologia, Redes e Sociedade. Julho. Universidade Fernando Pessoa.[ handle ]</t>
  </si>
  <si>
    <t>Robalo, A. e  Gouveia, L.  (2015). Análise preliminar do questionário a professores do Município do Huambo (Angola) sobre competências TIC para professores. Relatório Interno TRS 03/2015. Grupo Tecnologia, Redes e Sociedade. Julho. Universidade Fernando Pessoa.[ handle ]</t>
  </si>
  <si>
    <t>Martins, O. e Gouveia, L. (2015). As Bibliotecas e o Ensino Superior: uma reflexão preliminar. Relatório Interno TRS 02/2015. Grupo Tecnologia, Redes e Sociedade. Julho. Universidade Fernando Pessoa.[ handle ]</t>
  </si>
  <si>
    <t>Alfredo, P. e Gouveia, L. (2015).Aplicação do questionário aos cidadãos sobre o governo eletrónico local: teste piloto. Relatório Interno TRS 01/2015. Grupo Tecnologia, Redes e Sociedade. Junho. Universidade Fernando Pessoa.
[ handle ]</t>
  </si>
  <si>
    <t>António, F. e Gouveia, L. (2014). Análise de um sistema de backoffice de Ensino a Distância para a Universidade Católica de Angola. Relatório Interno TRS 03/2014. Grupo Tecnologia, Redes e Sociedade. Junho. Universidade Fernando Pessoa.
[ handle ]</t>
  </si>
  <si>
    <t>António, F. e Gouveia, L. (2014). Estudo preliminar de um Sistema de Acolhimento para Alunos da Universidade Católica de Angola. Relatório Interno TRS 02/2014. Grupo Tecnologia, Redes e Sociedade. Junho. Universidade Fernando Pessoa.
[ handle ]</t>
  </si>
  <si>
    <t>Salimo, G. e Gouveia, L. (2014). Estudo preliminar para a Adopção de Práticas de EAD na UniZambeze. Relatório Interno TRS 01/2014. Grupo Tecnologia, Redes e Sociedade. Junho. Universidade Fernando Pessoa.
[ handle ]</t>
  </si>
  <si>
    <t>Robalo, A. e Gouveia, L. (2013). Aplicação das TICs no Instituto Superior de Ciências de Educação: uma nova metodologia para o currículo de Informática. Relatório Interno TRS 02/2013. Grupo Tecnologia, Redes e Sociedade. Outubro. Universidade Fernando Pessoa.
[ handle ]</t>
  </si>
  <si>
    <t>Simões, L. e Gouveia, L. (2013). Estudo exploratório sobre a utilização de Web 2.0 por Docentes do Ensino Superior. Relatório Interno TRS 01/2013. Grupo Tecnologia, Redes e Sociedade. Maio. Universidade Fernando Pessoa. 
[ handle ]</t>
  </si>
  <si>
    <t>Fernandes, N.; Gouveia, L. and Gouveia, F. (2009) UFP-UV: UFP in the Sakai Project. Internal Report 04/2009. CEREM - UFP. Multimedia Resource Centre, University Fernando Pessoa.texto [ pdf (188KB) ] | handle</t>
  </si>
  <si>
    <t>Abrantes, S. e Gouveia, L. (2009) Avaliação do uso do m-learning no contexto de sala de aula no Ensino Superior. Relatório Interno 03/2009. CEREM - UFP. Centro de Estudos e Recursos Multimediáticos, Universidade Fernando Pessoa.
texto [ pdf (374KB) ] | handle</t>
  </si>
  <si>
    <t>Abrantes, S. e Gouveia, L. (2009) Estudo da percepção e potencial do uso de aplicações móveis para ambientes colaborativos. Relatório Interno 02/2009. CEREM - UFP. Centro de Estudos e Recursos Multimediáticos, Universidade Fernando Pessoa.
texto [ pdf (533KB) ] | handle</t>
  </si>
  <si>
    <t>Abrantes, S. e Gouveia, L. (2009) Estudo de percepção do uso de dispositivos móveis no Ensino Superior. Relatório Interno 01/2009. CEREM - UFP. Centro de Estudos e Recursos Multimediáticos, Maio.Universidade Fernando Pessoa.texto [ pdf (512KB)] | handle</t>
  </si>
  <si>
    <t>Rurato, P.; Gouveia, L. e Gouveia, J. (2005) As Características dos Aprendentes na Educação a Distância: factores de motivação. Relatório Interno 01/2005. CEREM, Centro de Estudos e Recursos Multimediáticos. Outubro. Universidade Fernando Pessoa.
texto [ pdf (240KB) ] | handle</t>
  </si>
  <si>
    <t>Rurato, P. e Gouveia, L. (2005). Uma reflexão sobre o perfil dos Aprendentes Adultos no Ensino a Distância. Relatório Interno 02/2005. CEREM Centro de Estudos e Recursos Multimediáticos. Abril, Porto.Universidade Fernando Pessoa.texto [ pdf (296KB) ] | handle</t>
  </si>
  <si>
    <t>Gouveia, F. and Gouveia, L. (2005). Collaborative open-source software: the case of e-learning at University Fernando Pessoa. Working Paper 01/2005. Multimedia Resource Centre. Porto. University Fernando Pessoa.texto [ pdf (121KB) ] | handle</t>
  </si>
  <si>
    <t>Gouveia, L. (2004). A brief survey on Cognitive Maps as Humane Representations. Internal report nº1/2004. Multimedia Resource Centre. Porto. University Fernando Pessoa.paper [ pdf (263KB) ] | handle</t>
  </si>
  <si>
    <t>Gouveia, L. and Gouveia, F. (2001). An evaluation of the Well Path elearning platform. RI CEREM 01/2001. Multimedia Resource Centre. Technical Report. July 2001. University Fernando Pessoa.paper [ pdf (226KB)] | handle</t>
  </si>
  <si>
    <t>Gouveia, L. et al. (2000). Proposing a knowledge network to assist education, training and learning. CSEG/2/00. Cooperative System Engineering Group. Technical Reports 2000. Lancaster University.paper [ pdf (425KB)]</t>
  </si>
  <si>
    <t>Gouveia, L. et al. (2000). Informing an information discovery tool for using gesture. CSEG/1/00. Cooperative System Engineering Group. Technical Reports 2000. Lancaster University.paper [ pdf (12KB)]</t>
  </si>
  <si>
    <t>relatórios de trabalho e projectos / work and project reports</t>
  </si>
  <si>
    <t>Almasri, A. e Gouveia, L. (2019). Reviewing Power-Saving Approaches Implemented During the Development of an Android System (Stage 2). PhD Project. *TRS Technology, Networks and Society. University Fernando Pessoa. Porto. Portugal. 
[ handle ]</t>
  </si>
  <si>
    <t>Almasri, A. e Gouveia, L. (2009). Adding Energy Star Rating Schema to Android Applications on Google Play Store (An Example of a Preventive Power Saving Model, stage four). PhD Project. *TRS Technology, Networks and Society. University Fernando Pessoa.  Porto. Portugal. 
[ handle ]</t>
  </si>
  <si>
    <t>Gouveia, L. (2019). Livro de Resumos. Seminários do Doutoramento em Ciência da Informação, especialidade Sistemas, Tecnologias e Gestão da Informação (SiTeGI). Coordenação SiTeGI. Universidade Fernando Pessoa.[ handle ]</t>
  </si>
  <si>
    <t>Gouveia, L. (2018). Evento de apresentações e partilha de conhecimento PhD CC, SiTeGI. Dia do Doutoramento em Ciências da Informação, ramo Tecnologia, Sistemas e Gestão da Informação. 20 de Julho. Universidade Fernando Pessoa.[ handle ]</t>
  </si>
  <si>
    <t>Gouveia, L. (coord). (2009). Modelos de Governação na Sociedade da Informação e do Conhecimento. Apresentação de Estudo APDSI. Associação para a Promoção e Desenvolvimento da Sociedade da Informação.  
apresentação [ slideshare ]</t>
  </si>
  <si>
    <t>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t>
  </si>
  <si>
    <t>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t>
  </si>
  <si>
    <t>Gouveia, L. e Gouveia, J. e Amaral, L. e Carvalho, J. (2003). Workshop Cidades Digitais. Integrado na 4ª Conferência da Associação Portuguesa de Sistemas de Informação. UPT, Porto. 15 de Outubro. 
e-book [ pdf (108KB) ]</t>
  </si>
  <si>
    <t>Conferências Internacionais / International Conferences</t>
  </si>
  <si>
    <t>comunicações convidadas / invited talks, keynotes</t>
  </si>
  <si>
    <t>Gouveia, L. (2019). Emerging alternatives to leadership and governance in a digital ecosystem. Keynote talk. 14th November. ECMLG – 15th European Conference on Management Leadership and Governance. Polytechnic Institute of Porto, Portugal.  
[ handle ]</t>
  </si>
  <si>
    <t>Gouveia, L. (2015). Where is the Wisdom we lost in knowledge: security issues and human relationships in social media. Invited Keynote at ECSM 2015. 2nd European Conference on Social Media. Porto, Portugal. 9th July 2015.
[handle]</t>
  </si>
  <si>
    <t>Gouveia, L. (2015). Gestão da Informação em Museus. Uma contribuição para o seu estudo. As Artes e as Ciências em Diálogo. Congresso Internacional 2015. 23 e 24 de Fevereiro. Ordem dos Médicos. Green Lines Instituto. Porto. Portugal.[handle]</t>
  </si>
  <si>
    <t>Gouveia, L. (2015). Cidades Inteligentes: um novo espaço digital para a cidade. Palestra Cidades Inteligentes. Apresentação convidada, keynote. X Congresso Mundial de Administração. Auditório da Universidade Fernando Pessoa. 19 de Janeiro. 
[ handle ]</t>
  </si>
  <si>
    <t>Gouveia, L. (2013). Informing at the new UFP Hospital playing with information and the digital challenge. Plenary Session and Keynote presentation. InSITE 2013: Informing Science + IT Education Conferences. 3rd July. 
[ keynote ]</t>
  </si>
  <si>
    <t>comunicações / papers track</t>
  </si>
  <si>
    <t>Martins, E. e Gouveia, L. (2019). Uso da Ferramenta Kahoot Transformando a Aula do Ensino Médio em um Game de Conhecimento. VIII Congresso Brasileiro de Informática na Educação (CBIE 2019), Brasilia. XXV Workshop de Informática na Escola (WIE 2019). p. 207-216. DOI: http://dx.doi.org/10.5753/cbie.wie.2019.207. ISSN: 2316-6541.[ handle ]</t>
  </si>
  <si>
    <t>Martins, E. e Gouveia, L. (2019). Modelo Pedagógico ML-SAI: Uma Atividade Experimental no Ensino Médio. VIII Congresso Brasileiro de Informática na Educação (CBIE 2019), Brasilia. XXV Workshop de Informática na Escola (WIE 2019). p. 29-38. DOI: http://dx.doi.org/10.5753/cbie.wie.2019.29. ISSN: 2316-6541.[ handle ]</t>
  </si>
  <si>
    <t>Rocha, D. e Gouveia, L. (2019). Gestão do Conhecimento e Produção de Conteúdo para a Educação a Distância: Estado da Arte em um Período de 14 anos. International Conference on Convergence in Information Science, Technology and Education.2nd CONCITEC. 26-28 de Setembro. UFBA. Salvador da Bahia, BA. Brasil.
[ handle ]</t>
  </si>
  <si>
    <t>Rocha, D. e Gouveia, L. (2019). Curadoria Digital de Conteúdo EAD para o Ensino Superior: Proposta e Desafios. International Conference on Convergence in Information Science, Technology and Education.2nd CONCITEC. 26-28 de Setembro. UFBA. Salvador da Bahia, BA. Brasil.
[ handle ]</t>
  </si>
  <si>
    <t>Rocha, C. e Gouveia, L. (2019). Uso de Live Stream em Ensino Superior Stricto Sensu no Brasil/UFPR. Proposta Metodológica de Avaliação do sistema e os Resultados Preliminares. International Conference on Convergence in Information Science, Technology and Education. 2nd CONCITEC. 26-28 de Setembro. UFBA. Salvador da Bahia, BA. Brasil. 
[ handle ]</t>
  </si>
  <si>
    <t>Cavaignac, S.; Gouveia, L. e Reis, P. (2019). Uso do KAHOOT e de Estratégia de Gamificação no Ensino Superior: Relato de Experiência da Aplicação do Peer Instruction como Metodologia de Ensino. International Conference on Convergence in Information Science, Technology and Education.2nd CONCITEC. 26-28 de Setembro. UFBA. Salvador da Bahia, BA. Brasil. 
[ handle ]</t>
  </si>
  <si>
    <t>Lima, E. e Gouveia, L. (2019). Direito à Informação: uma análise sob a ótica do direito à informação do portal da transparência do Ceará. GT8 - Tecnologia e Sociedade. Congresso Internacional de Altos Estudos em Direito. CAED-JUS 2019. Rio de Janeiro. Brasil. 28 a 30 de Agosto.</t>
  </si>
  <si>
    <t>Rocha, D e Gouveia, L. (2019). Curadoria de Conteúdo para Educação a Distância: Modelo de Referencia de Qualidade para o Ensino Superior. III Consórcio Doutoral da Rede GIC. II Congresso de Gestão Estratégica da Informação. Empreendedorismo e Inovação. Universidade Federal do Rio Grande do Sul. 17 de Junho. Porto Alegre, Brasil. [ handle ]</t>
  </si>
  <si>
    <t>Rocha, C. e Gouveia, L. (2019). Stream Media: Caso de Estudo no Ensino Superior no Brasil. III Consórcio Doutoral da Rede GIC. II Congresso de Gestão Estratégica da Informação. Empreendedorismo e Inovação. Universidade Federal do Rio Grande do Sul. 17 de Junho. Porto Alegre, Brasil. 
[ handle ]</t>
  </si>
  <si>
    <t>Barros, V. e Gouveia, L. (2019). Contribuição para a medição de iniciativas de Inovação Social, o seu Impacto, Escala e Desenvolvimento Sustentável. 1º Congresso Internacional de Ação Humanitária e Cooperação para o Desenvolvimento. Universidade Fernando Pessoa e CEPESE, 17-19 de Junho. Porto, Portugal. [ handle ]</t>
  </si>
  <si>
    <t>Braga, L.; Oliveira, F.; Madruga, E. e Gouveia, L. (2019). Inteligência artificial como solução para classificação fiscal: um estudo de caso sobre os impactos das tecnologias digitais sobre os cinco domínios fundamentais da estratégia a inserir. Atas do 8º Congresso Ibero-Americano em Investigação Qualitativa (CIAIQ2019). 16-19 de Julho. (eds) Costa, P.; Pinho, I.; Faria, B. e Reis, L. (2919). Vol 3. PP 654-665. ISBN: 978-989-54476-5-7
[ paper ]</t>
  </si>
  <si>
    <t>Araujo, P.; Gouveia, L. e Toldy, T. (2019). Modelo Z: uma proposta para a construção colaborativa de uma plataforma digital. Sessão 12 - ISM - Information Systems Management/ Gestão de Sistemas de Informação. 16ª International Conference on Information systems and Technology Management (CONTECSI). 29 a 31 de Maio. USP, Universidade de São Paulo, Brasil. ISSN 2448-1041.[ handle ]</t>
  </si>
  <si>
    <t>Carvalho, M. e Gouveia, L. (2019). A Gestão do Conhecimento em face dos Fluxos Informacionais em contexto de fluidez – Uma investigação em uma organização civil sem fins lucrativos. Sessão 12 - ISM - Information Systems Management/ Gestão de Sistemas de Informação. 16ª International Conference on Information systems and Technology Management (CONTECSI). 29 a 31 de Maio. USP, Universidade de São Paulo, Brasil. ISSN 2448-1041.[ handle ]</t>
  </si>
  <si>
    <t>Almasri, A. and Gouveia, L. (2019). Analyzing and Evaluating the Amount of Power Consumption Used by Current Power-Saving-Applications on Android Smartphones. The 7th World Conference on Information Systems
and Technologies (WorldCIST’19), 16th - 19th April. La Toja, Galicia, Spain.[ poster | presentation ]</t>
  </si>
  <si>
    <t>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 handle ]</t>
  </si>
  <si>
    <t>Sargo, S.; Gouveia, L. e Reis, P. (2019). A Sala de Aula Invertida num Cenário Potencial de Integração com a Wikipédia. International Wiki Scientific Conference (IWSC). 12-15 March. Presentation, 12th March. Faculty of Arts and Humanities of the University of Porto. 
[ handle ]</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</si>
  <si>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</si>
  <si>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t>
  </si>
  <si>
    <t>Domingues, F. e Gouveia, L. (2018). Treinar o sono. É possível? VI Congresso Ibérico Educação Especial. Educação e Inclusão na Lusofonia. 16 de novembro. Misericórdia do Porto. Porto.
[ handle ]</t>
  </si>
  <si>
    <t>Araújo, P. e Gouveia, L. (2018). Educação Especial na Cidade de Betim – Minas Gerais. Poster. VI Congresso Ibérico Educação Especial. Educação e Inclusão na Lusofonia. 16 de novembro. Misericórdia do Porto. Porto.
[ handle ]</t>
  </si>
  <si>
    <t>Costa, O. e Gouveia, L. (2018). Dropout in distance learning: A reference model for an integrated alert system. 9th Euro American Conference on Telematics and Information Systems (EATIS 2018). 12-15th November. Poster. Fortaleza. Brasil. 
[ paper ]</t>
  </si>
  <si>
    <t>Martins, E.; Geraldes, W.; Afonseca, U. e Gouveia, L. (2018). O Uso do WhatsApp na Aprendizagem: Uma Experiência no Ensino Superior. 18ª Conferência da Associação Portuguesa de Sistemas de Informação (CAPSI 2018). 12-13 de Outubro. Santarém. Instituto Politécnico de Santarém.[ handle ]</t>
  </si>
  <si>
    <t>Martins, E.; Geraldes, W.; Afonseca, U. e Gouveia, L. (2018). Uso do kahoot como ferramenta de aprendizagem. 18ª Conferência da Associação Portuguesa de Sistemas de Informação (CAPSI 2018). 12-13 de Outubro. Santarém. Instituto Politécnico de Santarém.
[ handle ]</t>
  </si>
  <si>
    <t>Martins, E.; Trindade, G.; Geraldes, W.; Afonseca, U. e Gouveia, L. (2018). Desenvolvimento de Aplicativo Móvel para Carona Acadêmica. 18ª Conferência da Associação Portuguesa de Sistemas de Informação (CAPSI 2018). 12-13 de Outubro. Santarém. Instituto Politécnico de Santarém.
[ handle ]</t>
  </si>
  <si>
    <t>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t>
  </si>
  <si>
    <t>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t>
  </si>
  <si>
    <t>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t>
  </si>
  <si>
    <t>Gouveia, L. (2018). Geography and its digital dimensions: a cities related discussion to join European inheritage. Congresso Internacional da Primeira Guerra Mundial. Centenário da Batalha de La Lys. Universidade Fernando Pessoa. Porto, Portugal. 9 a 11 de abril. 
[ handle ]</t>
  </si>
  <si>
    <t>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t>
  </si>
  <si>
    <t>Khan, S. and Gouveia, L. (2017). An Empirical Factors that Influences the Adoption and Selection of Internet Service. Fourth Information Technology Trends (ITT 2017). 25-26 October. Higher Colleges of Technology - Al Ain Women’s College (AAWC). United Arabe Emirates (UAE).  
[ handle ]</t>
  </si>
  <si>
    <t>Araújo, P. e Gouveia, L. (2017). Plataforma Digital: Gestão da Informação e do Conhecimento. Esfera Digital Educacional. Apresentação oral do Poster. Colóquio Internacional EUTIC 2017. 20 de Outubro. Recife. Brasil.
[ handle ]</t>
  </si>
  <si>
    <t>Araújo, P. e Gouveia, L. (2017). Cultura Digital: uma discussão para uso e transformação no acesso e exploração da informação. Poster. Colóquio Internacional EUTIC 2017. Recife. Brasil.
[ handle ]</t>
  </si>
  <si>
    <t>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t>
  </si>
  <si>
    <t>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t>
  </si>
  <si>
    <t>Daradkeh, Y. and Gouveia, L.  (2017). Keep using day-to-day tools in the classroom. Workshop Perspectives of modern education and use of innovative technologies in training. International Scientific and Methodological Workshop.  March, 14th. The Faculty of Basic Training of Kazakh university of Economics, Finance and International trade. 
[ handle ]</t>
  </si>
  <si>
    <t>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t>
  </si>
  <si>
    <t>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t>
  </si>
  <si>
    <t>Daradkeh, Y; Pascal, O. Gouveia, L. (2015). Information Overload: a preliminary discussion. III International Scientific and Practical Conference Information Technologies. Problems and Solutions. 20-22 May. Ufa. Republic of Bashkortostan. Russia.</t>
  </si>
  <si>
    <t>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t>
  </si>
  <si>
    <t>Leal, J. e Gouveia, L. (2015). MOOC: Towards a Discourse on Higher Education Change. SEMiME. International Conference on Digital Exclusion in the Information and Knowledge Society. January 30-31. Lisbon, Portugal.ISBN: 9789727352043, pp 60-61.</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</si>
  <si>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t>
  </si>
  <si>
    <t>Gouveia, L. (2014). Uma reflexão sobre o digital e o impacte no trabalho. XVI Congresso Internacional de Formação para o Trabalho Norte de Portugal - Galiza. Porto. 16 de Outubro.
[ handle ]</t>
  </si>
  <si>
    <t>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t>
  </si>
  <si>
    <t>Sousa, A.; Agante, P.; Gouveia, L. (2014). Communication Model for Generalist News Media Websites. International Conference on Future Information Engineering (FIE 2014), July 7-8, 2014, Beijing, China).  
[ paper ]</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</si>
  <si>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[handle]</t>
  </si>
  <si>
    <t>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t>
  </si>
  <si>
    <t>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t>
  </si>
  <si>
    <t>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t>
  </si>
  <si>
    <t>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t>
  </si>
  <si>
    <t>Sousa, A.; Agante, P.; Gouveia, L. (2014). Communication Model for Sports Media Web Portals. 2014 AASRI Conference on  Sports Engineering and Computer Science (SECS 2014). June 21-22, 2014, London, England. 
[ paper ]</t>
  </si>
  <si>
    <t>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</si>
  <si>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t>
  </si>
  <si>
    <t>Silva, P and Gouveia, L. (2013). The Impact of Digital in Learning Spaces: An Analysis on the Perspective of Teachers in Higher Education. Proceedings of Informing Science &amp; IT Education Conference (InSiITE). 2013, pp 521-529. ISBN 9781932886719. 
[ paper | presentation ]</t>
  </si>
  <si>
    <t>Robalo, A. e Gouveia, L. (2013). As Tecnologias na Educação: um novo olhar pedagógico no ambiente virtual Edmodo. Encuentro por la unidad de los educadores. Pedagogia 2013. Palacio de Convenciones de La Habana, del 4 al 8 de Febrero. Cuba. Actas em CD-ROM. ISBN 978-959-18-0870-3.
[ paper ]</t>
  </si>
  <si>
    <t>Gouveia, L. (2012). The Information Warfare - how it can affect us. International Conference Rethinking Warfare. 9-10th November. Universidade Fernando Pessoa.
[ slideshare ]</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</si>
  <si>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t>
  </si>
  <si>
    <t>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t>
  </si>
  <si>
    <t>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t>
  </si>
  <si>
    <t>Peres, P.; Gouveia, L. and Pimenta, P. (2011). Blended-learning Strategies in Higher Education. The 3rd annual International Conference on Education and New Learning Technologies. EDULERN11. 4-6 July. Barcelon. Spain. Edulearn11 Proceedings, pp 1857-1866. ISBN 978-84-615-0441-1.</t>
  </si>
  <si>
    <t>Abrantes, S. e Gouveia, L. (2011). Assessing Messaging Activity In An Online Discussion Forum Using an Innovation Adoption Approach. Proceedings of ICTEL 2011 - International Conference on Technology-enhanced Learning. 25-27 Julho. Sofia, Bulgária, pp614-623. ISBN 978-3-89958-541-4.</t>
  </si>
  <si>
    <t>Silva, P. e Gouveia, L. (2011). On Learning Spaces in Higher Education: Space as an Agent of Change. Proceedings of Informing Science &amp; IT Education Conference (InSite) 2011. 18-23 Junho. Novi Sad, Serbia, pp537-543. ISSN 1535-07-03.</t>
  </si>
  <si>
    <t>Abrantes, S. e Gouveia, L. (2011). Comparing Google Groups use by evaluating flow experience and generated messages in laptop and desktop higher education students. Proceedings of Informing Science &amp; IT Education Conference (InSite) 2011. 18-23 Junho. Novi Sad, Serbia, pp1-20. ISSN 1535-07-03.</t>
  </si>
  <si>
    <t>Fidalgo, F. e Gouveia, L. (2011). O impacto da rotatividade na Gestão do Conhecimento Organizacional. A rotatividade nas actividades imobiliárias em Portugal. Actas da CISTI  2011 - 6ª Conferência Ibérica de Sistemas e Tecnologias de Informação. Vol 1, pp 459-464. ISSN: 978-989-96247-4-0.</t>
  </si>
  <si>
    <t>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t>
  </si>
  <si>
    <t>Sousa, A. e Gouveia, L. (2011). Governómetro: uma Aplicação Web para Monitorizar a Actividade Governativa. CISTI 2011. 15-18 Junho. Chaves, Portugal. Actas da CISTI  2011 - 6ª Conferência Ibérica de Sistemas e Tecnologias de Informação. Vol 2, pp 129-132. ISSN: 978-989-96247-5-7.</t>
  </si>
  <si>
    <t>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t>
  </si>
  <si>
    <t>Peres, P. e Gouveia, L. (2011). The e-learning in the Portuguese Higher Education: past, present and future. INTE 2011. International Conference on New Horizons in Education. Instituto Politécnico da Guarda, Portugal, 8-10 July. In Isman, A and Sousa, C. (2011). INTE 2011 Proceedings Book. pp 703-712.</t>
  </si>
  <si>
    <t>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</si>
  <si>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Dias, A.; Santos, C.; Costa, C.; Gouveia, L.; Peres, P.; Simões, P. e Torrão, S. (2010). Workshop sobre LMS vs PLE: fusão ou choque? TICEduca 2010. Lisboa, 20 de Novembro.
paper [ slideshare ]</t>
  </si>
  <si>
    <t>Abrantes, S. e Gouveia, L. (2010). A comparison study on early adoption of mobile devices and desktops within collaborative environments in higher education. 15th IBIMA Conference in Cairo, Egypt 6-7 November 2010. Conference proceedings full paper. ISBN: 978-0-9821489-4-5.</t>
  </si>
  <si>
    <t>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t>
  </si>
  <si>
    <t>Sousa, A.; Agante, P. and Gouveia, L. (2010). Governmeter: monitoring government performance. A Web Based Application Proposal. Andersen, K. et al. (Eds.): EGOVIS 2010. Lecture Notes on Computer Science. Springer-Verlag Berlin Heidelberg. LNCS 6267, pp. 158–165.</t>
  </si>
  <si>
    <t>Sousa, A.; Agante, P. and Gouveia, L. (2010). Liberopinion: a Web Platform for Enhancing e-Democracy. Cunningham, P. and Cunningham, M. (eds) (2010). eChallenges e-2010 Conference Proceedings. IIMC International Information Management Corporation. ISBN: 978-1-905824-20 
presentation [ slideshare ]</t>
  </si>
  <si>
    <t>Abrantes, S. e Gouveia, L. (2010). Laptops vs Desktops in a Google Groups environment. 13th Interactive Computer Aided Learning (ICL) 2010. 15-17 September. Hasselt, Belgium. ICL2010 Proceedings on CD ISBN: 978-3-89958 
paper [  pdf (KB)] | apresentação [ slideshare ]</t>
  </si>
  <si>
    <t>Abrantes, S. e Gouveia, L. (2010). A study on the usage of mobile devices in collaborative environments vs desktops. International Conference on e-Business (ICE-B) 2010. 26-28 July. Athens, Greece. (poster) 
paper [ ieeeXplore ] | poster [ slideshare ]</t>
  </si>
  <si>
    <t>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t>
  </si>
  <si>
    <t>Abrantes, S. e Gouveia, L. (2010). Using Google Groups in an m-learning environment. International Conference on Education and New Learning Technologies EDULEARN10. 5-7 July. Barcelona, Spain. EDULEARN10 Proceedings on CD. 
ISBN: 978-84-613-9386-2 
paper [ pdf (KB)] | apresentação [ slideshare ]</t>
  </si>
  <si>
    <t>Abrantes, S. e Gouveia, L. (2010). Learning Environments. InSite 2010. 19-24 Junho. Cassino, Italy. Proceedings of Informing Science &amp; IT Education Conference (InSITE) 2010, pp 449-466. ISSN: 1535-07-03. 
paper [  pdf ] | apresentação [ slideshare ]</t>
  </si>
  <si>
    <t>Sousa, A.; Agante, P. and Gouveia, L. (2010). Liberopinion as an enabling platform for elections 2.0: a case study. EPMA – European Projects &amp; Management. Praha. Czech Republic, 21-23 April. 
Presentation [ slideshare ]</t>
  </si>
  <si>
    <t>Silva, P. e Gouveia, L. (2010). A geração digital no novo mundo empresarial. XI Conferência Internacional de Educação em Engenharia e Tecnologia INTERTECH’ 2010. Ilhéus. Baia. Brasil, 7-10 de Março. ISBN: 978858912075-3.
apresentação [ slideshare ]</t>
  </si>
  <si>
    <t>Gouveia, L. (2009). O Conceito de Rede no Digital face aos Media Sociais. XI Forum «Communiquer et Entreprendre». 26/27 Novembre. RCMFM et Université Fernando Pessoa. Porto, Portugal.
paper [ pdf (496KB)] | apresentação [ slideshare ]</t>
  </si>
  <si>
    <t>Gouveia, L. e Gouveia, F. (2009). Sakai as a Collaborative Open-source learning platform for use at University Fernando Pessoa. IBIMA Conference. 13th IBIMA Conference on Knowledge Management and Innovation in Advancing Economies. 9-10 November 2009. Marrakech, Morocco.paper [ pdf (48KB)]</t>
  </si>
  <si>
    <t>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Portugal.presentation [ slideshare ]</t>
  </si>
  <si>
    <t>Simões, L. e Gouveia, L . (2009) Schools and Social Software Appropriation. VI Conferência Internacional de TIC na Educação - Challenges 2009. Universidade do Minho. 14 e 15 de Maio, Braga. 
presentation [ pdf (88KB) ]</t>
  </si>
  <si>
    <t>Gaio, S.; Gouveia, L. and Gouveia, J. (2008). Netorwork Based Branding: a collaborative model for the development of place brands. International Conference Marketing Cities: Place Branding in Perspective. 4-6th December. Berlin, City Hall.presentation [ pdf (209KB) ]</t>
  </si>
  <si>
    <t>Silva, P. e Gouveia, L. (2008). Learning space. World Conference on Educational Multimedia, Hypermedia &amp; Telecommunications. ED-MEDIA 08. Vienna University of Technology. Vienna, Austria. June 30 - July 4.paper [ pdf 108KB) ] | presentation [ pdf (536KB) ]</t>
  </si>
  <si>
    <t>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http://www.guni-rmies.net.paper [ pdf (82KB) ] | presentation [ pdf (1001KB) ]</t>
  </si>
  <si>
    <t>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t>
  </si>
  <si>
    <t>Gouveia, J.  e Gouveia, L. (2007). Uma perspectiva orientada ao território para o local e-government. 12ª CLAD. Painel As autarquias na era da informação: o governo electrónico local. Santo Domingo. Républica Dominicana. 26-30 de Outubro.
artigo [ pdf (138KB] ] | apresentação [ pdf (165KB] ]</t>
  </si>
  <si>
    <t>Abrantes, S. and Gouveia, L. (2007). An approach to teaching with computer games by applying the flow experience. Learning by Games conference. LG 2007. 25th September. France.presentation [ pdf (240KB] ]</t>
  </si>
  <si>
    <t>Constantino, J. e Gouveia, L. (2007). Towards an e-participation engine: where people tak place. Digital Cities Summit 07. 24-25th September, ISCP - Instituti Superior de Ciências Sociais e Políticas, UTL. Lisbon.presentation [ pdf (184KB] ]</t>
  </si>
  <si>
    <t>Gouveia, L. (2007). A digital approach to our time-space living. Digital Cities Summit 07. 24-25th September, ISCP - Instituto Superior de Ciências Sociais e Políticas, UTL. Lisbon.presentation [ pdf (461KB] ]</t>
  </si>
  <si>
    <t>Gouveia, L. and Reis, P. (2007). Language learning using the Sakai collaborative learning environment: current experience. Conference: ICT for Language Learning. Florence, Italy. 20-21 September. 
paper [ pdf (35KB) ]</t>
  </si>
  <si>
    <t>Trigo, M.; Gouveia, L.; Quoniam, L. e Riccio, E. (2007). Using Competitive Intelligence as a Strategic Tool in a Higher Education Context. Proceedings of The 8th European Conference on Knowledge Management. CEIB, Barcelona, Spain.  6-7 September. Vol II, pp 1017-1023.paper [ pdf ( 110KB] ]</t>
  </si>
  <si>
    <t>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t>
  </si>
  <si>
    <t>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t>
  </si>
  <si>
    <t>Gouveia, L. e Gouveia, F. (2006). Using Sakai as a collaborative learning environment to support higher education activity. Leading Innovation in Global Education &amp; Training 13th Annual EDiNEB Conference June 14-16, 2006, Lisbon, Portugal.
apresentação [ pdf (338KB) ]</t>
  </si>
  <si>
    <t>Gaio, S.; Gouveia, J. e Gouveia, L. (2006). O Branding e a Dimensão digital da cidade: Dinâmicas e Contributos para a competitividade. Conferência Ibérica de Marketing das Cidades. IPAM / IDIM. 29 de Março. Edifício da Alfândega. Porto.
apresentação [ pdf (155KB)] | artigo [ pdf (156KB)]</t>
  </si>
  <si>
    <t>Gaio, S.; Gouveia, J. e Gouveia, L. (2006). Do Território Esperado ao Território Experimentado: A Identidade Como Factor Nuclear no Processo de Branding. 2º Congreso de Marketing de Ciudades - Citymarketing Elche´06. 24-26 Maio. Elche. Espanha.
apresentação [ pdf (224KB)]</t>
  </si>
  <si>
    <t>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t>
  </si>
  <si>
    <t>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t>
  </si>
  <si>
    <t>Gouveia, L. e Gomes, F. (2004). O e-learning como etapa da universidade para o virtual. Conferência eLES '04, eLearning no Ensino Superior. Universidade de Aveiro, 27 a 30 de Outubro, Aveiro.
paper [ pdf (13KB) ] | apresentação [ pdf (109KB) ]</t>
  </si>
  <si>
    <t>Gouveia, L. (2004). O digital e as novas formas de, e para, aprender. Conferência eLES '04, eLearning no Ensino Superior. Universidade de Aveiro, 27 a 30 de Outubro, Aveiro.
paper [ pdf (13KB) ] | apresentação [ pdf (181KB) ]</t>
  </si>
  <si>
    <t>Rurato, P.; Gouveia, L. e Gouveia, J. (2004). Características Essenciais do Ensino a Distância. Conferência eLES '04, eLearning no Ensino Superior. Universidade de Aveiro, 27 a 30 de Outubro, Aveiro.
paper [ pdf (37KB) ] | apresentação [ pdf (565KB) ]</t>
  </si>
  <si>
    <t>Marques, M. e Gouveia, L. (2004). Bibliotecas digitais: a importância do serviço de referência. IADIS WWW/Internet 2004, Actas da Conferência Ibero Americana, Madrid, Espanha, 7-8 de Outubro, pp 425-428.
artigo [ pdf (19KB)] | apresentação [ pdf (26KB) ]</t>
  </si>
  <si>
    <t>Xavier, J. e Gouveia, L. (2004). O relacionamento com o cidadão: a importância do território. IADIS WWW/Internet 2004, Actas da Conferência Ibero Americana, Madrid, Espanha, 7-8 de Outubro, pp 445-448.
artigo [ pdf (27KB)] | apresentação [ pdf (28KB) ]</t>
  </si>
  <si>
    <t>Gouveia, L.; Xavier, J. and Gouveia, J. (2004). People and Digital Cities: Promote innovation and information use. 15th Biennial Conference ITS 2004. International Telecommunications Society. Berlin Germany. September 4-7.</t>
  </si>
  <si>
    <t>Gouveia, L. (2004). Information Overload: the case for e-learning within Gaia Digital. 3rd Global Conference. The Idea of Education. CERGE-EI. Prague, Czech Republic. August 9-11.</t>
  </si>
  <si>
    <t>Gouveia, L. (2004). Using visuals to convey information. 6th International Conference on Enterprise Information Systems. Universidade Portucalense, Porto - Portugal 14-17, April 2004</t>
  </si>
  <si>
    <t>Azevedo, M. e Gouveia, L. (2003). Repensar a missão da biblioteca pública na Gestão das TIC. Full paper at Conferência Ibero-Americana WWW/Internet 2003. Algarve, Portugal. 8 e 9 Novembro.</t>
  </si>
  <si>
    <t>Xavier, J. e Gouveia, L. e Gouveia, J. (2003). A Gestão do Relacionamento com o Cidadão em Cidades e Regiões Digitais. Full paper at Conferência Ibero-Americana WWW/Internet 2003. Algarve, Portugal. 8 e 9 Novembro.</t>
  </si>
  <si>
    <t>Gomes, F. and Gouveia, L. (2003). A Web Application To Support Higher Education Teaching Administrative Work. Short paper at IADIS International Conference WWW/Internet 2003. Algarve, Portugal. 5-8 November.</t>
  </si>
  <si>
    <t>Gouveia, L. (2003). Connecting The Real And The Virtual World: How To Measure Digital Cities Impact. Short paper at IADIS International Conference WWW/Internet 2003. Algarve, Portugal. 5-8 November.</t>
  </si>
  <si>
    <t>Gouveia, L. and Gouveia, J. (2003). Local e-government: how useful is a digital cities rationale. Paper at eChallenges e-2003 IST International Conference. 22-24 October 2003. Palazzo Re Enzo. Bologna, Italy.</t>
  </si>
  <si>
    <t>Sacau, A.; Gouveia, L.; Ribeiro, N.; Gouveia, F. and Biocca, F. (2003). Presence in Computer-Mediated Environments: a Short Review of the main concepts, theories, and trends. IADIS International Conference e-Society 2003. Lisbon, Portugal. 3-6 June 2003.</t>
  </si>
  <si>
    <t>Gouveia, F. and Gouveia, L. (2003). Assuming a roadmap strategy for e-business. 5th International Conference on Enterprise Information Systems. École Supérieure d' Électronique de l' Ouest. Angers, France. 23-26, April 2003.</t>
  </si>
  <si>
    <t>Gouveia, L. and Gouveia, J. (2003). Taking advantage of digital benefits for digital outcomes. International Conference Teaching and Learning in Higher Education: New Trends and Innovations. ICHEd. 13-17 April. University of Aveiro, Portugal.paper [ pdf (32KB)]</t>
  </si>
  <si>
    <t>Gouveia, L. and Gouveia, J. (2003). E-learning: an opportunity to support the individual, the group and the community. International Conference Teaching and Learning in Higher Education: New Trends and Innovations. ICHEd. 13-17 April. University of Aveiro, Portugal.</t>
  </si>
  <si>
    <t>Rurato, P.; Gouveia, L. and Gouveia, J. (2002). A Study on Adult Education and Distance Learning. International Conference on Information and Communication Technologies in Education. Badajoz, Spain, 13-16 November. Poster.paper [ pdf (22KB)]</t>
  </si>
  <si>
    <t>Gouveia, L. (2002). A Proposal to Support Collaborative Learning: using a structure to share context. International Conference on Information and Communication Technologies in Education. Badajoz, Spain, 13-16 November. Full paper.paper [ pdf (34KB)] | presentation [ pdf (14KB)]</t>
  </si>
  <si>
    <t>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t>
  </si>
  <si>
    <t>Gouveia, L. e Gouveia, J. (2002). Using a content management approach to support Web-based learning. 3ª Conferência da Associação Portuguesa de Sistemas de Informação. 20-22 November, Universidade de Coimbra. Coimbra, Portugal. Actas em CD-ROM ISBN 972-97548-7-X.paper [ pdf (33KB)] | presentation [ pdf (180KB)]</t>
  </si>
  <si>
    <t>Gouveia, L. and Gouveia, J. (2002). Digital cities: the Gaia Digital approach. IADIS International Conference WWW/Internet 2002. Lisbon, Portugal, 13-15 November.paper [ pdf (82KB)]</t>
  </si>
  <si>
    <t>Gouveia, L. and Gouveia, J. (2002). A Proposal for using Visualisation to Support Collaborative Learning. E-Learn 2002 World Conference on e-learning in Corporate, Government, and Healthcare &amp; Higher Education. Montreal, Canada, October 15-19. ISBN 1-880094-46-0, pp 1210-1213.paper [ pdf (21KB)] | presentation [ pdf (14KB)]</t>
  </si>
  <si>
    <t>Gouveia, L. and Gouveia, F. (2002). Evaluative Etnography and Systems Design: can it also be used to assess presence? Proceedings of the Fifth Annual International Workshop. PRESENCE 2002. Universidade Fernando Pessoa, Porto, Portugal, October 9-11, pp 213-222. ISBN 972-8184-88-3.paper [ pdf (29KB)] | presentation [ pdf (27KB)]</t>
  </si>
  <si>
    <t>Gouveia, L. (2002). Emergent skills in higher education: from know-how to know-where, know-who, know-what, know-when and know-why. Virtual Learning &amp; Higher Education. 1st International Conference. Mainsfield College. Oxford, England, 10-11 September.paper [ pdf (25KB)] | presentation [ pdf (29KB)]</t>
  </si>
  <si>
    <t>Gouveia, L. and Gouveia, J. (2002). Towards a social approah to Digital Cities. New Work 2002. International conference on Sustainibility in the New Economy. Badajoz, Spain, 3-5.paper [ pdf (33KB)]</t>
  </si>
  <si>
    <t>Gouveia, L. (2002). Assessing a case of Web use for face to face teaching support. TIEC 2002, II European Conference on Information Technologies for Education. Barcelona, Spain, 26-28 June. Actas em CD-ROM.paper [ pdf (32KB)] presentation [ pdf (46KB)]</t>
  </si>
  <si>
    <t>Gouveia, L. and Gouveia, J. (2002). Proposing a semantic approach to Content Management for Education, Learning and Training. Proceedings of EUNIS 2002, The 8th International Conference of European University Information Systems. Porto, Portugal, 19-22 June 2002. pp 378-381. ISBN 972-752-051-0paper [ pdf (32KB)] presentation [ pdf (96KB)]</t>
  </si>
  <si>
    <t>Rurato, P. e Gouveia, L. (2002). Estudo dos factores de sucesso em ambientes de ensino à distância. Virtual Educa 2002, Conferência Internacional sobre Educação, Formação e Novas Tecnologias. Valência, Espanha, 12-14 de Junho.
paper [ pdf (40KB)]</t>
  </si>
  <si>
    <t>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1-930708-39-4.paper [ pdf (64KB)] presentation [ pdf (108KB)]</t>
  </si>
  <si>
    <t>Gouveia, L. (2001). Supporting knowledge sharing within an organisation. 2ª Conferência da Associação Portuguesa de Sistemas de Informação. Universidade de Évora, Évora, 21-23 Novembro.paper [ pdf (99KB)] | presentation [ pdf (332KB)]</t>
  </si>
  <si>
    <t>Gouveia, L. (2001). Limites ao uso da World Wide Web como complemento ao ensino presencial. 3º Simpósio Internacional de Informática Educativa. Viseu, Portugal, 26-28 de Setembro.Actas em CD-ROM, 3º SIIE, ISBN: 972-98523-4-0.
paper [ pdf (58KB)]  | apresentação [ pdf (49KB)]</t>
  </si>
  <si>
    <t>Gouveia, J. and Gouveia, L. (2001). EFTWeb: an environment to support context sharing for education settings. e-business &amp; e-work 2001 conference. Venice, Italy, 17-19 October. 
(accepted but not presented)
paper [ pdf (30KB)]</t>
  </si>
  <si>
    <t>Gouveia, L. and Gouveia, F. (2001). Evaluation of a visualisation design for knowledge sharing and information discovery. ICEIS 2001, 3th International Conference on Enterprise Information Systems. Setúbal, Portugal, July 7-10.paper [ pdf (139KB)] presentation [ pdf (276KB)]</t>
  </si>
  <si>
    <t>Gouveia, L. and Gouveia, J. (2001). Proposing a knowledge policy based on the EFTWeb model. The 6th Asia-Pacific Regional Conference of International Telecommunications Society. Hong Kong, 5-7 July.paper [ pdf (36KB)]</t>
  </si>
  <si>
    <t>Gouveia, L. and Gouveia, F. (2001). A visualisation proposal to assist knowledge sharing. International Conference on New Technologies in Science Education. Aveiro University, July 4-6.paper [ pdf (99KB)] presentation [ pdf (408KB)]</t>
  </si>
  <si>
    <t>Gouveia, J.; Gouveia, L. and Restivo, F. (2001). EFTWeb: towards a content management system. EUROMA European Operations Management Association, 8th International Annual Conference. Bath, UK, June 3-5, pp807-815. ISBN 1 85790 088X.paper [ pdf (30KB)]</t>
  </si>
  <si>
    <t>Gouveia, J.; Gouveia, L. and Restivo, F. (2001). Using the Web to support an education, learning and training service centre. EIASM - 1st International Workshop on Management and Innovation of Services. Maastricht, The Netherlands 5-6 April.paper [ pdf (38KB)]</t>
  </si>
  <si>
    <t>Gouveia, L. (2000). Visualisation and Direct Manipulation: issues for human systems development. In Amaral, L. and Carvalho, J. (eds.) proceedings of 1ª CAPSI, SI2000. APSI e Universidade do Minho. 25 - 27 October. Guimarães. ISBN 972-95246-1-0 (CD-ROM).paper [ pdf  (162KB)] presentation [ pdf (35KB)]</t>
  </si>
  <si>
    <t>Gouveia, L.; Gouveia, J. and Restivo, F. (2000). EFTWeb: Towards a service centre for Education, Learning and Training. Towards the E-learning Community: Challenges for Business and Education International Conference. Bolton Institute. 19 - 20 October. Bolton, UK.paper [ pdf (32KB)] presentation [ pdf (225KB)]</t>
  </si>
  <si>
    <t>Gouveia, L.; Gouveia, J. and Restivo, F. (2000). EFTWeb: an application to support skills trading within education, learning and training environments. First World Conference on Production and Operations Management POM Sevilla 2000. 26 - 30 August. Sevilla, Spain.paper [ pdf (38KB)] presentation [ pdf (535KB)]</t>
  </si>
  <si>
    <t>Gouveia, J.; Gouveia, L. and Restivo, F. (2000). Proposing a knowledge network to assist education, training and learning. ITS'2000 XIII Biennial Conference. 2-5 July. Buenos Aires, Argentina.paper [ pdf (425KB)] presentation [ pdf (448KB)]</t>
  </si>
  <si>
    <t>Gouveia, J.; Gouveia, L. and Restivo, F. (2000). EFTWeb: a learning environment that supports presence and distance education. Poster accepted. Proceedings of the European Conference on Web-Based Learning Environments - WBLE'2000. FEUP pp 159-160. ISBN 972-752-035-9. June 5-6. Porto, Portugalpaper [ pdf (12KB)] poster [ gif (408KB)]</t>
  </si>
  <si>
    <t>Gouveia, L. and Gouveia, F. (2000). Informing a information discovery tool for using gesture. Conference on Gestures: Meaning and Use. 1-5 April, UFP, Porto, Portugal.paper [ pdf (12KB)] presentation [ pdf (370KB)]</t>
  </si>
  <si>
    <t>Gouveia, L.; Gouveia, F. and Lamas, D. (1999). Innovation in Business Processes. Conferência Especializada Sistemas e Tecnologias de Informação. Universidade Católica Portuguesa. CEPI'99, 4 e 5 de Outubro.  Lisboa. Portugal.paper [ pdf (36KB) ] presentation [ pdf (21KB], in Portuguese]</t>
  </si>
  <si>
    <t>Gouveia, L.; Gouveia, J. and Restivo, F. (1999). EFTWeb: a working model proposal to support Education, Learning and Training. Conferência Especializada Sistemas e Tecnologias de Informação. Universidade Católica Portuguesa. CEPI´99, 4 e 5 de Outubro.  Lisboa. Portugal.paper [ pdf (26KB) ] presentation [ pdf (221KB], in Portuguese]</t>
  </si>
  <si>
    <t>Gouveia, L. (1999). Shared Visualisation and Virtual Environments for Co-operative Learning. Doctoral Colloquium. ECSCW'99. 12-16 September Scandic Copenhagen Hotel. Copenhagen, Denmark. Conference supplement proceedings, pp 70-72.paper [ pdf (11KB)] presentation [ pdf (141KB)]</t>
  </si>
  <si>
    <t>Gouveia, L. (1999). Is there any space for presence teaching in a digital world? A proposed framework for Web usage. In proceedings of Challenges'99 International Conference ICT in Education. 12-14 May. Universidade do Minho. Portugal. pp 91-98. ISBN 972-98456-0-3.paper: [ pdf (23KB) ] presentation: [ pdf (39KB) ]</t>
  </si>
  <si>
    <t>Gouveia, L. (1998). A technological related discussion on the potential of change in education, learning and training. Euroconference - New Technologies for Higher Education. Univ. de Aveiro. Aveiro. Portugal, 16 - 19 September.paper:  [ pdf (42KB) ] presentation: [ pdf ( 96KB) ] 
poster: [ pdf (80KB) ]</t>
  </si>
  <si>
    <t>Gouveia, L. (1998). Feasibility discussion of a Collaborative Virtual Environment, finding alternative ways for university members interaction. Twelfth biennial conference ITS´98 - beyond convergence, communiation into the next millennium. Stockholm, Sweden, June 21-24.paper: [ pdf (61KB) ] presentation: [ zipped postscript (143KB) ]</t>
  </si>
  <si>
    <t>Gouveia, L. (1998). Digital support for teachers teaching. Current experience on using Internet facilities in virtual university environments. ITET'98, International Conference. May 20-22. Macau, Portugal. (full paper accepted, but not presented)abstract: [ HTML ]</t>
  </si>
  <si>
    <t>Gouveia, L. (1998). The NetLab experience, moving the action to electronic learning environments. Proceedings of BITE'98, International Conference, pp 395-405. Maastricht, The Netherlands, March 25-27.text: [ pdf (52KB)] presentation: [ HTML ]</t>
  </si>
  <si>
    <t>Gouveia, L. (1996). Sociedade Digital: que oportunidades? Congresso Internacional Pós-Colonialismo e Identidade, UFP. Porto.
texto: [ pdf (22KB)] transparências: [ pdf (154KB)]</t>
  </si>
  <si>
    <t>ConferênciasNacionais / National Conferences</t>
  </si>
  <si>
    <t>Gouveia, L. e Malheiro, A. (2019). A infocomunicação ou a convergência das Ciências da Informação e da Comunicação para um objeto comum. Conferência de Encerramento. VI Workshop de Pós-Graduação em Ciência da Informação. Sala de Actos do ISCAP –Instituto Politécnico do Porto, 25 de Outubro de 2019.
[ handle ]</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</si>
  <si>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handle ]</t>
  </si>
  <si>
    <t>Gouveia, L. (2015).  Informação digital e segurança. Gerir informação num contexto digital, uma reflexão sobre as questões de segurança e defesa. Ciclo de Conferências sobre Segurança e Cidadania. Academia da Guarda - Guarda Nacional Republicana. Lisboa, 11 de Março.[ handle]</t>
  </si>
  <si>
    <t>Gouveia, L. (2015). O digital, a mobilidade e a economia da privacidade. Conferência Privacidade, Inovação e Internet. APDSI - Associação para a Promoção e Desenvolvimento da Sociedade da Informação. 30 de Janeiro. Culturgest. Lisboa.
[handle]</t>
  </si>
  <si>
    <t>Gouveia, L. (2015).Cidades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[handle]</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</si>
  <si>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t>
  </si>
  <si>
    <t>Gouveia, L. (2014). Do local ao global: a tecnologia digital ao serviço do conhecimento. Do Artesanal ao Digital. O contributo das Universidades. Universidade Fernando Pessoa. Ponte de Lima, 5 de Abril.
[ apresentação ]</t>
  </si>
  <si>
    <t>Gouveia, L. (2014). A Informática e o mercado de trabalho: notas avulsas. Comemorações dos 15 anos da ANPRI – Associação Nacional de Professores de Informática. 8 de Março. Universidade Portucalense. 
[ apresentação ]</t>
  </si>
  <si>
    <t>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t>
  </si>
  <si>
    <t>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t>
  </si>
  <si>
    <t>comunicações / presentation track</t>
  </si>
  <si>
    <t>Pereira, R.; Carlotto, I.; Dinis, A. e Gouveia, L. (2019). App Kahoot como ferramenta de intervenção pedagógica para promoção da educação ambiental. Poster. Encontro com a Ciência e a Tecnologia em Portugal. 8-10 Julho. Centro de Congressos de Lisboa.</t>
  </si>
  <si>
    <t>Martins, E. e Gouveia, L. (2019). O Uso do Google Groups em Atividades Extraclasse. Poster. 16ª CONPEEX, Congresso de pesquisa, ensino e extensão. V. 16. p. 9. ISSN 2447-8695.
[ ebook ]</t>
  </si>
  <si>
    <t>Martins, E. e Gouveia, L. (2019).  Aprendizagem Móvel na Produção Científica Indexada ao Scopus nos Anos de 2016 e 2017. Artigo Completo. In: X Escola Regional de Informática de Mato Grosso, 2019, Cuiabá-MT, v. 10. p. 13-18. ISSN: 2447-5386. 
[ paper ]</t>
  </si>
  <si>
    <t>Martins, E. e Gouveia, L. (2019).  Desenvolvimento do Aplicativo ML-SAI para Android com Uso do App Inventor. Artigo Completo. In: X Escola Regional de Informática de Mato Grosso, 2019, Cuiabá-MT, v. 10. p. 49-54. ISSN: 2447-5386. 
[ paper ]</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</si>
  <si>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 
[ paper ]</t>
  </si>
  <si>
    <t>Martins, E. e Gouveia, L. (2019). Facebook como Ferramenta de Apoio ao Ensino. Artigo Curto. In: X Escola Regional de Informática de Mato Grosso, 2019, Cuiabá-MT, v. 10. p. 148-150. ISSN: 2447-5386. 
[ paper ]</t>
  </si>
  <si>
    <t>Martins, E. e Gouveia, L. (2019). Sala de Aula Invertida com Auxílio do WhatsApp. Artigo Curto. In: X Escola Regional de Informática de Mato Grosso, 2019, Cuiabá-MT, v. 10. p. 169-171. ISSN: 2447-5386. 
[ paper ]</t>
  </si>
  <si>
    <t>Martins, E. e Gouveia, L. (2019). Tecnologias Móveis em Alguns Cursos da Universidade Aberta do Brasil. Artigo Curto. In: X Escola Regional de Informática de Mato Grosso, 2019, Cuiabá-MT, v. 10. p. 175-177. ISSN: 2447-5386 
[ paper ]</t>
  </si>
  <si>
    <t>Junior, W.; Andrade, P.; Andrade, A. e Gouveia, L. (2019). Métricas de Desempenho em Campanhas na Rede Social Instagram e Reconhecimento da Marca: Estudo de Caso na SEAD UFMA. XIII Semana de Administração (SEAD) - UFMA. 30 de Outubro a 1 de Novembro. São Luis do Maranhão. Brasil. 
[ handle ]</t>
  </si>
  <si>
    <t>Mançu, R.; Gouveia, L. e Cordeiro, S. (2019). Proposta de Integração dos Sistemas de Gestão ISO 9001:2015, ISO 14001:2015 e ISO 45001:2018, com o Sistema de Gerenciamento de Segurança Operacional - SGSO da ANP. Poster. V SIINTEC 2019. Simpósio Internacional de Inovação e Tecnologia. 9-11 Outubro. Enai Cimatec Salvador - Bahia.
[ handle ]</t>
  </si>
  <si>
    <t>Toso, R.; Roque, W. e Gouveia, L. (2019). Interdisciplinaridades e Aplicações Didáticas com de maquetes voltadas ao Agronegócio. Poster. 13 de Novembro, XII Congresso Brasileiro de Agroinformática, SBIAgro2019. FATEC, Indaiatuba. São Paulo, Brasil.
[ handle ]</t>
  </si>
  <si>
    <t>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 ebook | apresentação ]</t>
  </si>
  <si>
    <t>Aguiar, G. e Gouveia, L. (2019). O Programa de Benefícios Fiscais da nota Fiscal Eletrônica como Estímulo a Cidadania Fiscal. Atas do congresso, pp 297-305. 26th APDR Congress. Evidence-based territorial policymaking: formulation, implementation and evaluation of policy. APDR. July 4-5. University of Aveiro, Portugal. ISBN 978-989-8780-07-2 
[ ebook  | apresentação ]</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</si>
  <si>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
[ paper ]</t>
  </si>
  <si>
    <t>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 
[ paper ]</t>
  </si>
  <si>
    <t>Toso, R. e Gouveia, L. (2019). Projeto Logislab: Uso de Maquetes no Ensino da Logística. III Encontro sobre Metodologias Ativas. Centro Paulo Sousa. São Paulo, Brasil. 25 de Maio. 
[ handle ]</t>
  </si>
  <si>
    <t>Martins, E. e Gouveia, L. (2018). Kahoot na Sala de Aula do Ensino Médio. 7º Congresso Brasileiro de Tecnologia Educacional da ABT. 10 a 12 de Dezembro. Poster. Belo Horizonte, MG. Brasil.
[ paper ]</t>
  </si>
  <si>
    <t>Martins, E. e Gouveia, L. (2018). Uso do Google Drive no Apoio a Aprendizagem Colaborativa. 7º Congresso Brasileiro de Tecnologia Educacional da ABT. Sessão de Comunicação Oral - Eixo temático: cultura digital e comunicação. 10 a 12 de Dezembro. Belo Horizonte, MG. Brasil.
[ paper ]</t>
  </si>
  <si>
    <t>Gouveia, L. e Martins, E. (2018). Uso do WhatsApp em Atividades Educativas Extraclasse. 7º Congresso Brasileiro de Tecnologia Educacional da ABT. 10 a 12 Dezembro. Poster. Belo Horizonte, MG. Brasil.
[ paper ]</t>
  </si>
  <si>
    <t>Martins, E. e Gouveia, L. (2018). O Uso da Rede Social Educativa Edmodo em Atividades Extraclasse. In: 15° CONPEEX - Congresso de Ensino, Pesquisa e Extensão, 2018, Goiânia. I Encontro das Instituições de Ensino Superior Públicas e Filantrópicas Externas à UFG, v. 1. p. 8-9.
[ paper ]</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</si>
  <si>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t>
  </si>
  <si>
    <t>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</si>
  <si>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t>
  </si>
  <si>
    <t>Martins, E. e Gouveia, L. (2018). Tecnologias Móveis em cursos da Universidade Aberta. IV Congresso de Ciência e Tecnologia da PUC Goiás. Ciência para a redução das desigualdades. 16 a 20 de Outubro.</t>
  </si>
  <si>
    <t>Oliveira, M. e Gouveia, L. (2018). Uma metodologia para a medição da densidade óssea pela técnica de densitometria de raios-X. 8° Congresso da Faculdade de Odontologia de Araçatuba – 23 a 26 de maio. Universidade Estadual Paulista “Júlio de Mesquita Filho” UNESP.</t>
  </si>
  <si>
    <t>Oliveira, M. e Gouveia, L. (2018). Uma técnica para medir a densidade óssea usando uma imagem radiográfica. 8° Congresso da Faculdade de Odontologia de Araçatuba – 23 a 26 de maio. Universidade Estadual Paulista “Júlio de Mesquita Filho” UNESP.</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</si>
  <si>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t>
  </si>
  <si>
    <t>Alfredo, P. e Gouveia, L. (2017). Crescimento económico de Angola e as TIC: os últimos 12 anos. In GICD, UAN (2017). Livro de Resumos da Conferência Ciêntífica da universidade Agostinho Neto (CCUAN2017). pp 76. ISBN: 978-989-761-137-7.</t>
  </si>
  <si>
    <t>Alfredo, P. e Gouveia, L. (2017).Crescimento Económico de Angola: os últimos 12 anos. Comunicação Oral. Conferência Científica Universidade Agostinho Neto (UAN). 27 a 29 de Setembro. Hotel Victória Garden. Luanda Angola.  
[ handle ]</t>
  </si>
  <si>
    <t>Gouveia, L. e Couto, P. (2017). A importância crescente do Capital Humano, Intelectual, Social e Territorial e a sua associação ao conhecimento. Atlântico Business Summit. Edificio Heliântia, Valadares. Vila Nova de Gaia. 28 de Setembro.
[ handle ]</t>
  </si>
  <si>
    <t>Gouveia, L. e Morgado, R. (2017).A importância das Ciberarmas no Contexto da Ciberdefesa de um Pequeno Estado. Atlântico Business Summit. Edificio Heliântia, Valadares. Vila Nova de Gaia. 28 de Setembro.  
[ handle ]</t>
  </si>
  <si>
    <t>Gouveia, L. e Pinto, C. (2017).Contributo para a discussão sobre a contabilização do Conhecimento e do Capital Humano nas Organizações. Atlântico Business Summit. Edificio Heliântia, Valadares. Vila Nova de Gaia. 28 de Setembro.  
[ handle ]</t>
  </si>
  <si>
    <t>Martins, O. e Gouveia, L. (2015). A promoção da infoliteracia como estratégia de autonomia numa biblioteca do ensino superior. 12º Congresso Nacional BAD Bibliotecários, Arquivistas e Documentalistas. 21 a 23 de Outubro. Évora.[ apresentação | paper ]</t>
  </si>
  <si>
    <t>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|paper]</t>
  </si>
  <si>
    <t>Robalo, A. e Gouveia, L. (2014). O contributo das plataformas educativas no ensino e formação de professores em Angola: Experiência piloto no ISCED - Huambo. Colóquio “Qualidade de Ensino e a formação de professores em Angola”. ISCED. 4 e 5 Novembro. Huambo, Angola. 
[ handle ]</t>
  </si>
  <si>
    <t>Gouveia, L. (2014). O Excesso de Informação e as suas implicações para indivíduos e organizações. 10º Congresso Nacional de Psicologia da Saúde. Universidade Fernando Pessoa. 6 a 8 de Fevereiro.
[ apresentação ]</t>
  </si>
  <si>
    <t>Cardoso, T. e Gouveia, L. (2012). As redes sociais e a Web 2.0 nas Bibliotecas Públicas do Distrito de Aveiro. X Congresso da LUSOCOM - Comunicação , Cultura e Desenvolvimento. Instituto Superior de Ciências Sociais e Políticas. 27-29 de Setembro de 2012. Lisboa, Portugal.
[ slideshare ]</t>
  </si>
  <si>
    <t>Gouveia, L. (2010). O digital e as redes como mecanismos de inovação na participação pública. De Re Publica. Colóquio evocativo dos 100 anos de República em Portugal. Universidade Fernando Pessoa. 3 de Novembro. Porto, Portugal.
apresentação [ slideshare ]</t>
  </si>
  <si>
    <t>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t>
  </si>
  <si>
    <t>Gaio, S.; Gouveia, L. e Gouveia, J. (2008). Network Based Branding: Um Modelo Colaborativo para a Edificação de Marcas Territoriais. 14º Congresso da APDR. Desenvolvimento, Administração e Governança Local. Instituto Politécnico de Tomar. 4 e 5 de Julho de 2008. Tomar, Portugal. 
artigo [ pdf (188KB) ]</t>
  </si>
  <si>
    <t>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t>
  </si>
  <si>
    <t>Simões, L. e Gouveia, L. (2008). Consumer Behaviour of the Millennial Generation. III Jornadas de Publicidade e Comunicação. A Publicidade para o consumidor do Séc. XXI. Universidade Fernando Pessoa. 10 de Abril. Porto, Portugal.paper [ pdf (526KB) ] | presentation [ pdf (422KB) ]</t>
  </si>
  <si>
    <t>Gouveia, L. (2004). A administração pública local de base electrónica: questões e desafios.2ª Conferência do Instituto Nacional de Administração. INA. 4-5 de Novembro. Lisboa, Portugal.
paper: [ pdf (31KB)]</t>
  </si>
  <si>
    <t>Xavier, J.; e Gouveia, L. e Gouveia, J. (2003). Contribuição para a definição de Cidade e Região Digital. 4ª Conferência da Associação Portuguesa de Sistemas de Informação. Universidade Portucalense (UPT). 15 de Outubro. Porto, Portugal. Actas em CD-ROM.</t>
  </si>
  <si>
    <t>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972-97548-7-X.paper [ pdf (17KB)]</t>
  </si>
  <si>
    <t>Gouveia, L. (2001). Virtual Environments and Knowledge Sharing. 1ª Congresso Nacional de Comércio Electrónico - E-Portugal. IST, Taguspark. 11 e 12 de Outubro.Oeiras, Portugal.apresentação [ pdf (295KB)]</t>
  </si>
  <si>
    <t>Gouveia, F. e Gouveia, L. (2001). O património cultural como um activo. 1ª Congresso Nacional de Comércio Electrónico - E-Portugal. IST, Taguspark. 11 e 12 de Outubro. Oeiras, Portugal.apresentação [ pdf (59KB)]</t>
  </si>
  <si>
    <t>Gouveia, L. e Gouveia, J. (2001). E-learning: uma perspectiva sobre o ensino, formação e treino mediado por computador. 1ª Congresso Nacional de Comércio Electrónico - E-Portugal. IST, Taguspark. 11 e 12 de Outubro. Oeiras, Portugal.apresentação [ pdf (20KB)]</t>
  </si>
  <si>
    <t>Gouveia, J.; Restivo, F. e Gouveia, L. (1999). Integração e Convergência no Ensino, Formação e Treino. Uma proposta para a criação de redes de competência. 2ª Conferência sobre Redes de Computadores. CRC'99. Universidade de Évora. 18 - 19 de Outubro. Évora, Portugal.
paper [ pdf (54KB)]</t>
  </si>
  <si>
    <t>Lamas, D.; Gouveia, F. e Gouveia, L. (1999). O Símbolo e a Interactividade no uso de computadores. Congresso Internacional Literatura, Cinema e Outras Artes. Universidade Fernando Pessoa. 31 de Maio - 2 de Junho. Porto, Portugal.
paper [ pdf (26KB) ]</t>
  </si>
  <si>
    <t>Gouveia, L. (1998). Uma proposta para a avaliação e diagnóstico mediada por computador. 1ª Conferência sobre redes de Computadores - CRC'98. Universidade de Coimbra. Coimbra, 9 - 10 de Novembro. Porto, Portugal.Actas em CD ROM.
texto: [ pdf (60KB) ] transparências: [ pdf (124KB) ]</t>
  </si>
  <si>
    <t>Camacho, L. e Gouveia, L. (1998). Criação de espaços de informação interactivos. Ambiente de aprendizagem para a cadeira de Sistemas de Informação. 3º Simpósio de I&amp;D de Software Educativo, Universidade de Évora. Évora, 3 - 5 de Setembro. Porto, Portugal.Actas em CD ROM.
texto: [ pdf (11KB) ] transparências: [ pdf (118KB) ] 
versão elaborada: [ pdf (19KB) ]</t>
  </si>
  <si>
    <t>Gouveia, L. (1998). Será a Internet/Intranet uma plataforma viável para a sala de aula? Lições retiradas do uso de computadores portáteis e da web em sala de aula. 3º Simpósio de I&amp;D de Software Educativo, Universidade de Évora. Évora, 3 - 5 de Setembro. Actas em CD ROM.
texto: [ pdf (58KB) ] transparências: [ pdf (114KB) ]</t>
  </si>
  <si>
    <t>Gouveia, L. (1996). Utilização de Computadores Portáteis em ambiente universitário: reflexão inicial e perspectivas. 1º Simpósio de I&amp;D de Software Educativo, Universidade Nova de Lisboa, 7-9 de Outubro. Costa da Caparica. Actas em CD ROM.
texto: [ pdf (22KB)] transparências: [ pdf (252KB)]</t>
  </si>
  <si>
    <t>Eventos Internacionais / International meetings</t>
  </si>
  <si>
    <t>comunicações / talks</t>
  </si>
  <si>
    <t>Gouveia, L. (2020). e-Government and Smart Cities: Contexts and Challenges Taking from Digital Usage and Exploration. Talk at United Nations University. 18 February. UNU-EGOV | UM DSI PDSI. DSI Auditorium, University of Minho. Azurém, Guimarães, Portugal. 
[ handle ]</t>
  </si>
  <si>
    <t>Gouveia, L. (2019). Cibersegurança e proteção do espaço digital. Palestra. Faculdades Integradas Santa Cruz de Curitiba, 25 de Junho de 2018 – Curitiba – Paraná, Brasil.[ handle]</t>
  </si>
  <si>
    <t>Gouveia, L. (2019). A gestão da informação no tempo do digital: pessoas, dados e plataformas digitais. Palestra. Auditório do Centro de Ciências Florestais e da Madeira (Cifloma) da Universidade Federal do Paraná (UFPR). 24 de Junho. Curitiba, Brasil.[ handle]</t>
  </si>
  <si>
    <t>Gouveia, L. (2019). Liderança Digital e as novas plataformas de colaboração. Keynote. II Congresso de Gestão Estratégica da Informação, Empreendedorismo e Inovação. Auditório da Fabico. Universidade Federal do Rio Grande do Sul. 17 de junho. Porto Alegre, Brasil.[ handle]</t>
  </si>
  <si>
    <t>Gouveia, L. (2019). Atividade Humana, o digital e os processos de ensino e aprendizagem. Ensinar e Aprender na Sociedade da Informação. Sessão a Distância. 1 de junho. Instituto Federal Mato Grosso do Sul (IFMS). Campus Três Lagoas. Brasil[ handle]</t>
  </si>
  <si>
    <t>Daradkeh, Y. and Gouveia, L. (2018). Getting Mobile: a critical challenge for the higher education classroom. The VI International Congress TELECOMTREND. Mobile and Wireless Technologies Trends and Prospects. October 31.[ handle]</t>
  </si>
  <si>
    <t>Gouveia, L. (2018). Open access and social media: challenges and opportunities for information management. UFP Erasmus Librarian Week. 27 Junho. Universidade Fernando Pessoa.[handle]</t>
  </si>
  <si>
    <t>Gouveia, L. (2017). Challenges in Higher Education as a Transformative Ecosystem for Students and Professors. Presentation at Kazakh University of Economics, Finance and International Trade, Astana, Kazakhstan. 11th October.[ handle ]</t>
  </si>
  <si>
    <t>Gouveia, L. (2017).Going Open in University &amp; Libraries: challenges and applications. UFP's Erasmus Staff Week for Librarians. 7th June. University Fernando Pessoa. 
[ handle ]</t>
  </si>
  <si>
    <t>Gouveia, L. (2016). Higher Education in the XXI century: challenging everything and also the library role. Erasmus Librarians Week. University Fernando Pessoa. 29th June.  
[ handle ]</t>
  </si>
  <si>
    <t>Gouveia, L. (2015). The  Library and Higher Education: where and how to rethink relationships. 3rd Erasmus Staff Week for Librarians. Workshop on 5th May. University Fernando Pessoa 
[ handle ]</t>
  </si>
  <si>
    <t>Gouveia, L. (2014). O caso do Gaia Global (2000-2005) um testemunho da exploração do digital para benefício do território. Propor projetos que gerem valor. ADRAT - Associação para o Desenvolvimento do Alto Tâmega, 5 de Novembro. Chaves.
[handle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</si>
  <si>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t>
  </si>
  <si>
    <t>Gouveia, L. (2014). Digital Libraries and the quest for information curation. UFP’s Erasmus Staff Week for Librarians. University Fernando Pessoa. Workshop on 8th April.[ presentation ]</t>
  </si>
  <si>
    <t>Gouveia, L. (2013). Some issues on Bibliometrics: the way I would like to be helped as a University Professor. Eramus Librarian Week. University Fernando Pessoa. 4th December.[ presentation ]</t>
  </si>
  <si>
    <t>Gouveia, L. (2010). Digital Paradox: why place matters, putting place in its place! Switch conference. Polo II University of Coimbra. Coimbra, 16th May. 
presentation [ slideshare ] [ vídeo ]</t>
  </si>
  <si>
    <t>Fernandes, N.; Gouveia, F.; Gouveia, L. and Martinez, D. (2010). Site Stats: the power of event tracking at a single click in Sakai. European Sakai Conference. Valencia. 1-3 March. 
presentation [ slideshare ]</t>
  </si>
  <si>
    <t>Gouveia, F.; Gouveia, L. and Fernandes, N. (2010). My students and shared resources: design of a supervision tool. European Sakai Conference. Valencia. 1-3 March. 
presentation [ slideshare ]</t>
  </si>
  <si>
    <t>Simões, L. e Gouveia, L. (2008). Targeting the Millennial Generation. III Jornadas de Publicidade e Comunicação. A Publicidade para o consumidor do Séc. XXI. UFP. Porto. 10 de Abril.paper [ pdf (1709KB) ] | presentation [ pdf (179KB) ]</t>
  </si>
  <si>
    <t>Simões, L. and Gouveia, L. (2008). The University and the Social Web challenge. Global University Network for Innovation. GUNI Newsletter, Issue 40 December 30. Available at http://web.guni2005.upc.es/news/detail.php?chlang=en&amp;id=1289.paper [ pdf (28KB) ]</t>
  </si>
  <si>
    <t>Gouveia, L. (2008). Intelligent cities: from digital to social analogic. Contemporary Architectural Challenges, CAC 08. 22-24 September, FAUP. Porto.presentation [ pdf (716KB) ]</t>
  </si>
  <si>
    <t>Gouveia, L. and Gouveia, F. (2008). Distance Learning with Sakai. 9th Sakai Conference Universite et Pierre Marie Curie. Paris, France, 1-3 July 2008.presentation [ pdf (732KB) ]</t>
  </si>
  <si>
    <t>Gouveia, F.; Gouveia, L. and Fernandes, N. (2008). UFPUV contribution for the Deployment Sakai panel: an implementation Panel: the Sakai journey Part II. 9th Sakai Conference Universite et Pierre Marie Curie. Paris, France, 1-3 July 2008.presentation [ pdf ( 83KB) ]</t>
  </si>
  <si>
    <t>Gouveia, L. (2007). The use of Sakai to deploy the UFP Virtual University Initiative. GUIDE thematic workshop European area. 21th March. Krakow. Poland.
presentation [ pdf (384MB) ]</t>
  </si>
  <si>
    <t>Gouveia, F. e Gouveia, L. (2006). Sakay in practice at an European University: UFP. 1st European Sakai Day, 6-7 September 2006, Lüebeck. Germany.
apresentação [ pdf (732KB) ]</t>
  </si>
  <si>
    <t>Gouveia, L. (2004).  Cidades Digitais, o digital e implicações para o território. Seminário Internacional Novas Tecnologias e Desenvolvimento Regional e Local Centro de Estudos Euro-Regionais Galiza-Norte de Portugal (CEER). 20 de Dezembro de 2004.
apresentação [ pdf (2540KB) ]</t>
  </si>
  <si>
    <t>Gouveia, L. (2003). Identidade para quê? Desafios ao território na Sociedade da Informação. Workshop Sociedade da Informação: balanço e implicações. Universidade Fernando Pessoa. 11 e 12 de Dezembro.</t>
  </si>
  <si>
    <t>Gouveia, L. (2003). Agregar o Digital, o Virtual e o Real: reinventar o espaço e o tempo. ExperimentaDesign 2003 – Bienal de Lisboa. 1000 Plateaux. MULTIPLE SCALES PLUG IN – Escala Infinito / Desenho do Espaço Cibernético. Cinema São Jorge, Lisboa. 21 de Setembro.
texto [ pdf (16KB) ]</t>
  </si>
  <si>
    <t>Gouveia, J. and Gouveia, L. (2001). EFTWeb: an environment to support context sharing for education settings. e-business and e-work virtual conference. NEWEMMSEC. At http://www.cheshirehenbury.com/ebew/virtconf.html.edited paper [ pdf (29KB) ]</t>
  </si>
  <si>
    <t>Gouveia, L. (2001). Divulgar conteúdos e partilhar experiências usando a World Wide Web. I Seminário sobre o Estado da Sociedade da Informação em Portugal e Espanha. FEUP. Porto, 24 e 25 de Setembro.
paper [ pdf (10KB) ] | apresentação [ pdf (26KB) ]</t>
  </si>
  <si>
    <t>Gouveia, L. (2001). Is a virtual environment feasible to support knowledge sharing? SSGRR 2001 International Conference on Advances in Infrastructure for Electronic Business, Science, and Education on the Internet, Scuola Superiore Guglielmo Reiss Romoli, L'Aquila, Italy, August, 6-12. ISBN: 88-85280-61-7paper [ pdf (140KB)] | presentation [ pdf (492KB)] Also, invited for a plenary session pdf (459KB)</t>
  </si>
  <si>
    <t>Gouveia, L. (1999). Beyond the NetLab: how to involve the community producers. International Workshop on Distance Learning and Training (DLT) Porto, Portugal. 25 - 26 February.presentation: [ pdf (27KB) ]</t>
  </si>
  <si>
    <t>Gouveia, L. (1998). The Role of Teachers in Rich Technological Environments. 1st Workshop on Current Advances/Practice on Internet/Intranet Based ODL Porto, Portugal. 26th June. Proceedings in CD ROM edited by UNED IPP.paper: [ pdf (15KB) ] presentation: [ zipped postscript (20KB) ]</t>
  </si>
  <si>
    <t>paineis e mesas redondas / panels and roundtables</t>
  </si>
  <si>
    <t>Botelho, R.; Freitas, M.; Araújo Júnior, R.; Teixeira, M.; Gouveia, L. e Vianna, W. (2019). Perspetivas de Internacionalização para a Rede de Gestão da Informação e do Conhecimento. Painel Mesa Temática II. II Congresso de Gestão Estratégica da Informação. Empreendedorismo e Inovação. Universidade Federal do Rio Grande do Sul. 19 de Junho. Porto Alegre, Brasil.</t>
  </si>
  <si>
    <t>Mascaranhas, R. et al. (2016). Privacidade, cibersegurança e regulamentação económica. Fórum da Arrábida: repensar o futuro da Sociedade da Informação. 15ª edição. APDSI. Convento da Arrábida. 7 de Outubro.  
[ documento ]</t>
  </si>
  <si>
    <t>Gouveia, L. (2016).  Grupo de reflexão Privacidade e Cibersegurança (apresentação e moderação do grupo). Fórum da Arrábida: repensar o futuro da Sociedade da Informação. 15ª edição. APDSI. Convento da Arrábida. 7 de Outubro.  
[ apresentação ]</t>
  </si>
  <si>
    <t>Gouveia, L. et al. (2016). Ciclo de Debates Arquivos, Bibliotecas e Museus: acesso à Informação. Arquivo Distrital do Porto. Associação Portuguesa de Bibliotecários, Arquivistas e Documentalistas e a Acesso Cultura. 21 de Junho. Porto. Participação como moderador.</t>
  </si>
  <si>
    <t>Mascaranhas, R. et al. (2015). Mercado único digital europeu: transformações económicas, competências e empregabilidade. Fórum da Arrábida: repensar o futuro da Sociedade da Informação. 14ª edição. APDSI. Convento da Arrábida. 16 de Outubro. 
[ documento ]</t>
  </si>
  <si>
    <t>Gouveia, L. (2015). Grupo de reflexão eSkills (apresentação e moderação do grupo). Fórum da Arrábida: repensar o futuro da Sociedade da Informação. 14ª edição. APDSI. Convento da Arrábida. 16 de Outubro.[ apresentação ]</t>
  </si>
  <si>
    <t>Gouveia, L. (2015). Ponto prévio ao grupo de reflexão eSkills (apresentação). Fórum da Arrábida: repensar o futuro da Sociedade da Informação. 14ª edição. APDSI. Convento da Arrábida. 16 de Outubro.[ apresentação ]</t>
  </si>
  <si>
    <t>Amaral, L.; Neves, A.; Gouveia, L.; Nascimento, J. e Leal, D. (2010). Workshop sobre Participação. Integrado no evento Portugal 2.0. Museu do Oriente. Lisboa. 23 de Novembro.
paper [ slideshare ]</t>
  </si>
  <si>
    <t>Gouveia, L. (coord.) (2009). Competência na Sociedade da Informação para Superar a Crise. Fórum da Arrábida. Repensar o futuro da Sociedade da Informação. O papel da Sociedade da Informação na superação da Crise. 9 e 10 de Outubro. Arrábida.
apresentação [ slideshare | vídeo ]</t>
  </si>
  <si>
    <t>Gouveia, L. (2007). Painel Virtual Universities. EATIS 2007. Universidade do Algarve. 15 de Maio. Faro.
apresentação [ pdf (24KB) ]</t>
  </si>
  <si>
    <t>Gouveia, L. and Gouveia, J. (2005). Gaia Global: a digital cities project. IANIS Newsletter, nº 33, June 2005, pp 15-16.
texto [ pdf (76KB) ]</t>
  </si>
  <si>
    <t>Vorderer, P. et al. (2003). MEC‘s Two-Level Model of “Spatial Presence”. FET Special meetings at PRESENCE 2003 conference. Aalborg. University. Denmark. 6-8 October.presentation [ pdf (268KB) ]</t>
  </si>
  <si>
    <t>Eventos Nacionais / National Meetings</t>
  </si>
  <si>
    <t>Gouveia, L. (2020). Segurança e privacidade num mundo digital. Internet segura significa mais informação qualificada. Apresentação na Biblioteca Municipal de Santo Tirso. 6 de Fevereiro. Semana da Internet Mais Segura. Câmara Municipal de Santo Tirso.[ handle ]</t>
  </si>
  <si>
    <t>Gouveia, L. (2019). Uma abordagem do impacte do digital no individuo. Teatime. 1º Escontro. Edificio da FLUP I&amp;D. CIC.DIGITAL. CITCEM. Faculdade de Letras da Universidade do Porto. 
[ handle ]</t>
  </si>
  <si>
    <t>Gouveia, L. (2019). Um tempo renovado para a Sociedade da Informação. Aula aberta Tópicos Especiais em Filosofia e Cultura Contemporânea. Curso de Graduação em Filosofia. ISTA, Belo Horizonte, Brasil. 21 de Outubro. 
[ handle ]</t>
  </si>
  <si>
    <t>Gouveia, L. (2019). A Experiência do Acesso Aberto e do auto-arquivo. Semana Internacional do Acesso Aberto. Sala Álvaro de Campos. Universidade Fernando Pessoa. 21 de Outubro.
[ handle ]</t>
  </si>
  <si>
    <t>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handle ]</t>
  </si>
  <si>
    <t>Gouveia, L. (2019). O lugar da leitura como espaço de convergência entre o real e o digital. Jornadas de Reflexão Sobre as Bibliotecas e a Leitura Pública Digital: O Presente e o Futuro. 20 de Setembro. Rede Intermunicipal de Bibliotecas de Leitura Pública. Painel 3 - Leitura, livros e bibliotecas Digitais. Biblioteca Lúcio Craveiro da Silva. Braga.
[ handle ]</t>
  </si>
  <si>
    <t>Lima, E. e Gouveia, L. (2019). Direito à Informação: Uma análise sob a óptica do direito à informação do portal da transparência do Ceará. Seminário Doutoramento em Ciências da Informaçao. Especialidade Sistemas, Tecnologias e Gestão da Informação (SiTeGI). Salão Nobre. 4 e 18 de Julho. 4 de Julho. Universidade Fernando Pessoa, Porto.</t>
  </si>
  <si>
    <t>Silva, C. e Gouveia, L. (2019). O papel das controladorias na transparência das informações: seu contexto e atuação dentro poder público.Seminário Doutoramento em Ciências da Informaçao. Especialidade Sistemas, Tecnologias e Gestão da Informação (SiTeGI). Salão Nobre. 4 e 18 de Julho. 4 de Julho. Universidade Fernando Pessoa, Porto.</t>
  </si>
  <si>
    <t>Araújo, P.; Gouveia, L. e Toldy, T. (2019). As dimensões valorativas da cultura digital: um instrumento para o mapeamento analítico de um território.Seminário Doutoramento em Ciências da Informaçao. Especialidade Sistemas, Tecnologias e Gestão da Informação (SiTeGI). Salão Nobre. 4 e 18 de Julho. 4 de Julho. Universidade Fernando Pessoa, Porto.</t>
  </si>
  <si>
    <t>Silva, C. e Gouveia, L. (2019). Corrupção e seu alcance mundial: Um mal que afeta o planeta. Seminário Doutoramento em Ciências da Informaçao. Especialidade Sistemas, Tecnologias e Gestão da Informação (SiTeGI). Salão Nobre. 4 e 18 de Julho. 4 de Julho. Universidade Fernando Pessoa, Porto.</t>
  </si>
  <si>
    <t>Sargo, S.; Gouveia, L. e Reis, P (2019). Perceções dos discentes sobre a sala de aula invertida (flipped classroom): experimentos em cursos superiores de tecnologia. Seminário Doutoramento em Ciências da Informaçao. Especialidade Sistemas, Tecnologias e Gestão da Informação (SiTeGI). Salão Nobre. 4 e 18 de Julho. 4 de Julho. Universidade Fernando Pessoa, Porto.</t>
  </si>
  <si>
    <t>Heluy, V. e Gouveia, L. (2019). Programa nacional de formação em administração pública (ONAO): implementação na Universidade Federal do Maranhão. Seminário Doutoramento em Ciências da Informaçao. Especialidade Sistemas, Tecnologias e Gestão da Informação (SiTeGI). Salão Nobre. 4 e 18 de Julho. 4 de Julho. Universidade Fernando Pessoa, Porto.</t>
  </si>
  <si>
    <t>Gonçalves, F.; Gouveia, L. e Mesquita, F. (2019). A marca, a informação e o Digital. Seminário Doutoramento em Ciências da Informaçao. Especialidade Sistemas, Tecnologias e Gestão da Informação (SiTeGI). Salão Nobre. 4 e 18 de Julho. 4 de Julho. Universidade Fernando Pessoa, Porto.</t>
  </si>
  <si>
    <t>Cavaignac, S.; Gouveia, L. e Reis, P. (2019). Jogos Sérios em Ambientes b-learning: uma avaliação da aprendizagem formal no ensino superior. Seminário Doutoramento em Ciências da Informaçao. Especialidade Sistemas, Tecnologias e Gestão da Informação (SiTeGI). Salão Nobre. 4 e 18 de Julho. 4 de Julho. Universidade Fernando Pessoa, Porto.</t>
  </si>
  <si>
    <t>Cavalcante, A. e Gouveia, L. (2019). Prostituição: Profissão ou falta de opção? Seminário Doutoramento em Ciências da Informaçao. Especialidade Sistemas, Tecnologias e Gestão da Informação (SiTeGI). Salão Nobre. 4 e 18 de Julho. 4 de Julho. Universidade Fernando Pessoa, Porto.</t>
  </si>
  <si>
    <t>Moreira, A. e Gouveia, L. (2019). Gestão do Conhecimento no Ensino Superior. Seminário Doutoramento em Ciências da Informaçao. Especialidade Sistemas, Tecnologias e Gestão da Informação (SiTeGI). Salão Nobre. 4 e 18 de Julho. 4 de Julho. Universidade Fernando Pessoa, Porto.</t>
  </si>
  <si>
    <t>Brito, I. e Gouveia, L. (2019). O Abismo Tecnológico dos Professores Não Nativos Digitais frente a Educação 4.0. Salão Nobre. 4 e 18 de Julho. 4 de Julho. Universidade Fernando Pessoa, Porto.</t>
  </si>
  <si>
    <t>Cavalcante, A. e Gouveia, L. (2019). Públicas Virtudes e Vícios Privados. Seminário Doutoramento em Ciências da Informaçao. Especialidade Sistemas, Tecnologias e Gestão da Informação (SiTeGI). Salão Nobre. 4 e 18 de Julho. 4 de Julho. Universidade Fernando Pessoa, Porto.</t>
  </si>
  <si>
    <t>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t>
  </si>
  <si>
    <t>Oliveira, F. e Gouveia, L. (2019). Inteligência Artificial como solução para classificação fiscal: um estudo de caso sobre os impactos  das tecnologias digitais sobre os cinco domínios fundamentais da estratégia.</t>
  </si>
  <si>
    <t>Mançú, R; Gouveia, L. e Cordeira, S. (2019). Práticas de gestão e operacional para atender os requisitos das normas ABNT NBR ISO dos Sistemas de Gestão Integrados (SGI) e dos Regulamentos Técnicos da Agência Nacional do Petróleo (ANP). Seminário Doutoramento em Ciências da Informaçao. Especialidade Sistemas, Tecnologias e Gestão da Informação (SiTeGI). Salão Nobre. 4 e 18 de Julho. 18 de Julho. Universidade Fernando Pessoa, Porto.</t>
  </si>
  <si>
    <t>Guerra, F. e Gouveia, L. (2019). Competências necessárias para adequação e implantação a escrituração contábil digital: estudo comparativo das organizações prestadoras de serviços contábeis de Brasil e Portugal. Seminário Doutoramento em Ciências da Informaçao. Especialidade Sistemas, Tecnologias e Gestão da Informação (SiTeGI). Salão Nobre. 4 e 18 de Julho. 18 de Julho. Universidade Fernando Pessoa, Porto.</t>
  </si>
  <si>
    <t>Rocha, D. e Gouveia, L. (2019). Curadoria de Conteúdo para Educação a Distância: modelo de referência de qualidade para o ensino superior. Seminário Doutoramento em Ciências da Informaçao. Especialidade Sistemas, Tecnologias e Gestão da Informação (SiTeGI). Salão Nobre. 4 e 18 de Julho. 18 de Julho. Universidade Fernando Pessoa, Porto.</t>
  </si>
  <si>
    <t>Pinho, M. e Gouveia, L. (2019). Dados Abertos ao Público Alvo - caso prático do transporte escolar. Seminário Doutoramento em Ciências da Informaçao. Especialidade Sistemas, Tecnologias e Gestão da Informação (SiTeGI). Salão Nobre. 4 e 18 de Julho. 18 de Julho. Universidade Fernando Pessoa, Porto.</t>
  </si>
  <si>
    <t>Pereira, R. e Gouveia, L. (2019). Educação Ambiental: uma proposta interdisciplinar e interescolar gamificada. Seminário Doutoramento em Ciências da Informaçao. Especialidade Sistemas, Tecnologias e Gestão da Informação (SiTeGI). Salão Nobre. 4 e 18 de Julho. 18 de Julho. Universidade Fernando Pessoa, Porto.</t>
  </si>
  <si>
    <t>Rocha, C. e Gouveia, L. (2019). Uso de Live Stream no Ensino Superior no Brasil: estudo de caso. Seminário Doutoramento em Ciências da Informaçao. Especialidade Sistemas, Tecnologias e Gestão da Informação (SiTeGI). Salão Nobre. 4 e 18 de Julho. 18 de Julho. Universidade Fernando Pessoa, Porto.</t>
  </si>
  <si>
    <t>Lourenço, M.; Rurato, P. e Gouveia, L. (2019). (Re) aprendizagem do Professor do Ensino Superior face ao triângulo Educação, Tecnologia e Aprendizagem em EAD. Seminário Doutoramento em Ciências da Informaçao. Especialidade Sistemas, Tecnologias e Gestão da Informação (SiTeGI). Salão Nobre. 4 e 18 de Julho. 18 de Julho. Universidade Fernando Pessoa, Porto.</t>
  </si>
  <si>
    <t>Abjaud, J. e Gouveia, L. (2019). Determinantes do Desempenho das Universidades Privadas de Ensino Superior Brasileiras. Seminário Doutoramento em Ciências da Informaçao. Especialidade Sistemas, Tecnologias e Gestão da Informação (SiTeGI). Salão Nobre. 4 e 18 de Julho. 18 de Julho. Universidade Fernando Pessoa, Porto.</t>
  </si>
  <si>
    <t>Portela, F. e Gouveia, L. (2019). Os níveis de transparência dos portais eletrónicos dos estados da região do nordeste entre os anos de 2016 a 2019 e os seus indicadores pertinentes. Seminário Doutoramento em Ciências da Informaçao. Especialidade Sistemas, Tecnologias e Gestão da Informação (SiTeGI). Salão Nobre. 4 e 18 de Julho. 18 de Julho. Universidade Fernando Pessoa, Porto.</t>
  </si>
  <si>
    <t>Gouveia, L. (2019). Bibliometria e produção científica Ferramentas digitais associadas. Aula Aberta, Doutoramento em Desenvolvimento e Perturbações da Linguagem Faculdade de Ciências da Saúde, UFP. 19 de julho. Porto, Universidade Fernando Pessoa.
[ handle ]</t>
  </si>
  <si>
    <t>Gouveia, L. (2019). A gestão da informação no tempo do digital: pessoas, dados e plataformas digitais. Palestra. Auditório do Centro de Ciências Florestais e da Madeira (Cifloma) da Universidade Federal do Paraná (UFPR). 24 de Junho. Curitiba, Brasil.
[ handle ]</t>
  </si>
  <si>
    <t>Gouveia, L. (2019). Cibersegurança e proteção do espaço digital. Palestra. Faculdades Integradas Santa Cruz de Curitiba, 25 de Junho de 2018 – Curitiba – Paraná, Brasil. 
[ handle ]</t>
  </si>
  <si>
    <t>Gouveia, L. (2019). Desafios para o ensino e aprendizagem no digital. Retiro Doutoral da Universidade Aberta (UAb). Palestra, 6 de Junho. Auditório Municipal, Sabugal. Portugal.
[ handle ]</t>
  </si>
  <si>
    <t>Gouveia, L. (2019). As Pessoas, o Digital e o Ciberespaço. Módulo Sociedade da Informação e os Novos Media, Perspetiva Global do Ciberespaço. VI Curso de Cibersegurança e Gestão de Crises no Ciberespaço. IDN – Instituto de Defesa Nacional, Lisboa. 20 de Maio. 
[ handle ]</t>
  </si>
  <si>
    <t>Gouveia, L. (2019). Responder a um contexto digital nas IES. Painel 3 - Modelos pedagógicos de EaD adequados ao Ensino Superior. 1ª Convenção de Ensino a Distância, Desafios do EaD no Ensino Superior. Instituto Politécnico do Porto (IPP). Porto, 6 de Maio de 2019.
[ handle ]</t>
  </si>
  <si>
    <t>Gouveia, L. (2018). As questões associadas com a proteção do espaço digital. Model NATO 2018. Núcleo de Estudantes de Relações Internacionais da Universidade do Porto. (NERI-UP). Apresentação, 2 de Novembro. Faculdade de Letras da Universidade do Porto. 
[ handle ]</t>
  </si>
  <si>
    <t>Gouveia, L. (2018). Plataformas digitais de serviço público e a prova digital. Conferencia Prova Digital. Ordem dos Advogados. Conselho Regional de Lisboa. Auditório António Domuingues de Azevedo. Lisboa. 29 de Outubro.
[ handle ]</t>
  </si>
  <si>
    <t>Oliveira, M. e Gouveia, L. (2018). Um algoritmo de seleção polinomial para mensuração de densidade radiográfica. Dia do Doutoramento em Ciências da Informação, ramo Tecnologia, Sistemas e Gestão da Informação. 20 de Julho. Universidade Fernando Pessoa.  
[ handle ]</t>
  </si>
  <si>
    <t>Carvalho, M. e Gouveia, L. (2018). Fluxo Informacionais: Interligações de Processos de Informação e Conhecimento. Dia do Doutoramento em Ciências da Informação, ramo Tecnologia, Sistemas e Gestão da Informação. 20 de Julho. Universidade Fernando Pessoa. 
[ handle ]</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</si>
  <si>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t>
  </si>
  <si>
    <t>Correia, A. e Gouveia, L. (2018). Cidades Inteligentes e poder. Dia do Doutoramento em Ciências da Informação, ramo Tecnologia, Sistemas e Gestão da Informação. 20 de Julho. Universidade Fernando Pessoa. 
[ handle ]</t>
  </si>
  <si>
    <t>Pinho, N. e Gouveia, L. (2018). O uso do governo digital pelo controle social no combate à corrupção pública no Ceará. Dia do Doutoramento em Ciências da Informação, ramo Tecnologia, Sistemas e Gestão da Informação. 20 de Julho. Universidade Fernando Pessoa. 
[ handle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</si>
  <si>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t>
  </si>
  <si>
    <t>Gouveia, L. (2017). O Digital e as pessoas no contexto ciber. Cidadania, Democracia e Governação Eletrónica. Curso de Cibersegurança e Gestão de Crises no Ciberespaço. 5ª edição. 3 de Abril. Instituto Nacional de Defesa (IDN). Lisboa.
[ handle ]</t>
  </si>
  <si>
    <t>Gouveia, L. (2017). Da transmissão à partilha e do desempenho à interação. Tecnologias de ensino no “Saber Fazer”. Seminário Tecnologias no Ensino / formação Saber Fazer. 9 de Novembro de 2017, Auditório do Citeforma, Lisboa.
[ handle ]</t>
  </si>
  <si>
    <t>(2017). Gouveia, L. (2017). O Digital e a Universidade uma reflexão para um tempo novo. Aula de Abertura do Mestrado em Comunicação Digital. 7 de Novembro de 2017, Universidade Católica Portuguesa, Braga.[ handle ]</t>
  </si>
  <si>
    <t>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handle ]</t>
  </si>
  <si>
    <t>Menezes, N. e Gouveia, L. (2017). O recurso a tecnologias de informação e comunicação para suporte da atividade em sala de aula: uma proposta de modelo. Universidade Fernando Pessoa. Dias da Investigação na UFP. 11 a 14 de Julho. Universidade Fernando Pessoa. 
[ handle ]</t>
  </si>
  <si>
    <t>Alvre, P.; Gouveia, L. e Sousa, S. (2017). A study on using interface animations in online shopping sites. Dias da Investigação na UFP. 11 a 14 de Julho. Universidade Fernando Pessoa. Dias da Investigação na UFP. 11 a 14 de Julho. Universidade Fernando Pessoa. 
[ handle ]</t>
  </si>
  <si>
    <t>Oliveira, M. e Gouveia, L. (2017). Estudo da viabilidade da técnica de densidade radiográfica para mensuração de densidade óssea. Dias da Investigação na UFP. 11 a 14 de Julho. Universidade Fernando Pessoa. 
[ handle ]</t>
  </si>
  <si>
    <t>Correia, A. e Gouveia, L. (2017). Cidades Digitais: uma perspetiva diferenciada dos espaços na cidade. Dias da Investigação na UFP. 11 a 14 de Julho. Universidade Fernando Pessoa. 
[ handle ]</t>
  </si>
  <si>
    <t>Morgado, R. e Gouveia, L. (2017). A importância da proteção do ciberespaço. Dias da Investigação na UFP. 11 a 14 de Julho. Universidade Fernando Pessoa. 
[ handle ]</t>
  </si>
  <si>
    <t>Khan, S. e Gouveia, L. (2017). Requirement for a MSL (Minimum Service Level) model for cloud providers and users. Dias da Investigação na UFP. 11 a 14 de Julho. Universidade Fernando Pessoa. 
[ handle ]</t>
  </si>
  <si>
    <t>Araújo, P.; Gouveia, L. e Toldy, T. (2017). Gestão de uma construção que possui uma dupla estrutura performativa: construtores e usuários como autores de uma plataforma digital. Dias da Investigação na UFP. 11 a 14 de Julho. Universidade Fernando Pessoa. 
[ handle ]</t>
  </si>
  <si>
    <t>Erdem, M. e Gouveia, L. (2017). The concept of tourism security and importance of ICT usage in Portugal. Dias da Investigação na UFP. 11 a 14 de Julho. Universidade Fernando Pessoa. 
[ handle ]</t>
  </si>
  <si>
    <t>Quental, C. e Gouveia, L. (2017). Mediação digital para participação pública: experiências de utilização em organizações sindicais. Dias da Investigação na UFP. 11 a 14 de Julho. Universidade Fernando Pessoa. 
[ handle ]</t>
  </si>
  <si>
    <t>Alfredo, P. e Gouveia, L. (2017). Discussão de um modelo conceptual de Governo Eletrónico Local para Angola. Dias da Investigação na UFP. 11 a 14 de Julho. Universidade Fernando Pessoa. 
[ handle ]</t>
  </si>
  <si>
    <t>Santos, F. e Gouveia, L. (2017). Estudo de fatores importantes da gestão do conhecimento para desenvolvimento no contexto do ensino superior. Dias da Investigação na UFP. 11 a 14 de Julho. Universidade Fernando Pessoa. 
[ handle ]</t>
  </si>
  <si>
    <t>Rocha, L. e Gouveia, L. (2017). A economia partilhada e os fatores que a influenciam. Dias da Investigação na UFP. 11 a 14 de Julho. Universidade Fernando Pessoa. Dias da Investigação na UFP. 11 a 14 de Julho. Universidade Fernando Pessoa. 
[ handle ]</t>
  </si>
  <si>
    <t>Cordeiro, I.; Gouveia, L. e Cardoso, P. (2017). A atração dos consumidores para o comércio tradicional num contexto digital: requisitos e expetativas. Dias da Investigação na UFP. 11 a 14 de Julho. Universidade Fernando Pessoa. 
[ handle ]</t>
  </si>
  <si>
    <t>Ramada, O. e Gouveia, L. (2017). Proposta de uma abordagem para a (re)qualificação dinâmica do capital intelectual. Dias da Investigação na UFP. 11 a 14 de Julho. Universidade Fernando Pessoa. 
[ handle ]</t>
  </si>
  <si>
    <t>Biltes, N. e Gouveia, L. (2017). Comportamento organizacional: proposta de um questionário para estudo do impacto dos incentivos comunitários às empresas. O caso das microempresas. Dias da Investigação na UFP. 11 a 14 de Julho. Universidade Fernando Pessoa. 
[ handle ]</t>
  </si>
  <si>
    <t>Silva, C. e Gouveia, L. (2017). Transparência, ‘e-government’ e segurança da informação: uma contribuição para a sua discussão no contexto do poder público. Dias da Investigação na UFP. 11 a 14 de Julho. Universidade Fernando Pessoa. 
[ handle ]</t>
  </si>
  <si>
    <t>Salimo, G. e Gouveia, L. (2017). Dados preliminares sobre o nível de utilização e importâncias das TIC no ensino superior em Moçambique para o grupo alunos. Dias da Investigação na UFP. 11 a 14 de Julho. Universidade Fernando Pessoa. 
[ handle ]</t>
  </si>
  <si>
    <t>Nogueira, D. e Gouveia, L. (2017). Estudo preliminar sobre competências nas redes digitais como estratégia de fortalecimento da Rede Nacional de Escolas de Governo do Brasil. Dias da Investigação na UFP. 11 a 14 de Julho. Universidade Fernando Pessoa. 
[ handle ]</t>
  </si>
  <si>
    <t>Albuquerque, R. e Gouveia, L. (2017). Uso de modelos matemáticos interpretados em plataforma digital como estratégia para o ensino e aprendizagem da matemática. Dias da Investigação na UFP. 11 a 14 de Julho. Universidade Fernando Pessoa. 
[ handle ]</t>
  </si>
  <si>
    <t>Robalo, A. e Gouveia, L. (2017). A introdução das TIC em sala de aula no ensino primário: formação de professores na província do Huambo para o projeto «Meu Kamba. Dias da Investigação na UFP. 11 a 14 de Julho. Universidade Fernando Pessoa. 
[ handle ]</t>
  </si>
  <si>
    <t>Araújo, A. e Gouveia, L. (2017). O digital nas instituições de ensino superior: um diagnóstico sobre a perceção dos gestores e da comunidade académica do CESUPA. Dias da Investigação na UFP. 11 a 14 de Julho. Universidade Fernando Pessoa. 
[ handle ]</t>
  </si>
  <si>
    <t>Lourenço, M.; Rurato, P. e Gouveia, L. (2017). Reaprendizagem do professor do ensino superior face ao triângulo educação, tecnologia e aprendizagem EaD. Dias da Investigação na UFP. 11 a 14 de Julho. Universidade Fernando Pessoa. 
[ handle ]</t>
  </si>
  <si>
    <t>Cavalcante, A. e Gouveia, L. (2017). A influência do digital para a imagem do turismo no nordeste brasileiro. Dias da Investigação na UFP. 11 a 14 de Julho. Universidade Fernando Pessoa. 
[ handle ]</t>
  </si>
  <si>
    <t>Gouveia, L. (2017). Cultura Digital: usar e explorar dados e informação em 2017. I Encontro Formativo. Diretores, Pedagogos, Professores, Secretários e Técnicos. Auditório da Prefeitura. Betim, Minas Gerais, Brasil. 17 de Maio.
[ handle ]</t>
  </si>
  <si>
    <t>Gouveia, L. (2017). A linguagem R: um ambiente para explorar dados e aprender com eles. Hello World Conference. 3 de Maio. Universidade Fernando Pessoa.
[ handle ]</t>
  </si>
  <si>
    <t>Gouveia, L. (2017). Digital para que te quero...Turismo e Património Cultural: Inovação e Tecnologia. Estado da Arte. Casa das Artes. Porto. 30 de Março. PPorto.pt e VerdeNovo.[ handle ]</t>
  </si>
  <si>
    <t>Gouveia, L. (2017).  O Digital e as Pessoas como Nova Tecnologia. Painel Cidadania, Democracia e Governação Eletrónica. Curso de Cibersegurança e Gestão de Crises do Ciberespaço. (4ª edição). IDN, Instituto de Defesa Nacional. 20 de Março. Lisboa. 
[ handle ]</t>
  </si>
  <si>
    <t>Gouveia, L.  (2017). Cooperar no contexto do digital das redes e do território. Workshop Cooperar para Ganhar. Rede Colaborativa +Turismo +Sabor. ACISAT e ADRAT. 13 de Março. Hotel Casino. Chaves.  
[ handle ]</t>
  </si>
  <si>
    <t>Gouveia, L. (2016).  R: a alternativa ao SPSS e ao NVivo em software livre. *TRS Talk. University Fernando Pessoa. 7 Dezembro.  
[ handle ]</t>
  </si>
  <si>
    <t>Gouveia, L. (2016).  Holacracy as an alternative to organisations governance. *TRS Talk. Fernando Pessoa Hall. University Fernando Pessoa. 16 November.  
[ handle ]</t>
  </si>
  <si>
    <t>Gouveia, L. (2016).  O digital, a sustentabilidade e a viagem do open source ao open data. II Jornadas de Sistemas Open Source. Associação Portuguesa de Bibliotecários, Arquivistas e Documentalistas (BAD). Universidade de Aveiro. 17 de Outubro.  
[ apresentação ]</t>
  </si>
  <si>
    <t>Gouveia, L. (2016). Desafios da segurança da informação: da sua cultura e aplicação à confidencialidade. Ciclo de Conferências Entre Arquivos. Minas de Sal Gema. 9 de Junho. Dia Nacional de Arquivos. Loulé. 
[ handle ]</t>
  </si>
  <si>
    <t>Gouveia, L. (2016). Uma discussão do impacte do digital (dos computadores aos fluxos de informação em rede). Aula Aberta. Pós Graduação em Jornalismo Especializado, UFP/LUSA. Auditório A1 da Universidade Fernando Pessoa. 23 de Abril. 
[ handle ]</t>
  </si>
  <si>
    <t>Lourenço, M.; Rurato, P. e Gouveia, L. (2016). Educação, tecnologia, aprendizagem – exaltação à negação: a busca da relevância. Dias de Investigação na UFP. 9 a 11 de Março. Universidade Fernando Pessoa. Porto. 
[ handle ]</t>
  </si>
  <si>
    <t>Araújo, P.; Gouveia, L. e Toldy, T. (2016). Esfera Pública Digital. Dias de Investigação na UFP. 9 a 11 de Março. Universidade Fernando Pessoa. Porto.
[ handle ]</t>
  </si>
  <si>
    <t>Lopes, S.; Gouveia, L. e Reis, P. (2016). O modelo de ensino da flipped classroom (sala de aula invertida) no âmbito do ensino superior. Dias de Investigação na UFP. 9 a 11 de Março. Universidade Fernando Pessoa. Porto. 
[ handle ]</t>
  </si>
  <si>
    <t>Araújo, A. e Gouveia, L. (2016). As TICs aplicadas no ensino superior: um estudo de caso no contexto de uma IES particular na cidade de Belém do Pará. Dias de Investigação na UFP. 9 a 11 de Março. Universidade Fernando Pessoa. Porto. 
[ handle ]</t>
  </si>
  <si>
    <t>Morgado, R. e Gouveia, L. (2016). O recurso e a contribuição potencial da inteligência artificial para a cibersegurança em ambientes digitais. Dias de Investigação na UFP. 9 a 11 de Março. Universidade Fernando Pessoa. Porto. 
[ handle ]</t>
  </si>
  <si>
    <t>Correia, A. e Gouveia, L. (2016). Região Norte NUT II – como valor acrescentado no desenvolvimento digital da região. Dias de Investigação na UFP. 9 a 11 de Março. Universidade Fernando Pessoa. Porto. 
[ handle ]</t>
  </si>
  <si>
    <t>Menezes, N. e Gouveia, L. (2016). O recurso a tecnologias de informação e comunicação para suporte da atividade em sala de aula de professores e formadores. Dias de Investigação na UFP. 9 a 11 de Março. Universidade Fernando Pessoa. Porto. 
[ handle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</si>
  <si>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t>
  </si>
  <si>
    <t>Peres, P. e Gouveia, L. (2015). Planeamento e Gestão da Mudança nos Processos de Implementação de Sistemas dee/b-learning. Dias da Investigação UFP. 11-13 Março. Universidade Fernando Pessoa. Porto.</t>
  </si>
  <si>
    <t>Leal, J. e Gouveia, L. (2015). MOOC: qual o papel na reconceptualização da Universidade? Dias da Investigação UFP. 11-13 Março. Universidade Fernando Pessoa. Porto.</t>
  </si>
  <si>
    <t>Robalo, A. e Gouveia, L. (2015). O contributo da Mediateca do Huambo na promoção de competências TIC para professores. Dias da Investigação UFP. 11-13 Março. Universidade Fernando Pessoa. Porto.</t>
  </si>
  <si>
    <t>Martins, O. e Gouveia, L. (2015). Bibliotecas académicas, lugar ou ponto de acesso? Dias da Investigação UFP. 11-13 Março. Universidade Fernando Pessoa. Porto.</t>
  </si>
  <si>
    <t>Alfredo, P. e Gouveia, L. (2015). Contribuições para a discussão de um modelo de governo electrónico local para Angola. Dias da Investigação UFP. 11-13 Março. Universidade Fernando Pessoa. Porto.</t>
  </si>
  <si>
    <t>Abrantes, S. e Gouveia, L. (2015). Um estudo empírico sobre a adopção de meios digitais para suporte à aprendizagem colaborativa. Dias da Investigação UFP. 11-13 Março. Universidade Fernando Pessoa. Porto.</t>
  </si>
  <si>
    <t>Silva, P. and Gouveia, L. (2015). The impact of digital in learning spaces: an analysis on the perspective of teachers in higher education. Research Days at UFP. 11th to 13th March. University Fernando Pessoa. Porto.</t>
  </si>
  <si>
    <t>Ferreira, A. e Gouveia, L. (2015). O ensino e os novos sistemas de computação. Dias da Investigação UFP. 11-13 Março. Universidade Fernando Pessoa. Porto.</t>
  </si>
  <si>
    <t>Gouveia, L. (2015). Cidades Inteligentes: a exploração do digital para um territóriio melhor. Jornadas de Gestão. Cidades Inteligentes e Inclusivas. Universidade Lusófona, 14 de Abril. Porto.
[ handle ]</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</si>
  <si>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t>
  </si>
  <si>
    <t>Gouveia, L. (2014). Segurança Informática: contexto, conceitos e desafios. Rotary Club Vizela. 18 de Junho. Vizela.
[ apresentação ]</t>
  </si>
  <si>
    <t>Gouveia, L. (2013). Sociedade da Informação. Uma quase teologia da revolução. Mestrado em Sistemas de Informação. Universidade do Minho, Guimarães. 20 de Dezembro. 
[ presentation ]</t>
  </si>
  <si>
    <t>Gouveia, L. (2013). Encontro sobre Investigação, Desenvolvimento e Inovação. Apresentação no Encontro sobre Investigação, Desenvolvimento e Inovação. Bureau Veritas e Qtel. Pavilhão do Conhecimento, Lisboa, 7 de Outubro.
[ apresentação ]</t>
  </si>
  <si>
    <t>Gouveia, L. (2013). Mobilidade Digital. Debate do tema Mobilidade. Debate no âmbito da candidatura independente ao município de Vila Nova de Gaia. 25 de Julho. Vila Nova de Gaia.
[ apresentação ]</t>
  </si>
  <si>
    <t>Gouveia, L. (2013). Reunião de trabalho e integração de atividade. Grupo *TRS. 24 de Julho. Instituto Politécnico de Viseu, Viseu.
[ apresentação ]</t>
  </si>
  <si>
    <t>Gouveia, L. (2013). Redes e Território. Seminário, Mestrado de Administração Pública. Instituto Politécnico da Guarda. 17 de Maio.
[ apresentação ]</t>
  </si>
  <si>
    <t>Gouveia, L. e Neves, J. (2013). Grupo *TRS: T – Tecnologia, R – Redes, S – Sociedade. Enquadramento e apresentação. Universidade Fernando Pessoa. 13 de Maio. 
[ apresentação ]</t>
  </si>
  <si>
    <t>Gouveia, L. (2013). The Library, the digital and the quest for open access. UFP's Erasmus Staff Week for Librarians. Workshop. Universidade Fernando Pessoa. 20th March.
[ slideshare ]</t>
  </si>
  <si>
    <t>Gouveia, L. (2012). Tudo mudou e o trabalho também. trabalhar no Séc. XXI. IGNITE Portugal, Desemprego e trabalhador. Galarias de Paris. Porto. 14 de Novembro.
[ slideshare ]</t>
  </si>
  <si>
    <t>Gouveia, L. (2012). Apresentação da 14ª Tomada de Posição do GAN. Cultura e Arte na SI - Indústrias Criativas. APDSI - GAN. Guimarães: auditório da Plataforma das Artes. 29 de Setembro.
[ slideshare ]</t>
  </si>
  <si>
    <t>Gouveia, L. (2012). O uso de dispositivos móveis no ensino superior tradicional: do fluxo de informação à organização de espaços. Workshop 2 anos do e-learning Lab da UL. Salão Nobre da Reitoria da Universidade de Lisboa. Universidade de Lisboa, 3 de Junho.
[ slideshare ]</t>
  </si>
  <si>
    <t>Gouveia, L. (2012). Educação Sustentável e Redes de Aprendizagem. Social Media Day. Mashable. Convento Corpus Christi. Vila Nova de Gaia, Portugal.
[ slideshare ]</t>
  </si>
  <si>
    <t>Gouveia, L. (2012). A Universidade e a Sociedade do Conhecimento (manifesto). 21º IGNITE Portugal. Galerias de Paris. 11 de Abril. Porto.
apresentação [ slideshare ] video [ youtube ]</t>
  </si>
  <si>
    <t>Gouveia, L. (2012). Participar na e descobrir informação: o digital e o papel da biblioteca. II Encontro Bibliotecas Escolares. Biblioteca Municipal de Barcelos. 9 de Março. Barcelos. 
apresentação [ slideshare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</si>
  <si>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t>
  </si>
  <si>
    <t>Gouveia, L. (2011). Participação no Dia Mundial de Redes. Exponor. 30 de Junho.</t>
  </si>
  <si>
    <t>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t>
  </si>
  <si>
    <t>Gouveia, L. (2010). Gerir conhecimento, com o território e com as pessoas. Palestra convidada no Seminário Emprego e Formação na Administração Local. Universidade do Minho, Braga, 3 de Dezembro. 
apresentação [ slideshare ]</t>
  </si>
  <si>
    <t>Gouveia, L. (2010). Dinamizar, aproximar e projectar o território com o digital. Conferência Cidades pela Retoma. 20-21 de Outubro. Clube Literário do Porto. Porto, 21 de Outubro.
apresentação [ slideshare ]</t>
  </si>
  <si>
    <t>Gouveia, L. (2010). Opensource e a Sociedade da Informação: uma crítica sobre os custos associados. Semana do Acesso Livre da Universidade Fernando Pessoa. Porto, 19 de Outubro.
apresentação [ slideshare ]</t>
  </si>
  <si>
    <t>Gouveia, L. (2010). Democracy for a New Age. World e.gov Forum. Presentation at the European e-democracy Awards. Hotel de Ville d’ Issy-les-Moulineaux. Paris. 14th October. 
apresentação [ slideshare ]</t>
  </si>
  <si>
    <t>Gouveia, L. (2010). Beyond digital cities: a territorial concern on how to cope with globilisation. Research Seminar. University East London (UEL). London, 15th September. 
presentation [ slideshare ]</t>
  </si>
  <si>
    <t>Gouveia, L. (2010). Uma reflexão crítica sobre a soberania da escola e do professor face às TIC. Seminário no Mestrado TIC na Educação. Universidade Portucalense. Porto, 11 de Setembro de 2010. 
apresentação [ slideshare ]</t>
  </si>
  <si>
    <t>Gouveia, L. (2010). O tempo das redes. Apresentação no 7º Ignite Portugal. IGNITE. The Hub. Porto, 14 de Julho. 
apresentação [ slideshare ]</t>
  </si>
  <si>
    <t>Gouveia, L. (2010). Uma reflexão crítica sobre a Web Social e o seu uso no ensino superior. LEA – Workshop sobre meios não convencionais de comunicação com estudantes. Faculdade de Engenharia da Universidade do Porto. Porto, 7 de Julho. 
apresentação [ slideshare ]</t>
  </si>
  <si>
    <t>Gouveia, L. (2010). Ousar e fazer nas (e com) redes sociais! Portugal Social Media Day. UPTEC – Parque de Ciência e Tecnologia da Universidade do Porto. Porto, 30 de Junho. 
apresentação [ slideshare ]</t>
  </si>
  <si>
    <t>Gouveia, L. (2010). Local e-government. A governação digital na autarquia. Palestra no Mestrado em Gestão, do ramo de Administração Pública. Escola Superior de Gestão do Instituto Politécnico da Guarda. Guarda, 25 de Junho. 
apresentação [ slideshare ]</t>
  </si>
  <si>
    <t>Gouveia, L. (2010). Tecnologia e Educação – como? Seminário Educar Hoje. O futuro da educação começa hoje. Escola Secundária/3 de Carregal do Sal, Carregal do Sal, 5 de Junho. 
apresentação [ slideshare ]</t>
  </si>
  <si>
    <t>Gouveia, L. (2010). Governação dos Sistemas e Tecnologias de Informação na Administração Pública. Audioconferência: Instituto Nacional de Administração. Lisboa, 14 de Maio. 
presentation [ slideshare ]</t>
  </si>
  <si>
    <t>Gouveia, L. (2010). Informação e conhecimento – o lado social da tecnologia. 1º Workshop de Ciências da Informação. Universidade Fernando Pessoa. Porto, 7 de Maio.
apresentação [ slideshare ]</t>
  </si>
  <si>
    <t>Gouveia, L. (2010). A escola e os novos desafios - A escola, o digital e o professor – um triângulo amoroso. Think 2010. Agrupamento de Escolas Fajões. Fajões, 26 de Abril.
apresentação [ slideshare ]</t>
  </si>
  <si>
    <t>Gouveia, L. (2010). What’s up with the physical dimension in the digital world? Global Ignite week. IGNITE. Escola Superior de Gestão do Porto. Porto, 4 de Março. 
presentation [ slideshare ]</t>
  </si>
  <si>
    <t>Gouveia, L. (2010). Revisitar o estudo APDSI. Modelos de Governação. FESI, Jantar Executivo. Ordem dos Engenheiros. Lisboa, 27 de Janeiro. 
apresentação [ slideshare ]</t>
  </si>
  <si>
    <t>Gouveia, L. (2009). Viver o digital com novas competências. Ignite Portugal. IGNITE #1. 15 de Outubro. Lisboa. 
apresentação [ slideshare | video ]</t>
  </si>
  <si>
    <t>Gouveia, L. (2009). UFP ongoing experience with Sakai. The last three years. Learning Management Systems (LMS) usage in Higher Education Institutions´ Meeting. ISCAP, Porto 28th May.</t>
  </si>
  <si>
    <t>Gouveia, L. (2009). Evolução da Internet &amp; Web. Apresentação na Universidade Fernando Pessoa. 19 e 21 de Maio.
apresentação [ pdf (1340KB)]</t>
  </si>
  <si>
    <t>Gouveia, L. (2008). Novas abordagens para a Gestão do Conhecimento. Palestra sobre Gestão do Conhecimento. ISLA. Porto, 23 de Maio.
apresentação [ pdf (1187KB)]</t>
  </si>
  <si>
    <t>Gouveia, L. (2009). Modelos de Governação na Sociedade da Informação e do Conhecimento. Apresentação de Estudo APDSI. Associação para a Promoção e Desenvolvimento da Sociedade da Informação. Calouste Gulbenkian. Lisboa. 21 de Abril. 
Apresentação [ pdf (660KB)]</t>
  </si>
  <si>
    <t>Gouveia, L. (2008). Uma perspectiva sobre o Negócio Electrónico. Seminário sobre Negócio Electrónico. ISCAP. Porto, 21 de Maio. 
apresentação [ pdf (490KB)]</t>
  </si>
  <si>
    <t>Gouveia, L. (2008). As Tecnologias e as Pessoas: um testemunho próprio da Sociedade da Informação. X Jornadas do Departamento de Sociologia. O mundo em mudança. Universidade de Évora. Évora, 15 de Maio. 
apresentação [ pdf (807KB)]</t>
  </si>
  <si>
    <t>Gouveia, L. (2008). Território: implicações do digital. Seminário Governação na era digital. Tâmega Digital. Amarante. 27 de Fevereiro.
apresentação [ pdf ( 401KB) ]</t>
  </si>
  <si>
    <t>Gouveia, L. (2007). Web 2.0: finalmente a Web somos nós. Feira das Carreiras. Colégio Luso Internacional do Porto (CLIP). 2 de Março.
apresentação [ pdf (2,29MB) ]</t>
  </si>
  <si>
    <t>Gouveia, L. (2007). Apresentação do Projecto Comunidade Digital de Professores. Auditório do Centro de Formação da Escola Secundária com 3º Ciclo Dr. Joaquim Gomes Ferreira Alves. 7 de Fevereiro.
apresentação [ pdf (183KB) ]</t>
  </si>
  <si>
    <t>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t>
  </si>
  <si>
    <t>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t>
  </si>
  <si>
    <t>Gouveia, L. (2006). Flexibilidade do trabalho, produtividade e gestão empresarial: uma visão tecnológica. Seminário Modalidade Flexíveis de Trabalho AEP – 21 de Setembro de 2006.
apresentação [ pdf (852KB)]</t>
  </si>
  <si>
    <t>Gouveia, L. e Gouveia, F. (2006). UFP-UV: plano de acção do terceiro ano de actividade. Anfiteatro da Saúde. Porto, 9 de Junho.
apresentação [ pdf (480KB)]</t>
  </si>
  <si>
    <t>Gouveia, L. (2006). Gestão da Informação: oportunidade ou necessidade. Apresentação no IESF. Vila Nova de  Gaia, 12 de Abril. 
apresentação [ pdf (462KB)]</t>
  </si>
  <si>
    <t>Gouveia, L. (2006). IT Governance - uma janela de oportunidades. 14º ERSI - A Governança dos SI/TI na Administração Pública: O quê, como, onde e porquê? Hotel do Vimeiro, 22 de Março. 
apresentação [ pdf (357KB)]</t>
  </si>
  <si>
    <t>Gouveia, L. (2006). Gestão de Projectos Multimédia. Aula convidada na Pós Graduação de Sistemas de Informação. Escola de Ciência e Tecnologia. Instituto Politécnico de Castelo Branco. 23 de Fevereiro.
apresentação [ pdf (450KB) ]</t>
  </si>
  <si>
    <t>Gouveia, L. (2005). Uma oportunidade para reinventar o território. Cidades e Regiões Digitais: o que falta fazer. Algébrica. Hotel dos Templários. Tomar. 23 de Novembro.
apresentação [ pdf (708KB)]</t>
  </si>
  <si>
    <t>Gouveia, F. e Gouveia, L. (2005). Apresentação da Plataforma de e-learning da UFP. Comemorações do Dia da Faculdade de Ciências da Saúde. Universidade Fernando Pessoa. 8 de Outubro.
apresentação [ pdf (720KB) ]</t>
  </si>
  <si>
    <t>Gouveia, L. (2005). Ensino Virtual  e e-learning: a experiência da Universidade Fernando Pessoa. Jornadas Prof2000. Centro Cultural e de Congressos. 27 de Abril. Aveiro.
apresentação [ pdf (292KB) ]</t>
  </si>
  <si>
    <t>Gouveia, L. (2005). Sociedade da Informação: a quanto obrigas! 12a Jornadas Licenciatura em Informática de Gestão. 21 de Abril - Auditório Nobre. Universidade do Minho Guimarães.
resumo da apresentação [ gif (57 KB) ]</t>
  </si>
  <si>
    <t>Gouveia, L. (2005).  Cidades e Regiões Digitais. Seminário no âmbito do Curso de Alta Direcção da Administração Pública do INA. Parque Tecnológico da Maia, 4 de Janeiro de 2005
apresentações [ pdf (655KB) e pdf (2540KB) ]</t>
  </si>
  <si>
    <t>Gouveia, L. (2004). O digital, a logística e o território. Curso Logística e Gestão Industrial. Programa Aveiro Norte. Universidade de Aveiro. Sala do Senado da Reitoria, 16 de Outubro.
apresentação [ pdf (117KB)]</t>
  </si>
  <si>
    <t>Gouveia, L. (2004). O Gaia Global e o serviço ao munícipe. Interface, Jornadas Administração Local. Algébrica. Braga, 7 de Outubro.
apresentação [ pdf (1,32MB)]</t>
  </si>
  <si>
    <t>Gouveia, L. (2004). O Projecto Gaia Global como integrador de serviços da autarquia. Seminário Indústria das Comunicações: dos Fornecedores aos Utilizadores. APDC - Associação Portuguesa para o Desenvolvimento das Telecomunicações.  6 de Maio. Porto.</t>
  </si>
  <si>
    <t>Gouveia, L. (2003). O projecto Gaia Global. Evento de apresentação do projecto Viseu Digital. Lusitânia - ADR.  Viseu, 19 de Dezembro.</t>
  </si>
  <si>
    <t>Gouveia, L. (2003). Gaia Global. Sharing Leadership, 9ª Reunião de Utilizadores Quatro 2003. Palácio Sotto Maior. Figueira da Foz. 9 de Outubro.</t>
  </si>
  <si>
    <t>Gouveia, L. (2003). e-munícipe: Gaia Global. Cidades e Regiões Digitais: O Essencial. Fórum Administração Pública Local. Auditório da Reitoria da Universidade de Aveiro. 2 de Outubro.</t>
  </si>
  <si>
    <t>Gouveia, L. (2003). Gaia Global: informação e serviços para o munícipe. Lisf - Lisbon Information Society Forum. FIL, Lisboa. 24 de Setembro.</t>
  </si>
  <si>
    <t>Gouveia, L. (2003). Autarquias Digitais: promessas e desafios. Internet – como democratizar o seu uso e as suas práticas, 26-28 de Junho. Câmara Municipal de Abrantes. 27 de Junho, Abrantes.
texto [ pdf (24KB)]</t>
  </si>
  <si>
    <t>Gouveia, L. (2003). E-learning: Oportunidades e Desafios para o Ensino Superior.Seminário O E-Learning em Contexto de Ensino Superior. Universidade Fernando Pessoa. 12 de Junho de 2003. Porto.
apresentação [ pdf (160KB)]</t>
  </si>
  <si>
    <t>Gouveia, L. (2003). Cidades e Regiões Digitais: questões e desafios no Digital. Apresentação no Workshop sobre Cidades e Regiões Digitais, Auditório da Universidade Fernando Pessoa. 6 de Junho de 2003. Porto.
apresentação [ pdf (650KB)]</t>
  </si>
  <si>
    <t>Gouveia, L. (2003). As cidades digitais e o Gaia Global: o método NVAT. DEGEI - Universidade de Aveiro. 23 de Maio de 2003. Aveiro.</t>
  </si>
  <si>
    <t>Gouveia, L. (2003). As cidades digitais e o Gaia Global. Apresentação no IPCA - Instituto Superior do Câvado e Ave. 16 de Maio de 2003. Barcelos.</t>
  </si>
  <si>
    <t>Gouveia, L. (2003). O Gaia Global: conceitos e diferenciação. 4ª Reunião das Cidades e Regiões Digitais. 14 de Maio de 2003. Salão Nobre da Câmara Municipal de Gaia. Gaia.
apresentação [ pdf (972KB)]</t>
  </si>
  <si>
    <t>Gouveia, L. (2003). Gaia Digital, Ligar o real com o virtual. Cidades e Regiões Digitais - 1º Encontro Nacional 2003. 14 de Março de 2003, Auditório Municipal de Mirandela.
apresentação [ pdf (396KB)]</t>
  </si>
  <si>
    <t>Gouveia, L. (2003). Cidades Digitais: o caso do Gaia Digital. Ciclo de Palestras da  Área da Informática 2002/03. Palestra nº 2. 11 de Março de 2003. Salão Nobre. Universidade Fernando Pessoa.
apresentação [ pdf (892KB)]</t>
  </si>
  <si>
    <t>Gouveia, L. (2003). Do Gaia Digital ao Gaia Global. 1º Encontro de Garagem. Gaia Global. 22 de Fevereiro. Energaia, Gaia.</t>
  </si>
  <si>
    <t>Gouveia, L. (2002). Projecto Gaia Digital, do modelo ao método de trabalho. 30 de Julho de 2002. IDIT, Europarque, Vila da Feira.</t>
  </si>
  <si>
    <t>Gouveia, L. (2002). Projecto Gaia Digital, o concelho de Gaia no espaço digital. 26 de Julho de 2002. Jantar de entrega de diplomas de MBA do IESF. Valadares, Gaia. 
resumo [ pdf (68KB)]</t>
  </si>
  <si>
    <t>Gouveia, L. (2002). Gaia Digital: um cálice de ideias. 5 de Julho de 2002. Apresentação do Projecto Gaia Digital. IDIT, Europarque, Vila da Feira.</t>
  </si>
  <si>
    <t>Gouveia, L. (2002). Sociedade da informação: desafios e oportunidades para as autarquias. A sociedade da informação e do conhecimento e o projecto Gaia Digital. 18 de Junho de 2002. Auditório da Assembleia Municipal de Gaia, Gaia. Apresentação no âmbito do Programa Foral.</t>
  </si>
  <si>
    <t>Gouveia, L. (2002). Ensinar a aprender, ensinar e aprender. Competências para a Sociedade da  Informação e do Conhecimento. Seminário Interacto. Centro Multimeios de Espinho, Espinho, 9-10 de Maio. Apresentação convidada, 10 de Maio.</t>
  </si>
  <si>
    <t>Gouveia, L. (2002). Projecto Gaia Digital. O concelho de Gaia no Espaço Digital. 9 de Janeiro de 2002. Parque Biológico, Gaia. Apresentação no âmbito do Programa Foral.</t>
  </si>
  <si>
    <t>Gouveia, L. (1999). CELTIC - Collaborative Electronic Language Translation for Information Control. Primeiro Ciclo de Seminários Internos. Departamento de Ciência e Tecnologia, Universidade Fernando Pessoa. 20 de Maio.presentation [ pdf (187KB) ]</t>
  </si>
  <si>
    <t>Gouveia, L. (1999). Internet e Teletrabalho. 8º Jornadas ESPE. Hotel Praia Golfe, ESPE. Espinho, 13-14 de Maio.
transparências: [ pdf (162KB) ]</t>
  </si>
  <si>
    <t>Gouveia, L. (1999). As tecnologias de informação e comunicação. Potencial de aplicação no ensino, formação e treino. Seminário integrado na Semana Académica da UFP, Porto. 10 de Março.
transparências: [ pdf (16KB) ]</t>
  </si>
  <si>
    <t>Gouveia, L. (1998). Actividade desenvolvida no âmbito do projecto dos portáteis
Departamento de Informática da Universidade do Minho, Polo de Guimarães, (apresentação por convite). Guimarães, 7 de Outubro.
transparências: [ pdf (430KB) ]</t>
  </si>
  <si>
    <t>Gouveia, L. (1998). A Internet como aliado do professor, uma experiência de uso de páginas Web. Acção de sensibilização à Internet, Escola Sec. Dr Manuel Laranjeira. Espinho, 29 de Junho.
texto [ pdf (18KB) ]</t>
  </si>
  <si>
    <t>Gouveia, L. (1998). Internet, Publicidade e Ética. 3º Workshop de Comunicação. Hotel Praia Golfe, ESPE. Espinho, 5 - 6 de Maio.
texto: [ HTML ] transparências: [ HTML ]</t>
  </si>
  <si>
    <t>Gouveia, L. (1997). NetLab, work at Fernando Pessoa. Away Day, CSEG Group, Lancaster University. Lancaster, UK, November.apresentação [ pdf (246KB) ]</t>
  </si>
  <si>
    <t>Gouveia, F. e Gouveia, L. (1996). Educação activa: manifesto para uma atitude pedagógica. 2º Conferência sociedade de informação interactiva, reinventar a educação. Funchal.
[ pdf ]</t>
  </si>
  <si>
    <t>Gouveia, L. (1996). O Centro de Recursos Multimediáticos. II Workshop de Informática, Perspectivar o Futuro, UFP. Porto.
apresentação [ pdf (50KB)]</t>
  </si>
  <si>
    <t>Gouveia, L. (1996). NetLab, explorar o potencial da rede universitária. Divulgação do projecto dos portáteis - UFP. Porto.
apresentação [ pdf (143KB)]</t>
  </si>
  <si>
    <t>Gouveia, L. (1996). Realidade Virtual: novo mundo ou mundos alternativos. ISTEC, (apresentação por convite). Porto, Fevereiro. 
apresentação [ pdf ]</t>
  </si>
  <si>
    <t>Gouveia, L. (1996). A rede universitária. Divulgação do projecto dos portáteis - UFP. Porto, Janeiro. 
apresentação [ pdf ]</t>
  </si>
  <si>
    <t>Gouveia, L. (1994). Aprendizagem Multimédia. Seminário Educação e Multimédia, Instituto Multimédia. Porto.
apresentação [ pdf ]</t>
  </si>
  <si>
    <t>Gouveia, L. (1991). Soluções Videotex: da oportunidade à implementação. Soluções Videotex, IBM (apresentação profissional). Porto.</t>
  </si>
  <si>
    <t>Gouveia, L. (1990). Soluções com recurso ao videotex. Sistemas UNIX para Agentes Philips, Associação Comercial Portuense, (apresentação profissional). Porto.</t>
  </si>
  <si>
    <t>Gouveia, L. et al. (2020). Participação em painel Smart Cities - Repensar as cidades... e a Mobilidade. Primeiras Jornadas Universitárias para a Sustentabilidade. 15 de Janeiro. Salão Nobre da UFP. Universidade Fernando Pessoa.</t>
  </si>
  <si>
    <t>Gouveia, L. (2015). O papel da Universidade para o Engenheiro Informático. Moderação da Tertúlia promovida pelo Núcleo de Informática da UFP no âmbito da Semana de Engenharia. Auditório da UFP, Porto. Universidade Fernando Pessoa. 23 de Abril.</t>
  </si>
  <si>
    <t>Gouveia, L. (2014). Segurança Informática ou Segurança da Informação? Moderação da Mesa Redonda promovida pelo Núcleo de Informática da UFP. Auditório da UFP, Porto. Universidade Fernando Pessoa. 14 de Maio.
[ apresentação ]</t>
  </si>
  <si>
    <t>Gouveia, L. (2013). Desafios para as Bibliotecas de Ensino Superior em Portugal. Participação em mesa redonda . 2º Encontro de Bibliotecas do Ensino Superior. Universidade de Aveiro, Aveiro. 7 de Junho 
[ apresentação ]</t>
  </si>
  <si>
    <t>Gouveia, L. (2013). Redes e Territórios. Empresas, pessoas, valor e felicidade. Conversas IN. Auditório da ADRAT, Associação de Desenvolvimento da Região do Alto Tâmega. Chaves. 31 de Maio.</t>
  </si>
  <si>
    <t>Gouveia, L. (2012). Debate Teaching informatics: Teach what? To whom?. Jornadas de Ensino de Informática. Faculdade de Ciências Sociais. Universidade Católica Portuguesa. 14h June. 
[ slideshare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</si>
  <si>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t>
  </si>
  <si>
    <t>Gouveia, L. (2010). Desafios da Gestão da Informação e a questão da soberania no digital: da escola, do professor e onde o aluno fica em tudo isto… Encontro e-Learning@FEUP. FEUP. Porto, 6 de Maio. 
apresentação [ slideshare ]</t>
  </si>
  <si>
    <t>Gouveia, L. (2010). O digital e o espaço físico. II Conferência e-learning “Onde a Tecnologia Encontra a Aprendizagem”. Futurália. FIL – Parque das Nações. Lisboa, 12 de Março. 
apresentação [ slideshare ]</t>
  </si>
  <si>
    <t>Gouveia, L. (2009). Depois dos 15 primeiros anos, quais os desafios para os próximos 5? Edubits. Universidade de Aveiro. 6 de Julho.
apresentação [ pdf (1450KB)]</t>
  </si>
  <si>
    <t>Gouveia, L. (2007). Biblioteca para quem, biblioteca para quê?. Painel 2 “Novos Desafios para a gestão da Biblioteca Escolar” – 20 de Outubro de 2007. 1º Encontro da Rede de Bibliotecas Escolares do Porto (RBEP) – “Ler para Ser”. 20 de Outubro.
apresentação [ pdf (408KB) ]</t>
  </si>
  <si>
    <t>Gouveia, L. (2007). e-espaço para e-actividades. Painel III - Espaço público e participação. Workshop Cidades Digitais, o dia seguinte. 24 de Maio de 2007. Universidade Fernando Pessoa.
apresentação [ pdf (219KB) ]</t>
  </si>
  <si>
    <t>Gouveia, L. (2007). Territórios Inteligentes: o digital, a rede, as pessoas e o conhecimento. Painel I - A perspectiva do Território. Workshop Cidades Digitais, o dia seguinte. 23 de Maio de 2007. Universidade Fernando Pessoa.
apresentação [ pdf (607KB) ]</t>
  </si>
  <si>
    <t>Coelho, D. et al. (2006).Repensar o Futuro da Sociedade da Informação. Segurança, Privacidade e Identidade Digital. Documento final. 5º Fórum da Arrábida. 20 e 21 de Outubro de 2006. APDSI. Arrábida.
texto [ pdf (1,51MB)]</t>
  </si>
  <si>
    <t>Gouveia, L. e Gouveia, F. (2006). A preocupação com os Sistemas de Informação. Jornadas Internas: O Papel e a Acção da Universidade nos dias de hoje. UFP. Anfiteatro da Saúde. Porto, 9 de Junho.
apresentação [ pdf (64KB)]</t>
  </si>
  <si>
    <t>Gouveia, L. (2006). A gestão da Informação: em busca do equilíbrio perdido. Simpósio Equilíbria. Auditório da Universidade Fernando Pessoa. 23 de Março de 2006.
apresentação [ pdf (180KB)]</t>
  </si>
  <si>
    <t>Gouveia, L. (2005). Uso de meios digitais no contexto do ensino superior. Evento de ensino virtual e e-learning. 28 - 29 de Janeiro de 2005. Universidade Fernando Pessoa.
apresentação [ pdf (111KB) ]</t>
  </si>
  <si>
    <t>Gouveia, L. (2003). A mobilidade no Gaia Global: conceitos e aplicações. Festa da Mobilidade. Casa dos Ferradores. Gaia, 15 de Novembro.</t>
  </si>
  <si>
    <t>Gouveia, L. (2003). Informáticos versus Documentalistas face à Sociedade da Informação. WORKSHOP "Arquivistas versus Informáticos: cooperação (e) ou concorrência?" Arquivo Distrital do Porto. 29 de Julho, Porto.</t>
  </si>
  <si>
    <t>Gouveia, L. (2001) Contribuição para o enquadramento de práticas de e-Learning. Integrado no debate O Livro, as Bibliotecas e o Ensino: a Mediação Digital. 71ª Feira do Livro do Porto. Auditório do Pavilhão Rosa Mota, 8 de Junho.
texto: [ pdf (32KB) ]</t>
  </si>
  <si>
    <t>Outros media / Other media</t>
  </si>
  <si>
    <t>textos e artigos nos media / texts and articles on media</t>
  </si>
  <si>
    <t>Barros, V. e Gouveia, L. (2019). Por que mensuar os impactos sociais e ambientais dos pequenos negócios eleva a competitividade?. Dezembro. SEBRAE, Serviço Brasileiro de Apoio às Micro e Pequenas Empresas. Sebrae Nacional. Brasilia. ISBN 978-65-5021-052-6.
[ texto ]</t>
  </si>
  <si>
    <t>Rocha, D. e Gouveia, L. (2020). Luis Borges Gouveia: o que Brasil e Portugal têm em comum no ensino superior. Blogue. Desafios da Educação. Grupo A. 
[ post ]</t>
  </si>
  <si>
    <t>Rocha, C. e Gouveia, L. (2019). Uso de Live Stream em Ensino Superior Stricto Sensu no Brasil/UFPR. Proposta Metodológica de Avaliação do sistema e os Resultados Preliminares. In Coelho, B. (org). (2019). CONCITEC: "The Convergence of Times". Livro de resumos. ebook Kindle. LTI Digital. ISBN: 9781652486442. ASIN: B0839J5W5J. 
[ ebook ]</t>
  </si>
  <si>
    <t>Rocha, D. e Gouveia, L. (2019). Curadoria Digital de Conteúdo EaD para o Ensino Superior: proposta e desafios. In Coelho, B. (org). (2019). CONCITEC: "The Convergence of Times". Livro de resumos. ebook Kindle. LTI Digital. ISBN: 9781652486442. ASIN: B0839J5W5J. 
[ ebook ]</t>
  </si>
  <si>
    <t>Rocha, D. e Gouveia, L. (2019). Gestão do Conhecimento e Produção de Conteúdo para a Educação a Distância: Estado da Arte em um período de 14 anos. In Coelho, B. (org). (2019). CONCITEC: "The Convergence of Times". Livro de resumos. ebook Kindle. LTI Digital. ISBN: 9781652486442. ASIN: B0839J5W5J.[ ebook ]</t>
  </si>
  <si>
    <t>Cavaignac, S.; Gouveia, L. e Reis, P. (2019). Uso do Kahoot e de estratégia de Gamificação no Ensino Superior: relato de experiência da aplicação do peer instruction como metodologia de ensino. In Coelho, B. (org). (2019). CONCITEC: "The Convergence of Times". Livro de resumos. ebook Kindle. LTI Digital. ISBN: 9781652486442. ASIN: B0839J5W5J. 
[ ebook ]</t>
  </si>
  <si>
    <t>Oliveira, I. e Gouveia, L. (2019).  Uma Crítica ao Ensino em Sala de Aula. 25 de Setembro. Imperium, Revista Científica Eletronica. Edição 001 2019- ISNI: 0000 0004 6805 6000.
[ paper ]</t>
  </si>
  <si>
    <t>Oliveira, I. e Gouveia, L. (2019). Postulados para uma Educação a Distância: uma tese para um curso de Teologia. 14 de Junho. Imperium, Revista Científica Eletronica. Edição 001 2019- ISNI: 0000 0004 6805 6000.[ paper ]</t>
  </si>
  <si>
    <t>Oliveira, I. e Gouveia, L. (2019). Postulações para uma nova proposta em Educação á Distância: Uma nova Grade de Ensino e Tese para um Curso de Teologia. 15 de Junho. Imperium, Revista Científica Eletronica. Edição 001 2019- ISNI: 0000 0004 6805 6000.[ paper ]</t>
  </si>
  <si>
    <t>Oliveira, I. e Gouveia, L. (2019). Projeto Científico: Postulados para uma educação a distância: uma tese para um curso de Teologia. 14 de Junho. Imperium, Revista Científica Eletronica. Edição 001 2019- ISNI: 0000 0004 6805 6000.[ paper ]</t>
  </si>
  <si>
    <t>Barros, V. e Gouveia, L. (2019). Inovação Social, Impacto, Escala e Desenvolvimento Sustentável. Fevereiro. SEBRAE, Serviço Brasileiro de Apoio às Micro e Pequenas Empresas. Sebrae Nacional. Brasilia. 
[ texto ]</t>
  </si>
  <si>
    <t>Cordeiro, S. e Gouveia, L. (2018). RGPD: o novo pesadelo das empresas?. Artigo de opinião. O Gaiense. Semanário de Vila Nova de Gaia., Página 9. 25 de Maio. 
[ Recorte do jornal ]</t>
  </si>
  <si>
    <t>Araújo, A. e Gouveia, L. (2018). As Tecnologias de Informação e Comunicação aplicadas ao ensino. Artigo acadêmico.  23 de Março. Administradores.com.
[ handle ]</t>
  </si>
  <si>
    <t>Araújo, A. e Gouveia, L. (2018). Pressupostos sobre a pesquisa científica e teste piloto. Artigo acadêmico. 13 de Março. Administradores.com. 
[ handle ]</t>
  </si>
  <si>
    <t>Coelho, J. et al. e Gouveia, L. (2013). As TIC e a Produtividade: a escassez de investimento no software em Portugal. 16ª Tomada de Posição do Grupo de Alto Nível da APDSI. Associação para  a Promoção e Desenvolvimento da Sociedade da Informação. Lisboa, 3 de Outubro.
[ texto ]</t>
  </si>
  <si>
    <t>Coelho, J. et al. e Gouveia, L. (2013). Transparência e Sigilo na Administração Pública: A questão dos dados fiscais. 15ª Tomada de Posição do Grupo de Alto Nível da APDSI. Associação para  a Promoção e Desenvolvimento da Sociedade da Informação. Lisboa, 24 de Abril.
[ texto ]</t>
  </si>
  <si>
    <t>Coelho, J. et al. e Gouveia, L. (2012). Cultura e Arte na SI. Indústrias Criativas. 14ª Tomada de Posição do Grupo de Alto Nível da APDSI. Associação para  a Promoção e Desenvolvimento da Sociedade da Informação. Lisboa, 29 de Setembro.
[ texto ]</t>
  </si>
  <si>
    <t>Gouveia, L. (2012). Prefácio à 5ª edição. Ribeiro, N. (2012). Multimédia e Tecnologias Interativas. Lisboa: FCA - Editora de Informática. 5ª Edição, pp XXXI-XXXIII.  ISBN 9789727227440.</t>
  </si>
  <si>
    <t>Coelho, J. et al. e Gouveia, L. (2012). A Estratégia do XIX Governo Constitucional para as TIC: Racionalizar para Melhorar? 13ª Tomada de Posição do Grupo de Alto Nível da APDSI. Associação para  a Promoção e Desenvolvimento da Sociedade da Informação. Lisboa, 11 de Abril.
[ texto ]</t>
  </si>
  <si>
    <t>Gouveia, L. (2011). Texto sobre a inutilidade. In Duarte, F. e Bruinsma, M. (2011). Sem uso/Useless. EXD'11. Lisboa: Experimenta Design/Babel. 
[ link ]</t>
  </si>
  <si>
    <t>Gouveia, L. (2007). Uma reflexão sobre capacitar o território por tecnologia. Suplemento de Economia. Diário do Minho. 10 de Julho.
texto [ pdf (385KB) ]</t>
  </si>
  <si>
    <t>Gouveia, L. (2007). Território, conhecimento e competências: um triângulo a fixar. Suplemento de Economia. Diário do Minho. 10 de Julho.
texto [ pdf (378KB) ]</t>
  </si>
  <si>
    <t>Gouveia, L. (2007). Tirar partido dos Sistemas de Informação no contexto actual. Suplemento de Economia. Diário do Minho. 19 de Junho.
texto [ pdf (372KB) ]</t>
  </si>
  <si>
    <t>Gouveia, L. (2006). Afinal não é assim tão caro ou uma história sobre o conhecimento. UFP, Novembro.
texto [ pdf ]</t>
  </si>
  <si>
    <t>Gouveia, L. (2006). A necessidade de capacitar conhecimento para o território. Revista e-ciência, T-Media. 19 de Outubro, pp 13-14.
texto [ pdf (20KB)]</t>
  </si>
  <si>
    <t>Gouveia, L. (2005). Cidades e Regiões Digitais: no limiar da maioridade. Artigo de opinião publicado na revista e-Ciência, nº 039 de 16 de Junho de 2005, pp 34-35.
texto [ pdf (36KB) ]</t>
  </si>
  <si>
    <t>Gouveia, L. (2005). A minha homepage faz dez anos! Newsletter Professores Inovadores. Microsoft Educação. Novembro.
texto [ pdf (104KB)]</t>
  </si>
  <si>
    <t>Gouveia, L. (2004). A Sociedade da Informação e as autarquias digitais. Revista Autárquica. nº 1 (Ano 1), Novembro, pp 81-85.</t>
  </si>
  <si>
    <t>Gouveia, L. (2004). Sociedade da Informação. Notas de contribuição para uma definição operacional. UFP, Novembro.
texto [ pdf ]</t>
  </si>
  <si>
    <t>Gouveia, L. (2004). Como analisar um caso de estudo. UFP, Novembro.
texto [ pdf ]</t>
  </si>
  <si>
    <t>Gouveia, L. e Xavier, J. (2004). Serviços Municipais de Integração: uma perspectiva de integração. Quem é Quem? Revista Algébrica. Algébrica, pp 22-24.
texto: [ pdf (1,2MB) ]</t>
  </si>
  <si>
    <t>Gouveia, F. e Gouveia, L. (2003). Gestão da Informação: conceitos e importância. Magazine Centroatlântico.pt. Edição nº 3, Outubro 2003.</t>
  </si>
  <si>
    <t>Gouveia, J. e Gouveia, L. (2002). Cidades Digitais. Magazine Centroatlântico.pt. Outubro 2002, pp 14-16.
resumo [ pdf (1,24MB)]</t>
  </si>
  <si>
    <t>Gouveia, L. e Gouveia, J. (2002). As cidades digitais e o Gaia Digital. 28 de Setembro de 2002. Cadernos de Informática - Autarquias Digitais, Suplemento do Semanário Expresso de 28 de Setembro.</t>
  </si>
  <si>
    <t>Gouveia, L. (2002). Competências críticas para a Sociedade da Informação e do conhecimento. Excesso de Informação. UFP, Janeiro.
texto [ pdf ]</t>
  </si>
  <si>
    <t>Gouveia, L. (2001). Tecnologias de Informação. Perspectivas tecnológica, produtos e serviços e de gestão. UFP, Outubro.
texto [ pdf ]</t>
  </si>
  <si>
    <t>Gouveia, L. (1998). Internet - a emergência do novo social. UFP, Fevereiro.
Adaptação para Web de texto de Agosto de 1996. 
texto [ HTML ]</t>
  </si>
  <si>
    <t>Gouveia, L. (1998). A humanização das Tecnologias de Informação. UFP, Fevereiro. 
texto [ HTML ]</t>
  </si>
  <si>
    <t>Gouveia, L. (1997). A Internet, oportunidade ou ameaça ao Professor? Artigo aceite para a Revista do Departamento de Ciências da Administração da UFP. Porto, Dezembro. 
texto [ HTML ]</t>
  </si>
  <si>
    <t>Gouveia, L. (1997). O projecto, a gestão de projectos e o Gestor de Projectos. UFP, Maio de 1997. 
texto [ HTML ]</t>
  </si>
  <si>
    <t>Gouveia, L. (1997). A redacção de documentos científicos, dicas para a escrita de textos de relatórios e monografia. UFP, Abril. 
texto [ HTML ]</t>
  </si>
  <si>
    <t>Gouveia, L. (1996). E agora, vou ter de escrever! UFP, Dezembro. 
texto [ HTML ]</t>
  </si>
  <si>
    <t>Gouveia, L. (1991). O Videotex: um serviço actual? Seminário Sobre Ética e Carreira Informática. Revista do 2º seminário ALIUP. Fórum da Maia, 25 e 26 de Outubro, pp 8-9.  
texto [ pdf ]</t>
  </si>
  <si>
    <t>Gouveia, L. (1989). Um testemunho. Artigo publicado em Janeiro de 1989, na Revista Mensal de Informática "O Computador", nº4. 
texto [ pdf ]</t>
  </si>
  <si>
    <t>palestras, entrevistas e vídeos / talks, interviews and video content</t>
  </si>
  <si>
    <t>Gouveia, L. (2019). A Gestão da Informação no tempo do Digital. Palestra realizada no CIFLOMA-UFPR. Curitiba, Universidade Federal do Paraná, Brasil. 24 de Julho. Produções FRPPG/UFPR.
[ youtube]</t>
  </si>
  <si>
    <t>Gouveia, L. (2019). UFPR TV Desafios da Universidade no Mundo Digital Especial. Participação . Programa emitido a 13 de Julho de 2019 (gravado a 25 de junho). Curitiba, Brasil.
[ youtube ]</t>
  </si>
  <si>
    <t>Gouveia, L. (2007). Entrevista sobre o Blogue pessoal (lmbg.blogspot.com). Programa X-Blog. 2ª Parte. Invicta TV. Porto. Outubro.
Video [ youtube (9:33) ]</t>
  </si>
  <si>
    <t>Gouveia, L. (2007). Do território digital à governação de pessoas e do conhecimento. 1ª Jornadas de Informática - Administração Digital. Escola Superior de Tecnologia. Câmara Municipal de Barcelos. 30 de Março.
texto [ pdf (43KB) ]</t>
  </si>
  <si>
    <t>Gouveia, L. (2006). Entrevista de opinião sobre o plano tecnológico. Revista Media XXI. Ano X, n85, pp 26-28. 
texto [ pdf (20KB)]</t>
  </si>
  <si>
    <t>Gouveia, L. (2005). Comemorando o décimo ano de funcionamento das páginas LMBG na World Wide Web. Fevereiro.
apresentação [ pdf ]</t>
  </si>
  <si>
    <t>Gouveia, L. (2004). Entrevista sobre o projecto Gaia Global. Revista e-Ciência. Grupo T-Media. nº29, 27 de Maio.
texto [ pdf ]</t>
  </si>
  <si>
    <t>Gouveia, L. (2002). Ensinar a aprender, ensinar e aprender. Competências para a Sociedade da  Informação e do Conhecimento. Seminário Interacto. Centro Multimeios de Espinho, Espinho, 9-10 de Maio.
paper [ pdf (17KB)]</t>
  </si>
  <si>
    <t>Gouveia, L. (2001) E-learning: o conceito EFTWeb. Evento Microsoft.net. Anfiteatro do IETA. Universidade de Aveiro, Aveiro, 25 de Maio.
texto: [ pdf (203KB) ]</t>
  </si>
  <si>
    <t>Gouveia, L. (2001) Está na altura de rever o que ensinamos e como aprendemos. Conferência As Tic. Multimédia na Educação. Integrado no evento 2001 Odisseia Multimédia.  Forum da Maia, Maia, 26 de Abril.
texto: [ pdf (53KB) ]</t>
  </si>
  <si>
    <t>Gouveia, L. (2000). Eu, Nós e o Valor da diferença. Painel sobre a Sociedade da Informação. 9º Jornadas ESPE. Hotel Praia Golfe, ESPE. Espinho, 18-19 de Maio.
texto: [ pdf (38KB) ]</t>
  </si>
  <si>
    <t>Gouveia, L. (1999). Shared Visualisation and Virtual Environments for Co-operative Learning. Postgrad'99 conference. Computing Department. Lancaster University. 24-25 May.poster [ gif (40KB) ]</t>
  </si>
  <si>
    <t>conteúdos pedagógicos / learning materials</t>
  </si>
  <si>
    <t>Gouveia, L. (2017).  Notas e transparências sobre conceitos de Sistemas de Informação. Universidade Fernando Pessoa.  
[ handle ]</t>
  </si>
  <si>
    <t>Gouveia, L. (2017).  Notas e transparências sobre Tecnologias em Sistemas de Informação. Universidade Fernando Pessoa. 
[ handle ]</t>
  </si>
  <si>
    <t>Gouveia, L. (2017).  Sistemas de Informação para a Sociedade do Conhecimento: módulos 1 e 2, aulas práticas. Universidade Fernando Pessoa. 
[ handle ]</t>
  </si>
  <si>
    <t>Gouveia, L. (2017). Gestão da Segurança da Informação. Manual prático, 52 páginas. Grupo *TRS, Tecnologia, Redes e Sociedade. Universidade Fernando Pessoa.
[ handle ]</t>
  </si>
  <si>
    <t>Gouveia, L. (2017). Uma breve introdução ao R: Exploração prática e exercícios. Manual prático, 68 páginas. Grupo *TRS, Tecnologia, Redes e Sociedade. Universidade Fernando Pessoa.
[ handle ]</t>
  </si>
  <si>
    <t>Gouveia, L. (2015). Human Computer Interaction. Version 0.5 Main slides collection. University Fernando Pessoa. 299 slides.</t>
  </si>
  <si>
    <t>Gouveia, L. (2015). Arquivo Empresarial e Administrativo. Versão 2.5. Transparências sobre os conceitos de arquivística. Universidade Fernando Pessoa. 262 slides.</t>
  </si>
  <si>
    <t>Gouveia, L. (2015). Knowledge Management in 20 slides. Version 2.01. University Fernando Pessoa. 21 slides.</t>
  </si>
  <si>
    <t>Gouveia, L. (2015). Segurança da Informação e proteção de dados. Versão 3.4. Universidade Fernando Pessoa. 374 slides.</t>
  </si>
  <si>
    <t>Gouveia, L. (2015). Análise de Sistemas: conceitos, módulo 1. Versão 3.05. Universidade Fernando Pessoa. 270 slides.</t>
  </si>
  <si>
    <t>Gouveia, L. (2015). Análise de Sistemas: a abordagem estruturada, módulo 2. Versão 4. Universidade Fernando Pessoa. 192 slides.</t>
  </si>
  <si>
    <t>Gouveia, L. (2015). Análise de Sistemas: a abordagem orientada aos objetos, módulo 3. Versão 3.8. Universidade Fernando Pessoa. 306 slides.</t>
  </si>
  <si>
    <t>Gouveia, L. (2015). Análise de Sistemas: a abordagem SSM, módulo 4. Versão 2.1. Universidade Fernando Pessoa. 86 slides.</t>
  </si>
  <si>
    <t>Gouveia, L. (2015). O que é a Ciência de Dados (data science). Discussão do conceito. Universidade Fernando Pessoa. Outubro. Porto.[ apresentação ]</t>
  </si>
  <si>
    <t>Gouveia, L. (2014). Segurança e redes sociais. Módulo 2 - Redes Sociais. Elaboração de conteúdos para SeguraNet MOOC. 15 a 25 de Maio. Direção-Geral da Educação (DGE). Ministério da Educação e Ensino Superior.
[ recursos ]</t>
  </si>
  <si>
    <t>Gouveia, L. (2006). Transparências sobre Negócio Electrónico: conceitos e perspectivas de desenvolvimento. Transparências - Colecção Negócio Electrónico. Dezembro de 2006. SPI - Principia. 
transparências [ pdf (660KB) ]</t>
  </si>
  <si>
    <t>Gouveia, L. (2005). Transparências sobre Local e-government: a governação digital na autarquia. Transparências - Colecção Inovação e Governância nas autarquias. SPI.
transparências [ pdf (284KB) ]</t>
  </si>
  <si>
    <t>Gouveia, L. (2005). Transparências sobre Sistemas de Informação de Apoio à Decisão. Transparências - Colecção Inovação e Governância nas autarquias. SPI.
transparências [ pdf (286KB) ]</t>
  </si>
  <si>
    <t>Gouveia, L. (2005). Sistemas de Informação para e-marketing e e-publicidade. Compilação de textos. Março. Universidade Fernando Pessoa.</t>
  </si>
  <si>
    <t>Gouveia, L. (2004). Sistemas de Informação para a Sociedade da Informação e do Conhecimento. UFP, Janeiro.
apresentação [ pdf: módulos #1, #2, #3, #4 e #5 (1998) ]</t>
  </si>
  <si>
    <t>Gouveia, L. (2003). A Mobilidade no Gaia Global. Câmara Municipal de Gaia, Energaia/POSI. Novembro. 
brochura [ pdf (5MB) ]</t>
  </si>
  <si>
    <t>Gouveia, L. (2003). Apontamentos de Tecnologias de Informação e Sociedade. Ciências da Comunicação. Universidade Fernando Pessoa. Porto, Novembro.</t>
  </si>
  <si>
    <t>Gouveia, J. e Gouveia, L. e Xavier, J. (2003). Gaia Global: o concelho de Gaia no digital. 1º ano de projecto. Conceitos e diferenciação. Câmara Municipal de Gaia, Energaia/POSI. Maio. 
brochura [ pdf (2.3MB) ]</t>
  </si>
  <si>
    <t>Gouveia, L. (2003). Notas complementares sobre Informática Aplicada. Pós-Graduação em Ciências da Informação e da Documentação. Universidade Fernando Pessoa. Porto, Abril.
texto [ pdf ]</t>
  </si>
  <si>
    <t>Gouveia, L. (2003). Complementos de Novas Tecnologias e Comunicação. Mestrado de Ciências da Comunicação. Universidade Fernando Pessoa. Porto, Março.</t>
  </si>
  <si>
    <t>Gouveia, L. (2003). Apontamentos de Novas Tecnologias e Comunicação. Mestrado de Ciências da Comunicação. Universidade Fernando Pessoa. Porto, Março.</t>
  </si>
  <si>
    <t>Gouveia, L. (2002). Exercícios práticos para Sistemas de Informação. UFP. Março.
texto [ pdf ]</t>
  </si>
  <si>
    <t>Gouveia, L. (2000). It's time to rethink the way we deal with information. Accepted to the Millennial Science Essay Competition 2000. The Wellcome Trust and New Scientist. UK.text [ pdf (8,8KB)]</t>
  </si>
  <si>
    <t>Gouveia, L. (1999). Apontamentos de Gestão de Informação, versão 2.0. Reprografia da UFP. UFP, Outubro.</t>
  </si>
  <si>
    <t>Gouveia, L. (1999). Apontamentos de Media Interactivos. UFP, Janeiro.
recursos [ pdf: intro, acetatos e texto ]</t>
  </si>
  <si>
    <t>Gouveia, L. (1999). A Análise de Sistemas. Discussão breve da actividade. UFP, Janeiro.
texto [ pdf ]</t>
  </si>
  <si>
    <t>Gouveia, L. (1999). Introdução aos conceitos de Realidade Virtual. UFP. Janeiro.
apresentação [ pdf ]</t>
  </si>
  <si>
    <t>Gouveia, L. (1999). Introdução à Linguagem JAVA. UFP. Janeiro. 
apresentação [ pdf ]</t>
  </si>
  <si>
    <t>Gouveia, L. (1998). Introdução ao VRML -Virtual Reality Modeling Language. UFP, Março. 
apresentação [ HTML ou  pdf ]</t>
  </si>
  <si>
    <t>Gouveia, L. (1998). Apontamentos de Sistemas de Informação, versão 1992-1995 . UFP. 
apresentação [ pdf ]</t>
  </si>
  <si>
    <t>Gouveia, L. (1997). Uso básico do sistema operativo UNIX, introdução. UFP, Dezembro.
texto [ HTML ]</t>
  </si>
  <si>
    <t>Gouveia, L. (1997). O modelo OSI e os esforços de normalização em comunicação de dados. UFP, Outubro. 
texto [ HTML ]</t>
  </si>
  <si>
    <t>Gouveia, L. (1997). Desenvolvimento de páginas Web, dicas para obter o melhor efeito na publicação de informação na Internet. UFP, Abril. 
texto [ HTML ]</t>
  </si>
  <si>
    <t>Gouveia, L. (1997).Utilização básica do navegador Netscape. UFP, Janeiro.  
texto [ HTML ]</t>
  </si>
  <si>
    <t>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t>
  </si>
  <si>
    <t>Gouveia, L. (1996). Como criar uma página Web, utilização de comandos HTML. UFP, Dezembro.
apresentação [ pdf ]</t>
  </si>
  <si>
    <t>Gouveia, L. (1996). Três palavras sobre a Análise de Sistemas. UFP, Outubro.
texto [ HTML ]</t>
  </si>
  <si>
    <t>Gouveia, L. (1996). Sistemas de Informação para a Gestão. Modelos e Sistemas de Apoio à Decisão. CEREM, UFP. Abril. 
apresentação [ pdf ]</t>
  </si>
  <si>
    <t>Gouveia, L. (1996). Apontamentos de Introdução à Informática - conceitos. UFP, Janeiro.
texto [ postscript zipado ou pdf ]</t>
  </si>
  <si>
    <t>Gouveia, L. (1996). Apontamentos de MS-DOS. UFP, Janeiro.
texto [ pdf ]</t>
  </si>
  <si>
    <t>Gouveia, L. (1995). Gestão de projectos informáticos. Transparências utilizadas em acções de formação no CESAI.
apresentação [pdf: mod1, mod2 e mod3 ]</t>
  </si>
  <si>
    <t>Gouveia, L. (1993). Ambiente distribuído no UNIX e "remote procedure calls". FEUP-DEEC.
texto [ postscript zipado ]</t>
  </si>
  <si>
    <t>Gouveia, L. (1993). Sybase SQL Server - base de dados cliente/servidor. FEUP-DEEC. 
texto [ postscript zipado ]</t>
  </si>
  <si>
    <t>Gouveia, L. (1993). Programação em bourne shell - sistema operativo UNIX. Junho.
texto [ HTML ]</t>
  </si>
  <si>
    <t>Gouveia, L. (1988). Levantamento estatístico para estudo do padrão alimentar dos alunos da 4ª classe, em colaboração com o Centro de Saúde de Soares dos Reis, Rotary Club de Vila Nova de Gaia.</t>
  </si>
  <si>
    <t>2020</t>
  </si>
  <si>
    <t xml:space="preserve"> The Use of Mobile Devices in Environmental Education. </t>
  </si>
  <si>
    <t>Pereira R.C.S.</t>
  </si>
  <si>
    <t xml:space="preserve"> Dinis M.A.P.</t>
  </si>
  <si>
    <t xml:space="preserve"> Gouveia L.B. </t>
  </si>
  <si>
    <t>2019</t>
  </si>
  <si>
    <t xml:space="preserve"> Using Kahoot as a Learning Tool. </t>
  </si>
  <si>
    <t>Martins, E.</t>
  </si>
  <si>
    <t xml:space="preserve"> Geraldes, B.</t>
  </si>
  <si>
    <t xml:space="preserve"> Afonseca, R.</t>
  </si>
  <si>
    <t xml:space="preserve">Gouveia, L. </t>
  </si>
  <si>
    <t>2018</t>
  </si>
  <si>
    <t xml:space="preserve"> Participation Sphere: A Model and a Framework for Fostering Participation in Organizations. </t>
  </si>
  <si>
    <t xml:space="preserve">Quental, C. </t>
  </si>
  <si>
    <t xml:space="preserve"> Gouveia, L. </t>
  </si>
  <si>
    <t xml:space="preserve"> E-consultation as a Tool for Participation in teachers' Unions. </t>
  </si>
  <si>
    <t>2014</t>
  </si>
  <si>
    <t xml:space="preserve"> A adopção e difusão de práticas de m-learning no contexto do ensino superior. </t>
  </si>
  <si>
    <t>Abrantes, S.</t>
  </si>
  <si>
    <t xml:space="preserve"> Estudo exploratório sobre a utilização de Web 2.0</t>
  </si>
  <si>
    <t>Simões, L.</t>
  </si>
  <si>
    <t xml:space="preserve"> Desenhando Percursos de Aprendizagem: contributos para a estruturação de iniciativas de b-learning. </t>
  </si>
  <si>
    <t>Peres, P.</t>
  </si>
  <si>
    <t xml:space="preserve"> Proposal for the Use of Digital Mediation for Public Direct Participation during Electoral Periods. </t>
  </si>
  <si>
    <t>Sousa, A.</t>
  </si>
  <si>
    <t xml:space="preserve"> Agante, P. </t>
  </si>
  <si>
    <t xml:space="preserve"> Using Games for Primary School: Assessing its Use with Flow Experience. </t>
  </si>
  <si>
    <t>Abrantes, S. L.</t>
  </si>
  <si>
    <t xml:space="preserve"> &amp; Gouveia, L. B. </t>
  </si>
  <si>
    <t>2012</t>
  </si>
  <si>
    <t xml:space="preserve"> A Worked Proposal on eParticipation for State Wide Elections. </t>
  </si>
  <si>
    <t xml:space="preserve">Abrantes, S. </t>
  </si>
  <si>
    <t>2011</t>
  </si>
  <si>
    <t xml:space="preserve"> iLeger: A Web Based Application for Participative Elections. </t>
  </si>
  <si>
    <t>Sousa, A</t>
  </si>
  <si>
    <t xml:space="preserve"> Agante, P </t>
  </si>
  <si>
    <t xml:space="preserve"> Evaluation of a mobile platform to support collaborative learning: case study. </t>
  </si>
  <si>
    <t>Quental, C.</t>
  </si>
  <si>
    <t>2010</t>
  </si>
  <si>
    <t xml:space="preserve"> Governmeter: monitoring government performance. </t>
  </si>
  <si>
    <t>2009</t>
  </si>
  <si>
    <t xml:space="preserve"> Sakai Courseware Management. </t>
  </si>
  <si>
    <t>Fern</t>
  </si>
  <si>
    <t>es, N.</t>
  </si>
  <si>
    <t xml:space="preserve"> Gouveia, F. </t>
  </si>
  <si>
    <t>2005</t>
  </si>
  <si>
    <t xml:space="preserve"> Emergent Skills in Higher Education: The Quest for Emotion and Virtual University. </t>
  </si>
  <si>
    <t>2004</t>
  </si>
  <si>
    <t xml:space="preserve"> Emergent skills in higher education: the quest for emotion and virtual university. </t>
  </si>
  <si>
    <t>2003</t>
  </si>
  <si>
    <t xml:space="preserve"> EFTWeb: A Model for the Enhanced Use of Educational Materials, in Albalooshi, F. </t>
  </si>
  <si>
    <t xml:space="preserve"> Gouveia, J. </t>
  </si>
  <si>
    <t>2002</t>
  </si>
  <si>
    <t xml:space="preserve"> A Study on Adult Education and Distance Learning. </t>
  </si>
  <si>
    <t>Rurato, P.</t>
  </si>
  <si>
    <t xml:space="preserve"> A Proposal to Support Collaborative Learning: using a structure to share context. </t>
  </si>
  <si>
    <t xml:space="preserve"> Evaluation of a visualisation design for knowledge sharing and information discovery. </t>
  </si>
  <si>
    <t>2001</t>
  </si>
  <si>
    <t xml:space="preserve"> A technological related discussion on the potential of change in education, learning and training. </t>
  </si>
  <si>
    <t>#VALUE!</t>
  </si>
  <si>
    <t xml:space="preserve"> Transparência e Acesso ao Controle Social. </t>
  </si>
  <si>
    <t>Carvalho, E.</t>
  </si>
  <si>
    <t xml:space="preserve"> Modelo de Matriz de Diagnóstico e Avaliação de Desempenho de Sistemas de Gestão Integrados (SGI) da Qualidade, Meio Ambiente, Segurança e Saúde no Trabalho. </t>
  </si>
  <si>
    <t>Mançu, R.</t>
  </si>
  <si>
    <t xml:space="preserve"> Gouveia, L.</t>
  </si>
  <si>
    <t xml:space="preserve">Cordeiro, S. </t>
  </si>
  <si>
    <t xml:space="preserve"> Revisão Sistemática sobre Sala de Aula Invertida na Produção Científica Indexada ao Scopus nos Anos de 2016 e 2017. </t>
  </si>
  <si>
    <t xml:space="preserve"> M-Learning e Sala de Aula Invertida: Construção de um Modelo Pedagógico (ML-SAI). </t>
  </si>
  <si>
    <t xml:space="preserve"> Gestão da Informação via Sistema Digital para a Educação Especial do Centro de Referência e Apoio a Educação Inclusiva - CRAEI. </t>
  </si>
  <si>
    <t>Araújo, P.</t>
  </si>
  <si>
    <t xml:space="preserve"> Google Drive na Aprendizagem Colaborativa. </t>
  </si>
  <si>
    <t>Martins, E. R.</t>
  </si>
  <si>
    <t xml:space="preserve"> Sala de Aula Invertida com WhatsApp. </t>
  </si>
  <si>
    <t xml:space="preserve"> O Uso do WhatsApp no Ensino. </t>
  </si>
  <si>
    <t xml:space="preserve"> Uso do Kahoot como Ferramenta de Aprendizagem. </t>
  </si>
  <si>
    <t xml:space="preserve"> Geraldes, W.</t>
  </si>
  <si>
    <t xml:space="preserve"> Afonseca, U.</t>
  </si>
  <si>
    <t xml:space="preserve"> Tecnologias Móveis em Contexto Educativo. </t>
  </si>
  <si>
    <t xml:space="preserve"> Geraldes, W. B.</t>
  </si>
  <si>
    <t xml:space="preserve"> Afonseca, U. R.</t>
  </si>
  <si>
    <t>2017</t>
  </si>
  <si>
    <t xml:space="preserve"> A Transparência e o e-government: um componente essencial para a democratização da informação. </t>
  </si>
  <si>
    <t>Silva, C.</t>
  </si>
  <si>
    <t xml:space="preserve"> Requirement for a Minimum Service Level Model for Cloud Providers and Users. </t>
  </si>
  <si>
    <t xml:space="preserve">Khan, S. </t>
  </si>
  <si>
    <t xml:space="preserve"> The Concept of Tourism Security and Importance of ICT Usage in Portugal. </t>
  </si>
  <si>
    <t xml:space="preserve">Erdem, M. </t>
  </si>
  <si>
    <t xml:space="preserve"> The impact of interface animations on the user experience: directing customer’s attention in online shopping sites. </t>
  </si>
  <si>
    <t>Alvre, P.</t>
  </si>
  <si>
    <t xml:space="preserve"> Sousa, S. </t>
  </si>
  <si>
    <t xml:space="preserve"> (Re)aprendizagem do professor do ensino superior face ao triângulo educação, tecnologia e aprendizagem no Ensino a Distância. </t>
  </si>
  <si>
    <t>Lourenço, M.</t>
  </si>
  <si>
    <t xml:space="preserve"> Rurato, P.</t>
  </si>
  <si>
    <t xml:space="preserve"> A atração dos consumidores para o comércio tradicional em um contexto digital: requisitos e expetativas. </t>
  </si>
  <si>
    <t>Cordeiro, I.</t>
  </si>
  <si>
    <t xml:space="preserve">Cardoso, P. </t>
  </si>
  <si>
    <t xml:space="preserve"> Uso de modelos matemáticos interpretados em plataforma digital como estratégia para o ensino e aprendizagem da matemática. </t>
  </si>
  <si>
    <t>Stenio, R.</t>
  </si>
  <si>
    <t xml:space="preserve"> A importância da proteção do ciberespaço. </t>
  </si>
  <si>
    <t>Morgado, R.</t>
  </si>
  <si>
    <t xml:space="preserve"> O recurso a tecnologias de informação e comunicação para suporte da atividade em sala de aula: uma proposta de modelo. </t>
  </si>
  <si>
    <t>Menezes, N.</t>
  </si>
  <si>
    <t xml:space="preserve"> Estudo da viabilidade da técnica de densidade radiográfica para mensuração de densidade óssea. </t>
  </si>
  <si>
    <t>Oliveira, M.</t>
  </si>
  <si>
    <t xml:space="preserve"> A Economia compartilhada e os fatores que a influenciam. </t>
  </si>
  <si>
    <t>Rocha, L.</t>
  </si>
  <si>
    <t xml:space="preserve"> Relação dos fatores críticos de sucesso em gestão do conhecimento para empresas e alunos de Administração de Empresas no contexto brasileiro. </t>
  </si>
  <si>
    <t>Santos, F.</t>
  </si>
  <si>
    <t xml:space="preserve"> Estudo preliminar sobre competências nas redes digitais como estratégia de fortalecimento da Rede Nacional de Escolas de Governo do Brasil. </t>
  </si>
  <si>
    <t>Nogueira, D.</t>
  </si>
  <si>
    <t xml:space="preserve"> Transparência, ‘e-government’ e segurança da informação: uma contribuição para a sua discussão no contexto do poder público. </t>
  </si>
  <si>
    <t xml:space="preserve"> Mediação digital para participação pública: experiências de utilização em organizações sindicais. </t>
  </si>
  <si>
    <t xml:space="preserve"> O digital nas instituições de ensino superior: justificação para o diagnóstico sobre a percepção de gestores, professores e alunos. </t>
  </si>
  <si>
    <t>Araújo, A.</t>
  </si>
  <si>
    <t xml:space="preserve"> A introdução das TICs em sala de aula no ensino primário: formação de professores na província do Huambo para o projeto Meu Kamba. </t>
  </si>
  <si>
    <t>Robalo, A.</t>
  </si>
  <si>
    <t xml:space="preserve"> Cidades Digitais: uma perspetiva diferenciada dos espaços na cidade. </t>
  </si>
  <si>
    <t>Correia, A.</t>
  </si>
  <si>
    <t xml:space="preserve"> A influência do digital para a imagem do turismo no nordeste brasileiro. </t>
  </si>
  <si>
    <t>Cavalcante, A.</t>
  </si>
  <si>
    <t xml:space="preserve"> Transformação Digital: Desafios e Implicações na Perspectiva da Informação. </t>
  </si>
  <si>
    <t xml:space="preserve"> A Transparência e Sua Importância Para o Poder Público. </t>
  </si>
  <si>
    <t>2016</t>
  </si>
  <si>
    <t xml:space="preserve"> O recurso e a contribuição potencial da inteligência artificial para a cibersegurança em ambientes digitais. </t>
  </si>
  <si>
    <t xml:space="preserve"> A região norte NUT III como valor acrescentado para o desenvolvimento digital da região e o potencial do Porto como Smart City. </t>
  </si>
  <si>
    <t xml:space="preserve"> Esfera Pública Digital: uso de uma plataforma digital para a gestão da informação da Educação Especial. </t>
  </si>
  <si>
    <t xml:space="preserve">Toldy, T. </t>
  </si>
  <si>
    <t xml:space="preserve"> O recurso a tecnologias de informação e comunicação para suporte da atividade em sala de aula. </t>
  </si>
  <si>
    <t xml:space="preserve"> Educação, tecnologia, aprendizagem: exaltação à negociação: a busca da Relevância. </t>
  </si>
  <si>
    <t xml:space="preserve"> O modelo de ensino do ‘flipped classroom’ (sala de aula invertida) no âmbito do ensino superior. </t>
  </si>
  <si>
    <t>Lopes, S.</t>
  </si>
  <si>
    <t xml:space="preserve">Reis, P. </t>
  </si>
  <si>
    <t>2015</t>
  </si>
  <si>
    <t xml:space="preserve"> Planeamento e Gestão da Mudança nos Processos de Implementação de Sistemas dee/b-learning. </t>
  </si>
  <si>
    <t xml:space="preserve"> MOOC: qual o papel na reconceptualização da Universidade? Gabinete de Relações Internacionais e Apoio ao Desenvolvimento Institucional (2015). </t>
  </si>
  <si>
    <t>Leal, J.</t>
  </si>
  <si>
    <t xml:space="preserve"> O contributo da Mediateca do Huambo na promoção de competências TIC para professores. </t>
  </si>
  <si>
    <t xml:space="preserve"> Bibliotecas académicas, lugar ou ponto de acesso?  Gabinete de Relações Internacionais e Apoio ao Desenvolvimento Institucional (2015). </t>
  </si>
  <si>
    <t>Martins, O.</t>
  </si>
  <si>
    <t xml:space="preserve"> Contribuições para a discussão de um modelo de governo electrónico local para Angola. </t>
  </si>
  <si>
    <t>Alfredo, P.</t>
  </si>
  <si>
    <t xml:space="preserve"> Um estudo empírico sobre a adopção de meios digitais para suporte à aprendizagem colaborativa. </t>
  </si>
  <si>
    <t xml:space="preserve"> The impact of digital in learning spaces: an analysis on the perspective of teachers in higher education. </t>
  </si>
  <si>
    <t xml:space="preserve">Silva, P. </t>
  </si>
  <si>
    <t xml:space="preserve"> O ensino e os novos sistemas de computação. </t>
  </si>
  <si>
    <t>Ferreira, A.</t>
  </si>
  <si>
    <t xml:space="preserve"> Uma reflexão sobre o digital e o impacte no trabalho. </t>
  </si>
  <si>
    <t>2013</t>
  </si>
  <si>
    <t xml:space="preserve"> O Digital e as Redes como mecanismos de inovação na participação pública. </t>
  </si>
  <si>
    <t xml:space="preserve"> Tecnologias de Informação Documental: impacte do Digital in Freitas, J.;</t>
  </si>
  <si>
    <t xml:space="preserve"> A experiência do fluxo no uso de jogos para suporte à aprendizagem de Matemática no Ensino Básico. </t>
  </si>
  <si>
    <t>2008</t>
  </si>
  <si>
    <t xml:space="preserve"> As TIC e o  E-Business como alavanca dos Processos de Negócio. </t>
  </si>
  <si>
    <t>2006</t>
  </si>
  <si>
    <t xml:space="preserve"> A Gestão da Informação: um ensaio sobre a sua relevância no contexto organizacional. </t>
  </si>
  <si>
    <t xml:space="preserve"> Cidades e Regiões Inteligentes – uma reflexão sobre o caso português. </t>
  </si>
  <si>
    <t>Xavier, J.</t>
  </si>
  <si>
    <t>Gouveia, L.</t>
  </si>
  <si>
    <t xml:space="preserve">Gouveia, J. </t>
  </si>
  <si>
    <t xml:space="preserve"> Sociedade da Informação: balanço e implicações. </t>
  </si>
  <si>
    <t xml:space="preserve"> Gaia Global: Infra-estrutura Digital: Consolidação de Conceitos do Portal para o Cidadão. </t>
  </si>
  <si>
    <t>Almeida, R.</t>
  </si>
  <si>
    <t>Cerqueira, J.</t>
  </si>
  <si>
    <t xml:space="preserve"> Introdução: balanço e implicações e Sociedade da Informação. </t>
  </si>
  <si>
    <t xml:space="preserve">Gaio, S. </t>
  </si>
  <si>
    <t xml:space="preserve"> Introduction to information society in Gouveia, L.a</t>
  </si>
  <si>
    <t xml:space="preserve"> Gaio, S. </t>
  </si>
  <si>
    <t xml:space="preserve"> Gaia Global: a digital cities initiative in Gouveia, L. </t>
  </si>
  <si>
    <t xml:space="preserve"> Xavier, J. </t>
  </si>
  <si>
    <t xml:space="preserve"> Gouveia, J.. </t>
  </si>
  <si>
    <t xml:space="preserve"> Why physical place for a digital oriented world in Gouveia, L. </t>
  </si>
  <si>
    <t xml:space="preserve"> Adult Education and Distance Learning: Issues, Barriers and Outcomes in Gouveia, L. </t>
  </si>
  <si>
    <t xml:space="preserve">Rurato, P. </t>
  </si>
  <si>
    <t xml:space="preserve"> Cidades e Regiões Digitais: questões e desafios no digital. </t>
  </si>
  <si>
    <t xml:space="preserve"> Gaia Global - O Cidadão como umbigo da Cidade Digital. </t>
  </si>
  <si>
    <t xml:space="preserve"> Virtual Environments and Kowledge Sharing. </t>
  </si>
  <si>
    <t xml:space="preserve"> O Símbolo e a Interactividade no uso de computadores. </t>
  </si>
  <si>
    <t>Lamas, D.</t>
  </si>
  <si>
    <t xml:space="preserve"> Gouveia, F.</t>
  </si>
  <si>
    <t>2000</t>
  </si>
  <si>
    <t xml:space="preserve"> Nova Economia e Tecnologias de Informação: Desafios para Portugal, pp 400-410. </t>
  </si>
  <si>
    <t xml:space="preserve"> Restivo, F. </t>
  </si>
  <si>
    <t xml:space="preserve"> Innovation in Business Processes: An experiment using CAIN. </t>
  </si>
  <si>
    <t xml:space="preserve"> Lamas, D. </t>
  </si>
  <si>
    <t>1998</t>
  </si>
  <si>
    <t xml:space="preserve"> Sociedade Digital: que oportunidades?. </t>
  </si>
  <si>
    <t xml:space="preserve"> Relatório Lição de Síntese: A Sociedade da Informação. </t>
  </si>
  <si>
    <t xml:space="preserve"> Relatório da Unidade Curricular Gestão do Conhecimento. </t>
  </si>
  <si>
    <t xml:space="preserve"> Curso de Defesa Nacional 2007/2008, Instituto de Defesa Nacional, Agosto de 2008.
</t>
  </si>
  <si>
    <t xml:space="preserve"> A Visualisation Design for Sharing Knowledge, A virtual environment for collaborative learning support. </t>
  </si>
  <si>
    <t>1999</t>
  </si>
  <si>
    <t xml:space="preserve"> Second year PhD report. </t>
  </si>
  <si>
    <t xml:space="preserve"> First year PhD report. </t>
  </si>
  <si>
    <t>1995</t>
  </si>
  <si>
    <t xml:space="preserve"> Aplicações multimédia para o Sistema de Informação da Empresa. </t>
  </si>
  <si>
    <t>1989</t>
  </si>
  <si>
    <t xml:space="preserve"> O serviço Videotex. </t>
  </si>
  <si>
    <t>Zagallo, J.</t>
  </si>
  <si>
    <t xml:space="preserve"> Jogos na Aprendizagem: uma proposta de modelo para o ensino do Jornalismo. </t>
  </si>
  <si>
    <t>Cavaignac, S.</t>
  </si>
  <si>
    <t xml:space="preserve"> Resultados e análise estatística de experimentos realizados no Ensino Superior: a prática metodológica da sala de aula invertida (flipped classroom). </t>
  </si>
  <si>
    <t xml:space="preserve"> Utilização da metodologia de projetos: Maquete de Logística Móvel. </t>
  </si>
  <si>
    <t>Toso, R.</t>
  </si>
  <si>
    <t xml:space="preserve"> Adding Energy Star Rating Schema to Android Applications on Google Play Store an Example of a Preventive Power Saving Model. </t>
  </si>
  <si>
    <t>Almasri, A.</t>
  </si>
  <si>
    <t xml:space="preserve"> Reviewing the Efficiency of Current Power-Saving Approaches Used Among Different Stages of an Android-Application Lifecycle. </t>
  </si>
  <si>
    <t xml:space="preserve"> Analyzing and Evaluating the Amount of Power Consumption Used by Current Power-Saving-Applications on Android Smartphones. </t>
  </si>
  <si>
    <t xml:space="preserve"> Pesquisa das palavras-chave Redes Digitais; Capacitação e Competências: um estudo bibliométrico. </t>
  </si>
  <si>
    <t xml:space="preserve"> Gestão do Conhecimento, considerando os fluxos informacionais em contexto de fluidez - uma investigação prévia. </t>
  </si>
  <si>
    <t>Carvalho, M.</t>
  </si>
  <si>
    <t xml:space="preserve"> Utilização da metodologia da sala de aula invertida (flipped classroom): análise de eficiência dos instrumentos e resultados do experimento piloto. </t>
  </si>
  <si>
    <t xml:space="preserve"> Contribuições para a discussão de um modelo de avaliação do impacto social. </t>
  </si>
  <si>
    <t>Barros, V.</t>
  </si>
  <si>
    <t xml:space="preserve"> FIWARE: uma plataforma de desenvolvimento de soluções inteligentes. </t>
  </si>
  <si>
    <t xml:space="preserve"> O Recurso a TIC para suporte de atividade em sala de aula, teste piloto. </t>
  </si>
  <si>
    <t xml:space="preserve"> Regulamento Geral de Proteção de Dados (RGPD): o novo pesadelo das empresas? Relatório Interno 07/2018. </t>
  </si>
  <si>
    <t>Cordeiro, S.</t>
  </si>
  <si>
    <t xml:space="preserve"> Questionário sobre o nível de utilização e importância das TICs numa IES a Coordenadores de Curso. </t>
  </si>
  <si>
    <t xml:space="preserve"> Experimento prático de uma aula sobre Diagramas de Classe (UML), com a utilização da metodologia da “sala de aula invertida” (Flipped Classroom). </t>
  </si>
  <si>
    <t xml:space="preserve"> Questionário sobre o nível de utilização e importância das TICs numa IES. </t>
  </si>
  <si>
    <t xml:space="preserve"> Contributos para a escrita e organização da estrutura do relatório final de doutoramento: a tese. </t>
  </si>
  <si>
    <t xml:space="preserve"> Pressupostos sobre a pesquisa científica e os testes piloto. </t>
  </si>
  <si>
    <t xml:space="preserve"> Digital Transformation Journey: a discussion. </t>
  </si>
  <si>
    <t xml:space="preserve">Estratégia Nacional de Segurança do Ciberespaço. </t>
  </si>
  <si>
    <t xml:space="preserve">Morgado, R. </t>
  </si>
  <si>
    <t xml:space="preserve">Um Estudo sobre a Qualidade de Vida na Cidade do Porto: exploração de um post no Facebook. </t>
  </si>
  <si>
    <t xml:space="preserve">Aplicação de questionário sobre consumo de bens e serviços na Economia Partilhada. </t>
  </si>
  <si>
    <t xml:space="preserve">Filho, Re Gouveia, L. </t>
  </si>
  <si>
    <t xml:space="preserve"> Proposta de renovação da rede lógica do MT-Hemocentro.R</t>
  </si>
  <si>
    <t xml:space="preserve"> Modelo de mediação digital para participação pública em sindicatos. </t>
  </si>
  <si>
    <t xml:space="preserve"> EMSL Framework: (Minimum Service Level Framework) for Cloud Providers and Users. </t>
  </si>
  <si>
    <t xml:space="preserve"> Estudo Preliminar sobre a Rede Nacional de Escolas de Governo do Brasil. </t>
  </si>
  <si>
    <t xml:space="preserve">Gouveia, L.  </t>
  </si>
  <si>
    <t xml:space="preserve"> Sobre o trabalho de mestrado: informação de contexto e estrutura tipo da dissertação.R</t>
  </si>
  <si>
    <t xml:space="preserve"> Questionário sobre o nível de utilização e importância das TICs nas IES por Professores, Alunos e Funcionários. </t>
  </si>
  <si>
    <t>Salimo, G.</t>
  </si>
  <si>
    <t xml:space="preserve"> Contributos para a melhoria do serviço prestado pela Prefeitura Municipal de Paulo Bento. </t>
  </si>
  <si>
    <t>Marin, D.</t>
  </si>
  <si>
    <t xml:space="preserve"> As competências em TIC para professores: estudo da proposta UNESCO de 2008. </t>
  </si>
  <si>
    <t xml:space="preserve"> Ensino Superior em Moçambique. </t>
  </si>
  <si>
    <t xml:space="preserve"> Aplicação do questionário a professores do Município do Huambo (Angola) sobre competências TIC para professores: Teste Piloto. </t>
  </si>
  <si>
    <t xml:space="preserve">Robalo, A. e  Gouveia, L.  </t>
  </si>
  <si>
    <t xml:space="preserve"> Análise preliminar do questionário a professores do Município do Huambo (Angola) sobre competências TIC para professores. </t>
  </si>
  <si>
    <t xml:space="preserve"> As Bibliotecas e o Ensino Superior: uma reflexão preliminar. </t>
  </si>
  <si>
    <t xml:space="preserve">Aplicação do questionário aos cidadãos sobre o governo eletrónico local: teste piloto. </t>
  </si>
  <si>
    <t xml:space="preserve"> Análise de um sistema de backoffice de Ensino a Distância para a Universidade Católica de Angola. </t>
  </si>
  <si>
    <t>António, F.</t>
  </si>
  <si>
    <t xml:space="preserve"> Estudo preliminar de um Sistema de Acolhimento para Alunos da Universidade Católica de Angola. </t>
  </si>
  <si>
    <t xml:space="preserve"> Estudo preliminar para a Adopção de Práticas de EAD na UniZambeze. </t>
  </si>
  <si>
    <t xml:space="preserve"> Aplicação das TICs no Instituto Superior de Ciências de Educação: uma nova metodologia para o currículo de Informática. </t>
  </si>
  <si>
    <t xml:space="preserve"> Uma reflexão sobre o perfil dos Aprendentes Adultos no Ensino a Distância. </t>
  </si>
  <si>
    <t xml:space="preserve"> Collaborative open-source software: the case of e-learning at University Fernando Pessoa. </t>
  </si>
  <si>
    <t xml:space="preserve">Gouveia, F. </t>
  </si>
  <si>
    <t xml:space="preserve"> A brief survey on Cognitive Maps as Humane Representations. </t>
  </si>
  <si>
    <t xml:space="preserve"> An evaluation of the Well Path elearning platform. </t>
  </si>
  <si>
    <t xml:space="preserve">Gouveia, L. et al. </t>
  </si>
  <si>
    <t xml:space="preserve"> Proposing a knowledge network to assist education, training and learning. </t>
  </si>
  <si>
    <t xml:space="preserve"> Informing an information discovery tool for using gesture. </t>
  </si>
  <si>
    <t xml:space="preserve"> Reviewing Power-Saving Approaches Implemented During the Development of an Android System (Stage 2). </t>
  </si>
  <si>
    <t xml:space="preserve"> Adding Energy Star Rating Schema to Android Applications on Google Play Store (An Example of a Preventive Power Saving Model, stage four). </t>
  </si>
  <si>
    <t xml:space="preserve"> Livro de Resumos. </t>
  </si>
  <si>
    <t xml:space="preserve"> Evento de apresentações e partilha de conhecimento PhD CC, SiTeGI. </t>
  </si>
  <si>
    <t>coor</t>
  </si>
  <si>
    <t xml:space="preserve"> (2009). </t>
  </si>
  <si>
    <t xml:space="preserve">Serrano, A. </t>
  </si>
  <si>
    <t>reda</t>
  </si>
  <si>
    <t xml:space="preserve"> O Papel da Sociedade da Informação no aproximar das Regiões. </t>
  </si>
  <si>
    <t xml:space="preserve"> O Contributo das Cidades e Regiões Digitais para o aproximar das regiões. </t>
  </si>
  <si>
    <t xml:space="preserve"> Workshop Cidades Digitais. </t>
  </si>
  <si>
    <t>Gouveia, J.</t>
  </si>
  <si>
    <t>Amaral, L.</t>
  </si>
  <si>
    <t xml:space="preserve">Carvalho, J. </t>
  </si>
  <si>
    <t xml:space="preserve"> Emerging alternatives to leadership and governance in a digital ecosystem. </t>
  </si>
  <si>
    <t xml:space="preserve"> Where is the Wisdom we lost in knowledge: security issues and human relationships in social media. </t>
  </si>
  <si>
    <t xml:space="preserve"> Gestão da Informação em Museus. </t>
  </si>
  <si>
    <t xml:space="preserve"> Cidades Inteligentes: um novo espaço digital para a cidade. </t>
  </si>
  <si>
    <t xml:space="preserve"> Informing at the new UFP Hospital playing with information and the digital challenge. </t>
  </si>
  <si>
    <t xml:space="preserve"> Uso da Ferramenta Kahoot Transformando a Aula do Ensino Médio em um Game de Conhecimento. </t>
  </si>
  <si>
    <t xml:space="preserve"> Modelo Pedagógico ML-SAI: Uma Atividade Experimental no Ensino Médio. </t>
  </si>
  <si>
    <t xml:space="preserve"> Gestão do Conhecimento e Produção de Conteúdo para a Educação a Distância: Estado da Arte em um Período de 14 anos. </t>
  </si>
  <si>
    <t>Rocha, D.</t>
  </si>
  <si>
    <t xml:space="preserve"> Curadoria Digital de Conteúdo EAD para o Ensino Superior: Proposta e Desafios. </t>
  </si>
  <si>
    <t xml:space="preserve"> Uso de Live Stream em Ensino Superior Stricto Sensu no Brasil/UFPR. </t>
  </si>
  <si>
    <t>Rocha, C.</t>
  </si>
  <si>
    <t xml:space="preserve"> Uso do KAHOOT e de Estratégia de Gamificação no Ensino Superior: Relato de Experiência da Aplicação do Peer Instruction como Metodologia de Ensino. </t>
  </si>
  <si>
    <t xml:space="preserve"> Direito à Informação: uma análise sob a ótica do direito à informação do portal da transparência do Ceará. </t>
  </si>
  <si>
    <t>Lima, E.</t>
  </si>
  <si>
    <t xml:space="preserve"> Curadoria de Conteúdo para Educação a Distância: Modelo de Referencia de Qualidade para o Ensino Superior. </t>
  </si>
  <si>
    <t>Rocha, D</t>
  </si>
  <si>
    <t xml:space="preserve"> Stream Media: Caso de Estudo no Ensino Superior no Brasil. </t>
  </si>
  <si>
    <t xml:space="preserve"> Contribuição para a medição de iniciativas de Inovação Social, o seu Impacto, Escala e Desenvolvimento Sustentável. </t>
  </si>
  <si>
    <t xml:space="preserve"> Inteligência artificial como solução para classificação fiscal: um estudo de caso sobre os impactos das tecnologias digitais sobre os cinco domínios fundamentais da estratégia a inserir. </t>
  </si>
  <si>
    <t>Braga, L.</t>
  </si>
  <si>
    <t xml:space="preserve"> Oliveira, F.</t>
  </si>
  <si>
    <t xml:space="preserve"> Madruga, E.</t>
  </si>
  <si>
    <t xml:space="preserve"> Modelo Z: uma proposta para a construção colaborativa de uma plataforma digital. </t>
  </si>
  <si>
    <t>Araujo, P.</t>
  </si>
  <si>
    <t xml:space="preserve"> A Gestão do Conhecimento em face dos Fluxos Informacionais em contexto de fluidez – Uma investigação em uma organização civil sem fins lucrativos. </t>
  </si>
  <si>
    <t xml:space="preserve">Almasri, A. </t>
  </si>
  <si>
    <t>Pereira, R.</t>
  </si>
  <si>
    <t xml:space="preserve"> Dinis, A.</t>
  </si>
  <si>
    <t xml:space="preserve"> A Sala de Aula Invertida num Cenário Potencial de Integração com a Wikipédia. </t>
  </si>
  <si>
    <t>Sargo, S.</t>
  </si>
  <si>
    <t xml:space="preserve"> Uso e exploração das TIC para melhorar a condição humana, no contexto do ensino especial. </t>
  </si>
  <si>
    <t xml:space="preserve"> Educação Especial e a Cultura Digital: passos de uma trajetória de desafios e de construção de uma Educação Inclusiva. </t>
  </si>
  <si>
    <t xml:space="preserve"> Treinar o sono. </t>
  </si>
  <si>
    <t>Domingues, F.</t>
  </si>
  <si>
    <t xml:space="preserve"> Educação Especial na Cidade de Betim – Minas Gerais. </t>
  </si>
  <si>
    <t xml:space="preserve"> Dropout in distance learning: A reference model for an integrated alert system. </t>
  </si>
  <si>
    <t>Costa, O.</t>
  </si>
  <si>
    <t xml:space="preserve"> O Uso do WhatsApp na Aprendizagem: Uma Experiência no Ensino Superior. </t>
  </si>
  <si>
    <t xml:space="preserve"> Uso do kahoot como ferramenta de aprendizagem. </t>
  </si>
  <si>
    <t xml:space="preserve"> Desenvolvimento de Aplicativo Móvel para Carona Acadêmica. </t>
  </si>
  <si>
    <t xml:space="preserve"> Trindade, G.</t>
  </si>
  <si>
    <t xml:space="preserve"> A Model for Construction of high Quality Learning Environments - The relevant facts. </t>
  </si>
  <si>
    <t xml:space="preserve"> The key factors for a learning space - time, space and activity. </t>
  </si>
  <si>
    <t xml:space="preserve"> Tecnologia de Informação e Educação aplicada ao Ensino SuperiorPercepções em uma IES em Belém do Pará. </t>
  </si>
  <si>
    <t xml:space="preserve"> Geography and its digital dimensions: a cities related discussion to join European inheritage. </t>
  </si>
  <si>
    <t xml:space="preserve"> LIBEROPINION – A Web Platform for Public Participation. </t>
  </si>
  <si>
    <t xml:space="preserve"> Agante, P.</t>
  </si>
  <si>
    <t xml:space="preserve"> Abrantes, S. </t>
  </si>
  <si>
    <t xml:space="preserve"> An Empirical Factors that Influences the Adoption and Selection of Internet Service. </t>
  </si>
  <si>
    <t xml:space="preserve"> Plataforma Digital: Gestão da Informação e do Conhecimento. </t>
  </si>
  <si>
    <t xml:space="preserve"> Cultura Digital: uma discussão para uso e transformação no acesso e exploração da informação. </t>
  </si>
  <si>
    <t xml:space="preserve"> Contributos para o Ensino Superior em Moçambique. </t>
  </si>
  <si>
    <t xml:space="preserve"> Governança Digital com o recurso de uma plataforma para a gestão da informação do Centro de Referência e Apoio a Educação Inclusiva. </t>
  </si>
  <si>
    <t xml:space="preserve"> Keep using day-to-day tools in the classroom. </t>
  </si>
  <si>
    <t xml:space="preserve">Daradkeh, Y. </t>
  </si>
  <si>
    <t xml:space="preserve"> Gouveia, L.  </t>
  </si>
  <si>
    <t xml:space="preserve"> e-consultation as a tool for participation in teachers’ unions. </t>
  </si>
  <si>
    <t xml:space="preserve"> Desenvolvimento de um algoritmo avançado para mensuração de densidade óssea baseado na densitometria radiográfica. </t>
  </si>
  <si>
    <t xml:space="preserve"> Louzada, M.</t>
  </si>
  <si>
    <t xml:space="preserve"> Information Overload: a preliminary discussion. </t>
  </si>
  <si>
    <t>Daradkeh, Y</t>
  </si>
  <si>
    <t xml:space="preserve"> Pascal, O. Gouveia, L. </t>
  </si>
  <si>
    <t xml:space="preserve"> Computational solution "ODR-ATA" to mesurement of bone density from radiographic density. </t>
  </si>
  <si>
    <t xml:space="preserve"> Nakamura, E.</t>
  </si>
  <si>
    <t xml:space="preserve"> Massunari, L. &amp; Louzada, M. </t>
  </si>
  <si>
    <t xml:space="preserve"> MOOC: Towards a Discourse on Higher Education Change. </t>
  </si>
  <si>
    <t xml:space="preserve"> MOOC: qual o papel na reconceptualização da Universidade? X EUTIC, Papel das TIC no Design de Processos Informacionais e Cognitivos. </t>
  </si>
  <si>
    <t xml:space="preserve"> Model of Digital Mediation to support Communication between Teachers Unions and the Education Community. </t>
  </si>
  <si>
    <t xml:space="preserve"> Quental, C</t>
  </si>
  <si>
    <t xml:space="preserve"> Communication Model for Generalist News Media Websites. </t>
  </si>
  <si>
    <t xml:space="preserve"> Estudo preliminar para a adopção de práticas de EAD na Unizambeze. </t>
  </si>
  <si>
    <t xml:space="preserve"> Proposta de um Modelo Funcional para iniciativas de mediação digital em campanhas eleitorais. </t>
  </si>
  <si>
    <t xml:space="preserve"> The importance of the learner’s characteristics in distance learning environments: a case study. </t>
  </si>
  <si>
    <t xml:space="preserve"> Participação pública com recurso a meios digitais: será que os políticos utilizam novos meios com estratégias antigas. </t>
  </si>
  <si>
    <t xml:space="preserve"> MOOC e reconceptualização do Ensino na Universidade. </t>
  </si>
  <si>
    <t xml:space="preserve"> Communication Model for Sports Media Web Portals. </t>
  </si>
  <si>
    <t xml:space="preserve"> Issues and specifications on a prescription system for controlling patient takes and  drugs usage. </t>
  </si>
  <si>
    <t>Martins, S.</t>
  </si>
  <si>
    <t xml:space="preserve"> Lopes, A.</t>
  </si>
  <si>
    <t xml:space="preserve"> Model of Digital Mediation for Direct Public Participation in electoral Periods. </t>
  </si>
  <si>
    <t xml:space="preserve"> The Impact of Digital in Learning Spaces: An Analysis on the Perspective of Teachers in Higher Education. </t>
  </si>
  <si>
    <t xml:space="preserve">Silva, P </t>
  </si>
  <si>
    <t xml:space="preserve"> As Tecnologias na Educação: um novo olhar pedagógico no ambiente virtual Edmodo. </t>
  </si>
  <si>
    <t xml:space="preserve"> The Information Warfare - how it can affect us. </t>
  </si>
  <si>
    <t xml:space="preserve"> Proposta de mediação digital para a participação pública directa em períodos eleitorais. </t>
  </si>
  <si>
    <t xml:space="preserve"> Turnover and ICT Contribution in Organizational Knowledge Management. </t>
  </si>
  <si>
    <t xml:space="preserve">Fidalgo, F. </t>
  </si>
  <si>
    <t xml:space="preserve"> Assessing the use of m-learning support in an higher education context - A study approach based in the innovation spreading. </t>
  </si>
  <si>
    <t xml:space="preserve"> Blended-learning Strategies in Higher Education. </t>
  </si>
  <si>
    <t xml:space="preserve"> Pimenta, P. </t>
  </si>
  <si>
    <t xml:space="preserve"> Assessing Messaging Activity In An Online Discussion Forum Using an Innovation Adoption Approach. </t>
  </si>
  <si>
    <t xml:space="preserve"> On Learning Spaces in Higher Education: Space as an Agent of Change. </t>
  </si>
  <si>
    <t>Silva, P.</t>
  </si>
  <si>
    <t xml:space="preserve"> Comparing Google Groups use by evaluating flow experience and generated messages in laptop and desktop higher education students. </t>
  </si>
  <si>
    <t xml:space="preserve"> O impacto da rotatividade na Gestão do Conhecimento Organizacional. </t>
  </si>
  <si>
    <t>Fidalgo, F.</t>
  </si>
  <si>
    <t xml:space="preserve"> Avaliação do uso do Google Groups com desktops ou laptops enquanto ambiente colaborativo: o caso da qualidade das mensagens. </t>
  </si>
  <si>
    <t xml:space="preserve"> Governómetro: uma Aplicação Web para Monitorizar a Actividade Governativa. </t>
  </si>
  <si>
    <t xml:space="preserve"> Planeamento pedagógico: documentos, mobilidade e reutilização. </t>
  </si>
  <si>
    <t>Pimenta, P.</t>
  </si>
  <si>
    <t xml:space="preserve"> The e-learning in the Portuguese Higher Education: past, present and future. </t>
  </si>
  <si>
    <t xml:space="preserve"> Learning Spaces Framework Qualitative findings. </t>
  </si>
  <si>
    <t xml:space="preserve"> Workshop sobre LMS vs PLE: fusão ou choque? TICEduca 2010. </t>
  </si>
  <si>
    <t>Dias, A.</t>
  </si>
  <si>
    <t xml:space="preserve"> Santos, C.</t>
  </si>
  <si>
    <t xml:space="preserve"> Costa, C.</t>
  </si>
  <si>
    <t xml:space="preserve"> Peres, P.</t>
  </si>
  <si>
    <t xml:space="preserve"> Simões, P.</t>
  </si>
  <si>
    <t xml:space="preserve">Torrão, S. </t>
  </si>
  <si>
    <t xml:space="preserve"> A comparison study on early adoption of mobile devices and desktops within collaborative environments in higher education. </t>
  </si>
  <si>
    <t xml:space="preserve"> Liberopinion: a Web Platform for Enhancing e-Democracy. </t>
  </si>
  <si>
    <t xml:space="preserve"> Laptops vs Desktops in a Google Groups environment. </t>
  </si>
  <si>
    <t xml:space="preserve"> A study on the usage of mobile devices in collaborative environments vs desktops. </t>
  </si>
  <si>
    <t xml:space="preserve"> Liberopinion: uma plataforma para Eleições 2.0</t>
  </si>
  <si>
    <t xml:space="preserve"> Using Google Groups in an m-learning environment. </t>
  </si>
  <si>
    <t xml:space="preserve"> Learning Environments. </t>
  </si>
  <si>
    <t xml:space="preserve"> Liberopinion as an enabling platform for elections 2.0</t>
  </si>
  <si>
    <t xml:space="preserve"> A geração digital no novo mundo empresarial. </t>
  </si>
  <si>
    <t xml:space="preserve"> O Conceito de Rede no Digital face aos Media Sociais. </t>
  </si>
  <si>
    <t xml:space="preserve"> Sakai as a Collaborative Open-source learning platform for use at University Fernando Pessoa. </t>
  </si>
  <si>
    <t xml:space="preserve"> Sakai experience from a real setting. </t>
  </si>
  <si>
    <t xml:space="preserve">Gouveia, L . </t>
  </si>
  <si>
    <t xml:space="preserve"> Netorwork Based Branding: a collaborative model for the development of place brands. </t>
  </si>
  <si>
    <t>Gaio, S.</t>
  </si>
  <si>
    <t xml:space="preserve"> Learning space. </t>
  </si>
  <si>
    <t xml:space="preserve"> Web 2.0</t>
  </si>
  <si>
    <t>2007</t>
  </si>
  <si>
    <t xml:space="preserve"> Resultados de uma abordagem de cidade digital para a administração local. </t>
  </si>
  <si>
    <t>Gouveia, J. </t>
  </si>
  <si>
    <t xml:space="preserve"> Uma perspectiva orientada ao território para o local e-government. </t>
  </si>
  <si>
    <t xml:space="preserve"> An approach to teaching with computer games by applying the flow experience. </t>
  </si>
  <si>
    <t xml:space="preserve"> Towards an e-participation engine: where people tak place. </t>
  </si>
  <si>
    <t>Constantino, J.</t>
  </si>
  <si>
    <t xml:space="preserve"> A digital approach to our time-space living. </t>
  </si>
  <si>
    <t xml:space="preserve"> Language learning using the Sakai collaborative learning environment: current experience. </t>
  </si>
  <si>
    <t xml:space="preserve"> Reis, P. </t>
  </si>
  <si>
    <t xml:space="preserve"> Using Competitive Intelligence as a Strategic Tool in a Higher Education Context. </t>
  </si>
  <si>
    <t>Trigo, M.</t>
  </si>
  <si>
    <t xml:space="preserve"> Quoniam, L.</t>
  </si>
  <si>
    <t xml:space="preserve">Riccio, E. </t>
  </si>
  <si>
    <t xml:space="preserve"> Recurso a computadores por utilizadores com deficiência: um caso real. </t>
  </si>
  <si>
    <t>Clara, P.</t>
  </si>
  <si>
    <t xml:space="preserve"> A Universidade Corporativa: reflexão sobre a motivação, benefícios e implicações do conceito. </t>
  </si>
  <si>
    <t xml:space="preserve"> Using Sakai as a collaborative learning environment to support higher education activity. </t>
  </si>
  <si>
    <t xml:space="preserve"> O Branding e a Dimensão digital da cidade: Dinâmicas e Contributos para a competitividade. </t>
  </si>
  <si>
    <t xml:space="preserve"> Gouveia, J.</t>
  </si>
  <si>
    <t xml:space="preserve"> Do Território Esperado ao Território Experimentado: A Identidade Como Factor Nuclear no Processo de Branding. </t>
  </si>
  <si>
    <t xml:space="preserve"> O e-learning como suporte ao ensino superior universitário. </t>
  </si>
  <si>
    <t xml:space="preserve"> A Sociedade da Informação e do Conhecimento e as novas competências. </t>
  </si>
  <si>
    <t xml:space="preserve"> O e-learning como etapa da universidade para o virtual. </t>
  </si>
  <si>
    <t xml:space="preserve">Gomes, F. </t>
  </si>
  <si>
    <t xml:space="preserve"> O digital e as novas formas de, e para, aprender. </t>
  </si>
  <si>
    <t xml:space="preserve"> Características Essenciais do Ensino a Distância. </t>
  </si>
  <si>
    <t xml:space="preserve"> Bibliotecas digitais: a importância do serviço de referência. </t>
  </si>
  <si>
    <t>Marques, M.</t>
  </si>
  <si>
    <t xml:space="preserve"> O relacionamento com o cidadão: a importância do território. </t>
  </si>
  <si>
    <t xml:space="preserve"> People and Digital Cities: Promote innovation and information use. </t>
  </si>
  <si>
    <t xml:space="preserve"> Information Overload: the case for e-learning within Gaia Digital. </t>
  </si>
  <si>
    <t xml:space="preserve"> Using visuals to convey information. </t>
  </si>
  <si>
    <t xml:space="preserve"> Repensar a missão da biblioteca pública na Gestão das TIC. </t>
  </si>
  <si>
    <t>Azevedo, M.</t>
  </si>
  <si>
    <t xml:space="preserve"> A Gestão do Relacionamento com o Cidadão em Cidades e Regiões Digitais. </t>
  </si>
  <si>
    <t xml:space="preserve"> A Web Application To Support Higher Education Teaching Administrative Work. </t>
  </si>
  <si>
    <t xml:space="preserve"> Connecting The Real And The Virtual World: How To Measure Digital Cities Impact. </t>
  </si>
  <si>
    <t xml:space="preserve"> Local e-government: how useful is a digital cities rationale. </t>
  </si>
  <si>
    <t xml:space="preserve"> Presence in Computer-Mediated Environments: a Short Review of the main concepts, theories, and trends. </t>
  </si>
  <si>
    <t>Sacau, A.</t>
  </si>
  <si>
    <t xml:space="preserve"> Ribeiro, N.</t>
  </si>
  <si>
    <t xml:space="preserve"> Biocca, F. </t>
  </si>
  <si>
    <t xml:space="preserve"> Assuming a roadmap strategy for e-business. </t>
  </si>
  <si>
    <t xml:space="preserve"> Taking advantage of digital benefits for digital outcomes. </t>
  </si>
  <si>
    <t xml:space="preserve"> E-learning: an opportunity to support the individual, the group and the community. </t>
  </si>
  <si>
    <t xml:space="preserve"> Reflexão sobre o uso de sistemas CRM e SIG para suporte ao conceito de cidade digital. </t>
  </si>
  <si>
    <t xml:space="preserve"> Using a content management approach to support Web-based learning. </t>
  </si>
  <si>
    <t xml:space="preserve"> Digital cities: the Gaia Digital approach. </t>
  </si>
  <si>
    <t xml:space="preserve"> A Proposal for using Visualisation to Support Collaborative Learning. </t>
  </si>
  <si>
    <t xml:space="preserve"> Evaluative Etnography and Systems Design: can it also be used to assess presence? Proceedings of the Fifth Annual International Workshop. </t>
  </si>
  <si>
    <t xml:space="preserve"> Emergent skills in higher education: from know-how to know-where, know-who, know-what, know-when and know-why. </t>
  </si>
  <si>
    <t xml:space="preserve"> Towards a social approah to Digital Cities. </t>
  </si>
  <si>
    <t xml:space="preserve"> Assessing a case of Web use for face to face teaching support. </t>
  </si>
  <si>
    <t xml:space="preserve"> Proposing a semantic approach to Content Management for Education, Learning and Training. </t>
  </si>
  <si>
    <t xml:space="preserve"> Estudo dos factores de sucesso em ambientes de ensino à distância. </t>
  </si>
  <si>
    <t xml:space="preserve"> EFTWeb: providing context sharing for  Web-Based Learning. </t>
  </si>
  <si>
    <t xml:space="preserve"> Supporting knowledge sharing within an organisation. </t>
  </si>
  <si>
    <t xml:space="preserve"> Limites ao uso da World Wide Web como complemento ao ensino presencial. </t>
  </si>
  <si>
    <t xml:space="preserve"> EFTWeb: an environment to support context sharing for education settings. </t>
  </si>
  <si>
    <t xml:space="preserve"> Proposing a knowledge policy based on the EFTWeb model. </t>
  </si>
  <si>
    <t xml:space="preserve"> A visualisation proposal to assist knowledge sharing. </t>
  </si>
  <si>
    <t xml:space="preserve"> EFTWeb: towards a content management system. </t>
  </si>
  <si>
    <t xml:space="preserve"> Using the Web to support an education, learning and training service centre. </t>
  </si>
  <si>
    <t xml:space="preserve"> Visualisation and Direct Manipulation: issues for human systems development. </t>
  </si>
  <si>
    <t xml:space="preserve"> EFTWeb: Towards a service centre for Education, Learning and Training. </t>
  </si>
  <si>
    <t xml:space="preserve"> EFTWeb: an application to support skills trading within education, learning and training environments. </t>
  </si>
  <si>
    <t xml:space="preserve"> EFTWeb: a learning environment that supports presence and distance education. </t>
  </si>
  <si>
    <t xml:space="preserve"> Informing a information discovery tool for using gesture. </t>
  </si>
  <si>
    <t xml:space="preserve"> Innovation in Business Processes. </t>
  </si>
  <si>
    <t xml:space="preserve"> EFTWeb: a working model proposal to support Education, Learning and Training. </t>
  </si>
  <si>
    <t xml:space="preserve"> Shared Visualisation and Virtual Environments for Co-operative Learning. </t>
  </si>
  <si>
    <t xml:space="preserve"> Is there any space for presence teaching in a digital world? A proposed framework for Web usage. </t>
  </si>
  <si>
    <t xml:space="preserve"> Feasibility discussion of a Collaborative Virtual Environment, finding alternative ways for university members interaction. </t>
  </si>
  <si>
    <t xml:space="preserve"> Digital support for teachers teaching. </t>
  </si>
  <si>
    <t xml:space="preserve"> The NetLab experience, moving the action to electronic learning environments. </t>
  </si>
  <si>
    <t>1996</t>
  </si>
  <si>
    <t xml:space="preserve"> Sociedade Digital: que oportunidades? Congresso Internacional Pós-Colonialismo e Identidade, UFP. </t>
  </si>
  <si>
    <t xml:space="preserve"> A infocomunicação ou a convergência das Ciências da Informação e da Comunicação para um objeto comum. </t>
  </si>
  <si>
    <t xml:space="preserve">Malheiro, A. </t>
  </si>
  <si>
    <t xml:space="preserve"> Explorar e interagir também no digital: um desafio para os mais crescidos. </t>
  </si>
  <si>
    <t xml:space="preserve">  Informação digital e segurança. </t>
  </si>
  <si>
    <t xml:space="preserve"> O digital, a mobilidade e a economia da privacidade. </t>
  </si>
  <si>
    <t xml:space="preserve">Cidades Inteligentes: a exploração do digital. </t>
  </si>
  <si>
    <t xml:space="preserve"> Negócio e Redes Sociais: fusão ou confusão. </t>
  </si>
  <si>
    <t xml:space="preserve"> Do local ao global: a tecnologia digital ao serviço do conhecimento. </t>
  </si>
  <si>
    <t xml:space="preserve"> A Informática e o mercado de trabalho: notas avulsas. </t>
  </si>
  <si>
    <t xml:space="preserve"> Digital Mediation for Public Participation. </t>
  </si>
  <si>
    <t xml:space="preserve"> Sousa, A. </t>
  </si>
  <si>
    <t xml:space="preserve"> Cidades Digitais, promessas e preocupações. </t>
  </si>
  <si>
    <t xml:space="preserve"> App Kahoot como ferramenta de intervenção pedagógica para promoção da educação ambiental. </t>
  </si>
  <si>
    <t xml:space="preserve"> Carlotto, I.</t>
  </si>
  <si>
    <t xml:space="preserve"> O Uso do Google Groups em Atividades Extraclasse. </t>
  </si>
  <si>
    <t xml:space="preserve">  Aprendizagem Móvel na Produção Científica Indexada ao Scopus nos Anos de 2016 e 2017. </t>
  </si>
  <si>
    <t xml:space="preserve">  Desenvolvimento do Aplicativo ML-SAI para Android com Uso do App Inventor. </t>
  </si>
  <si>
    <t xml:space="preserve">  Percepção do Conceito de Plágio Acadêmico em um Curso de Sistemas de Informação na Perspectiva dos Aprendizes. </t>
  </si>
  <si>
    <t xml:space="preserve"> Facebook como Ferramenta de Apoio ao Ensino. </t>
  </si>
  <si>
    <t xml:space="preserve"> Sala de Aula Invertida com Auxílio do WhatsApp. </t>
  </si>
  <si>
    <t xml:space="preserve"> Tecnologias Móveis em Alguns Cursos da Universidade Aberta do Brasil. </t>
  </si>
  <si>
    <t xml:space="preserve"> Métricas de Desempenho em Campanhas na Rede Social Instagram e Reconhecimento da Marca: Estudo de Caso na SEAD UFMA. </t>
  </si>
  <si>
    <t>Junior, W.</t>
  </si>
  <si>
    <t xml:space="preserve"> Andrade, P.</t>
  </si>
  <si>
    <t xml:space="preserve"> Andrade, A.</t>
  </si>
  <si>
    <t xml:space="preserve"> Proposta de Integração dos Sistemas de Gestão ISO 9001:2015, ISO 14001:2015 e ISO 45001:2018, com o Sistema de Gerenciamento de Segurança Operacional - SGSO da ANP. </t>
  </si>
  <si>
    <t xml:space="preserve"> Interdisciplinaridades e Aplicações Didáticas com de maquetes voltadas ao Agronegócio. </t>
  </si>
  <si>
    <t xml:space="preserve"> Roque, W.</t>
  </si>
  <si>
    <t xml:space="preserve"> Empreendedorismo como valor à inovação e à criação do conhecimento. </t>
  </si>
  <si>
    <t xml:space="preserve"> O Programa de Benefícios Fiscais da nota Fiscal Eletrônica como Estímulo a Cidadania Fiscal. </t>
  </si>
  <si>
    <t>Aguiar, G.</t>
  </si>
  <si>
    <t xml:space="preserve">Martins, E. e  Gouveia, L.  </t>
  </si>
  <si>
    <t xml:space="preserve"> Uso do WhatsApp em Atividades Educativas Extraclasse On-line no Ensino de Programação. </t>
  </si>
  <si>
    <t xml:space="preserve"> ML-SAI: Um Modelo Pedagógico para Atividades de M-Learning que Integra a Abordagem da Sala de Aula Invertida. </t>
  </si>
  <si>
    <t xml:space="preserve"> Projeto Logislab: Uso de Maquetes no Ensino da Logística. </t>
  </si>
  <si>
    <t xml:space="preserve"> Kahoot na Sala de Aula do Ensino Médio. </t>
  </si>
  <si>
    <t xml:space="preserve"> Uso do Google Drive no Apoio a Aprendizagem Colaborativa. </t>
  </si>
  <si>
    <t xml:space="preserve"> Uso do WhatsApp em Atividades Educativas Extraclasse. </t>
  </si>
  <si>
    <t xml:space="preserve">Martins, E. </t>
  </si>
  <si>
    <t xml:space="preserve"> O Uso da Rede Social Educativa Edmodo em Atividades Extraclasse. </t>
  </si>
  <si>
    <t xml:space="preserve"> Facebook como Ferramenta de Apoio ao Ensino Superior. </t>
  </si>
  <si>
    <t xml:space="preserve"> WhatsApp como Apoio a Aprendizagem no Ensino Médio. </t>
  </si>
  <si>
    <t>Martins , E.</t>
  </si>
  <si>
    <t xml:space="preserve"> Tecnologias Móveis em cursos da Universidade Aberta. </t>
  </si>
  <si>
    <t xml:space="preserve"> Uma metodologia para a medição da densidade óssea pela técnica de densitometria de raios-X. </t>
  </si>
  <si>
    <t xml:space="preserve"> Uma técnica para medir a densidade óssea usando uma imagem radiográfica. </t>
  </si>
  <si>
    <t xml:space="preserve"> O Digital nas Instituições de Ensino Superior: um diagnóstico sobre a percepção docente em uma instituição de ensino superior. </t>
  </si>
  <si>
    <t xml:space="preserve"> Crescimento económico de Angola e as TIC: os últimos 12 anos. </t>
  </si>
  <si>
    <t xml:space="preserve">Crescimento Económico de Angola: os últimos 12 anos. </t>
  </si>
  <si>
    <t xml:space="preserve"> A importância crescente do Capital Humano, Intelectual, Social e Territorial e a sua associação ao conhecimento. </t>
  </si>
  <si>
    <t xml:space="preserve">Couto, P. </t>
  </si>
  <si>
    <t xml:space="preserve">A importância das Ciberarmas no Contexto da Ciberdefesa de um Pequeno Estado. </t>
  </si>
  <si>
    <t xml:space="preserve">Contributo para a discussão sobre a contabilização do Conhecimento e do Capital Humano nas Organizações. </t>
  </si>
  <si>
    <t xml:space="preserve">Pinto, C. </t>
  </si>
  <si>
    <t xml:space="preserve"> A promoção da infoliteracia como estratégia de autonomia numa biblioteca do ensino superior. </t>
  </si>
  <si>
    <t xml:space="preserve"> MOOC: Qual o papel na reconceptualização da Universidade. </t>
  </si>
  <si>
    <t xml:space="preserve"> O contributo das plataformas educativas no ensino e formação de professores em Angola: Experiência piloto no ISCED - Huambo. </t>
  </si>
  <si>
    <t xml:space="preserve"> O Excesso de Informação e as suas implicações para indivíduos e organizações. </t>
  </si>
  <si>
    <t xml:space="preserve"> As redes sociais e a Web 2.0</t>
  </si>
  <si>
    <t>Cardoso, T.</t>
  </si>
  <si>
    <t xml:space="preserve"> O digital e as redes como mecanismos de inovação na participação pública. </t>
  </si>
  <si>
    <t xml:space="preserve"> A gestão da marca territorial sob uma abordagem colaborativa: notas sobre os casos de Cascais, Guimarães, Paços de Ferreira e Ponte de Lima. </t>
  </si>
  <si>
    <t xml:space="preserve"> Network Based Branding: Um Modelo Colaborativo para a Edificação de Marcas Territoriais. </t>
  </si>
  <si>
    <t xml:space="preserve"> Território e oportunidades de desenvolvimento com recurso a práticas de local e-government. </t>
  </si>
  <si>
    <t xml:space="preserve"> Consumer Behaviour of the Millennial Generation. </t>
  </si>
  <si>
    <t xml:space="preserve"> A administração pública local de base electrónica: questões e desafios.2</t>
  </si>
  <si>
    <t xml:space="preserve"> Contribuição para a definição de Cidade e Região Digital. </t>
  </si>
  <si>
    <t xml:space="preserve"> Connecting the Real and the Virtual World: a discussion on measuring Digital Cities impact. </t>
  </si>
  <si>
    <t xml:space="preserve"> Virtual Environments and Knowledge Sharing. </t>
  </si>
  <si>
    <t xml:space="preserve"> O património cultural como um activo. </t>
  </si>
  <si>
    <t>Gouveia, F.</t>
  </si>
  <si>
    <t xml:space="preserve"> E-learning: uma perspectiva sobre o ensino, formação e treino mediado por computador. </t>
  </si>
  <si>
    <t xml:space="preserve"> Integração e Convergência no Ensino, Formação e Treino. </t>
  </si>
  <si>
    <t xml:space="preserve"> Restivo, F.</t>
  </si>
  <si>
    <t xml:space="preserve"> Uma proposta para a avaliação e diagnóstico mediada por computador. </t>
  </si>
  <si>
    <t xml:space="preserve"> Criação de espaços de informação interactivos. </t>
  </si>
  <si>
    <t>Camacho, L.</t>
  </si>
  <si>
    <t xml:space="preserve"> Será a Internet/Intranet uma plataforma viável para a sala de aula? Lições retiradas do uso de computadores portáteis e da web em sala de aula. </t>
  </si>
  <si>
    <t xml:space="preserve"> Utilização de Computadores Portáteis em ambiente universitário: reflexão inicial e perspectivas. </t>
  </si>
  <si>
    <t xml:space="preserve"> e-Government and Smart Cities: Contexts and Challenges Taking from Digital Usage and Exploration. </t>
  </si>
  <si>
    <t xml:space="preserve"> Cibersegurança e proteção do espaço digital. </t>
  </si>
  <si>
    <t xml:space="preserve"> A gestão da informação no tempo do digital: pessoas, dados e plataformas digitais. </t>
  </si>
  <si>
    <t xml:space="preserve"> Liderança Digital e as novas plataformas de colaboração. </t>
  </si>
  <si>
    <t xml:space="preserve"> Atividade Humana, o digital e os processos de ensino e aprendizagem. </t>
  </si>
  <si>
    <t xml:space="preserve"> Getting Mobile: a critical challenge for the higher education classroom. </t>
  </si>
  <si>
    <t xml:space="preserve"> Open access and social media: challenges and opportunities for information management. </t>
  </si>
  <si>
    <t xml:space="preserve"> Challenges in Higher Education as a Transformative Ecosystem for Students and Professors. </t>
  </si>
  <si>
    <t xml:space="preserve">Going Open in University &amp; Libraries: challenges and applications. </t>
  </si>
  <si>
    <t xml:space="preserve"> Higher Education in the XXI century: challenging everything and also the library role. </t>
  </si>
  <si>
    <t xml:space="preserve"> The  Library and Higher Education: where and how to rethink relationships. </t>
  </si>
  <si>
    <t xml:space="preserve"> O caso do Gaia Global (2000-2005) um testemunho da exploração do digital para benefício do território. </t>
  </si>
  <si>
    <t xml:space="preserve"> Adoção e Inovação em Tecnologias de Informação. </t>
  </si>
  <si>
    <t xml:space="preserve"> Digital Libraries and the quest for information curation. </t>
  </si>
  <si>
    <t xml:space="preserve"> Some issues on Bibliometrics: the way I would like to be helped as a University Professor. </t>
  </si>
  <si>
    <t xml:space="preserve"> Digital Paradox: why place matters, putting place in its place! Switch conference. </t>
  </si>
  <si>
    <t xml:space="preserve"> Site Stats: the power of event tracking at a single click in Sakai. </t>
  </si>
  <si>
    <t xml:space="preserve"> Martinez, D. </t>
  </si>
  <si>
    <t xml:space="preserve"> My students and shared resources: design of a supervision tool. </t>
  </si>
  <si>
    <t xml:space="preserve"> Fern</t>
  </si>
  <si>
    <t xml:space="preserve">es, N. </t>
  </si>
  <si>
    <t xml:space="preserve"> Targeting the Millennial Generation. </t>
  </si>
  <si>
    <t xml:space="preserve"> The University and the Social Web challenge. </t>
  </si>
  <si>
    <t xml:space="preserve">Simões, L. </t>
  </si>
  <si>
    <t xml:space="preserve"> Intelligent cities: from digital to social analogic. </t>
  </si>
  <si>
    <t xml:space="preserve"> Distance Learning with Sakai. </t>
  </si>
  <si>
    <t xml:space="preserve"> UFPUV contribution for the Deployment Sakai panel: an implementation Panel: the Sakai journey Part II. </t>
  </si>
  <si>
    <t xml:space="preserve"> The use of Sakai to deploy the UFP Virtual University Initiative. </t>
  </si>
  <si>
    <t xml:space="preserve"> Sakay in practice at an European University: UFP. </t>
  </si>
  <si>
    <t xml:space="preserve">  Cidades Digitais, o digital e implicações para o território. </t>
  </si>
  <si>
    <t xml:space="preserve"> Identidade para quê? Desafios ao território na Sociedade da Informação. </t>
  </si>
  <si>
    <t xml:space="preserve"> Agregar o Digital, o Virtual e o Real: reinventar o espaço e o tempo. </t>
  </si>
  <si>
    <t xml:space="preserve"> Divulgar conteúdos e partilhar experiências usando a World Wide Web. </t>
  </si>
  <si>
    <t xml:space="preserve"> Is a virtual environment feasible to support knowledge sharing? SSGRR 2001 International Conference on Advances in Infrastructure for Electronic Business, Science, and Education on the Internet, Scuola Superiore Guglielmo Reiss Romoli, L'Aquila, Italy, August, 6-12. </t>
  </si>
  <si>
    <t xml:space="preserve"> Beyond the NetLab: how to involve the community producers. </t>
  </si>
  <si>
    <t xml:space="preserve"> The Role of Teachers in Rich Technological Environments. </t>
  </si>
  <si>
    <t xml:space="preserve"> Perspetivas de Internacionalização para a Rede de Gestão da Informação e do Conhecimento. </t>
  </si>
  <si>
    <t>Botelho, R.</t>
  </si>
  <si>
    <t xml:space="preserve"> Freitas, M.</t>
  </si>
  <si>
    <t xml:space="preserve"> Araújo Júnior, R.</t>
  </si>
  <si>
    <t xml:space="preserve"> Teixeira, M.</t>
  </si>
  <si>
    <t xml:space="preserve">Vianna, W. </t>
  </si>
  <si>
    <t xml:space="preserve">Mascaranhas, R. et al. </t>
  </si>
  <si>
    <t xml:space="preserve"> Privacidade, cibersegurança e regulamentação económica. </t>
  </si>
  <si>
    <t xml:space="preserve">  Grupo de reflexão Privacidade e Cibersegurança (apresentação e moderação do grupo). </t>
  </si>
  <si>
    <t xml:space="preserve"> Ciclo de Debates Arquivos, Bibliotecas e Museus: acesso à Informação. </t>
  </si>
  <si>
    <t xml:space="preserve"> Mercado único digital europeu: transformações económicas, competências e empregabilidade. </t>
  </si>
  <si>
    <t xml:space="preserve"> Grupo de reflexão eSkills (apresentação e moderação do grupo). </t>
  </si>
  <si>
    <t xml:space="preserve"> Ponto prévio ao grupo de reflexão eSkills (apresentação). </t>
  </si>
  <si>
    <t xml:space="preserve"> Workshop sobre Participação. </t>
  </si>
  <si>
    <t xml:space="preserve"> Neves, A.</t>
  </si>
  <si>
    <t xml:space="preserve"> Nascimento, J.</t>
  </si>
  <si>
    <t xml:space="preserve">Leal, D. </t>
  </si>
  <si>
    <t xml:space="preserve"> Competência na Sociedade da Informação para Superar a Crise. </t>
  </si>
  <si>
    <t xml:space="preserve"> Painel Virtual Universities. </t>
  </si>
  <si>
    <t xml:space="preserve"> Gaia Global: a digital cities project. </t>
  </si>
  <si>
    <t xml:space="preserve">Vorderer, P. et al. </t>
  </si>
  <si>
    <t xml:space="preserve"> MEC‘s Two-Level Model of “Spatial Presence”. </t>
  </si>
  <si>
    <t xml:space="preserve"> Segurança e privacidade num mundo digital. </t>
  </si>
  <si>
    <t xml:space="preserve"> Uma abordagem do impacte do digital no individuo. </t>
  </si>
  <si>
    <t xml:space="preserve"> Um tempo renovado para a Sociedade da Informação. </t>
  </si>
  <si>
    <t xml:space="preserve"> A Experiência do Acesso Aberto e do auto-arquivo. </t>
  </si>
  <si>
    <t xml:space="preserve"> Modelo de matriz de diagnóstico e avaliação de Sistemas de Gestão Integrados (SGI) da Qualidade, Meio Ambiente, Segurança e Saúde no Trabalho. </t>
  </si>
  <si>
    <t xml:space="preserve"> O lugar da leitura como espaço de convergência entre o real e o digital. </t>
  </si>
  <si>
    <t xml:space="preserve"> Direito à Informação: Uma análise sob a óptica do direito à informação do portal da transparência do Ceará. </t>
  </si>
  <si>
    <t xml:space="preserve"> O papel das controladorias na transparência das informações: seu contexto e atuação dentro poder público.S</t>
  </si>
  <si>
    <t xml:space="preserve"> As dimensões valorativas da cultura digital: um instrumento para o mapeamento analítico de um território.S</t>
  </si>
  <si>
    <t xml:space="preserve"> Corrupção e seu alcance mundial: Um mal que afeta o planeta. </t>
  </si>
  <si>
    <t xml:space="preserve"> Perceções dos discentes sobre a sala de aula invertida (flipped classroom): experimentos em cursos superiores de tecnologia. </t>
  </si>
  <si>
    <t xml:space="preserve">Reis, P </t>
  </si>
  <si>
    <t xml:space="preserve"> Programa nacional de formação em administração pública (ONAO): implementação na Universidade Federal do Maranhão. </t>
  </si>
  <si>
    <t>Heluy, V.</t>
  </si>
  <si>
    <t xml:space="preserve"> A marca, a informação e o Digital. </t>
  </si>
  <si>
    <t>Gonçalves, F.</t>
  </si>
  <si>
    <t xml:space="preserve">Mesquita, F. </t>
  </si>
  <si>
    <t xml:space="preserve"> Jogos Sérios em Ambientes b-learning: uma avaliação da aprendizagem formal no ensino superior. </t>
  </si>
  <si>
    <t xml:space="preserve"> Prostituição: Profissão ou falta de opção? Seminário Doutoramento em Ciências da Informaçao. </t>
  </si>
  <si>
    <t xml:space="preserve"> Gestão do Conhecimento no Ensino Superior. </t>
  </si>
  <si>
    <t>Moreira, A.</t>
  </si>
  <si>
    <t xml:space="preserve"> O Abismo Tecnológico dos Professores Não Nativos Digitais frente a Educação 4.0</t>
  </si>
  <si>
    <t>Brito, I.</t>
  </si>
  <si>
    <t xml:space="preserve"> Públicas Virtudes e Vícios Privados. </t>
  </si>
  <si>
    <t xml:space="preserve"> Reviewing Power-saving approaches used during the actual end-user usage of an Android Application. </t>
  </si>
  <si>
    <t xml:space="preserve"> Inteligência Artificial como solução para classificação fiscal: um estudo de caso sobre os impactos  das tecnologias digitais sobre os cinco domínios fundamentais da estratégia.</t>
  </si>
  <si>
    <t>Oliveira, F.</t>
  </si>
  <si>
    <t xml:space="preserve"> Práticas de gestão e operacional para atender os requisitos das normas ABNT NBR ISO dos Sistemas de Gestão Integrados (SGI) e dos Regulamentos Técnicos da Agência Nacional do Petróleo (ANP). </t>
  </si>
  <si>
    <t>Mançú, R</t>
  </si>
  <si>
    <t xml:space="preserve">Cordeira, S. </t>
  </si>
  <si>
    <t xml:space="preserve"> Competências necessárias para adequação e implantação a escrituração contábil digital: estudo comparativo das organizações prestadoras de serviços contábeis de Brasil e Portugal. </t>
  </si>
  <si>
    <t>Guerra, F.</t>
  </si>
  <si>
    <t xml:space="preserve"> Curadoria de Conteúdo para Educação a Distância: modelo de referência de qualidade para o ensino superior. </t>
  </si>
  <si>
    <t xml:space="preserve"> Dados Abertos ao Público Alvo - caso prático do transporte escolar. </t>
  </si>
  <si>
    <t>Pinho, M.</t>
  </si>
  <si>
    <t xml:space="preserve"> Educação Ambiental: uma proposta interdisciplinar e interescolar gamificada. </t>
  </si>
  <si>
    <t xml:space="preserve"> Uso de Live Stream no Ensino Superior no Brasil: estudo de caso. </t>
  </si>
  <si>
    <t xml:space="preserve"> (Re) aprendizagem do Professor do Ensino Superior face ao triângulo Educação, Tecnologia e Aprendizagem em EAD. </t>
  </si>
  <si>
    <t xml:space="preserve"> Determinantes do Desempenho das Universidades Privadas de Ensino Superior Brasileiras. </t>
  </si>
  <si>
    <t>Abjaud, J.</t>
  </si>
  <si>
    <t xml:space="preserve"> Os níveis de transparência dos portais eletrónicos dos estados da região do nordeste entre os anos de 2016 a 2019 e os seus indicadores pertinentes. </t>
  </si>
  <si>
    <t>Portela, F.</t>
  </si>
  <si>
    <t xml:space="preserve"> Bibliometria e produção científica Ferramentas digitais associadas. </t>
  </si>
  <si>
    <t xml:space="preserve"> Desafios para o ensino e aprendizagem no digital. </t>
  </si>
  <si>
    <t xml:space="preserve"> As Pessoas, o Digital e o Ciberespaço. </t>
  </si>
  <si>
    <t xml:space="preserve"> Responder a um contexto digital nas IES. </t>
  </si>
  <si>
    <t xml:space="preserve"> As questões associadas com a proteção do espaço digital. </t>
  </si>
  <si>
    <t xml:space="preserve"> Plataformas digitais de serviço público e a prova digital. </t>
  </si>
  <si>
    <t xml:space="preserve"> Um algoritmo de seleção polinomial para mensuração de densidade radiográfica. </t>
  </si>
  <si>
    <t xml:space="preserve"> Fluxo Informacionais: Interligações de Processos de Informação e Conhecimento. </t>
  </si>
  <si>
    <t xml:space="preserve"> Tecnologia de Informação e Educação Aplicada ao Ensino Superior: Percepções em uma IES em Belém do Pará. </t>
  </si>
  <si>
    <t xml:space="preserve"> Cidades Inteligentes e poder. </t>
  </si>
  <si>
    <t xml:space="preserve"> O uso do governo digital pelo controle social no combate à corrupção pública no Ceará. </t>
  </si>
  <si>
    <t>Pinho, N.</t>
  </si>
  <si>
    <t xml:space="preserve"> Sistema Esfera Pública Digital: uma plataforma digital para gestão da informação da Educação Especial. </t>
  </si>
  <si>
    <t xml:space="preserve"> O Digital e as pessoas no contexto ciber. </t>
  </si>
  <si>
    <t xml:space="preserve"> Da transmissão à partilha e do desempenho à interação. </t>
  </si>
  <si>
    <t xml:space="preserve"> Desafios e certezas para o Capital Humano e Intelectual na Administração Pública. </t>
  </si>
  <si>
    <t xml:space="preserve"> A study on using interface animations in online shopping sites. </t>
  </si>
  <si>
    <t xml:space="preserve">Sousa, S. </t>
  </si>
  <si>
    <t xml:space="preserve"> Requirement for a MSL (Minimum Service Level) model for cloud providers and users. </t>
  </si>
  <si>
    <t>Khan, S.</t>
  </si>
  <si>
    <t xml:space="preserve"> Gestão de uma construção que possui uma dupla estrutura performativa: construtores e usuários como autores de uma plataforma digital. </t>
  </si>
  <si>
    <t xml:space="preserve"> The concept of tourism security and importance of ICT usage in Portugal. </t>
  </si>
  <si>
    <t>Erdem, M.</t>
  </si>
  <si>
    <t xml:space="preserve"> Discussão de um modelo conceptual de Governo Eletrónico Local para Angola. </t>
  </si>
  <si>
    <t xml:space="preserve"> Estudo de fatores importantes da gestão do conhecimento para desenvolvimento no contexto do ensino superior. </t>
  </si>
  <si>
    <t xml:space="preserve"> A economia partilhada e os fatores que a influenciam. </t>
  </si>
  <si>
    <t xml:space="preserve"> A atração dos consumidores para o comércio tradicional num contexto digital: requisitos e expetativas. </t>
  </si>
  <si>
    <t xml:space="preserve"> Proposta de uma abordagem para a (re)qualificação dinâmica do capital intelectual. </t>
  </si>
  <si>
    <t>Ramada, O.</t>
  </si>
  <si>
    <t xml:space="preserve"> Comportamento organizacional: proposta de um questionário para estudo do impacto dos incentivos comunitários às empresas. </t>
  </si>
  <si>
    <t>Biltes, N.</t>
  </si>
  <si>
    <t xml:space="preserve"> Dados preliminares sobre o nível de utilização e importâncias das TIC no ensino superior em Moçambique para o grupo alunos. </t>
  </si>
  <si>
    <t>Albuquerque, R.</t>
  </si>
  <si>
    <t xml:space="preserve"> A introdução das TIC em sala de aula no ensino primário: formação de professores na província do Huambo para o projeto «Meu Kamba. </t>
  </si>
  <si>
    <t xml:space="preserve"> O digital nas instituições de ensino superior: um diagnóstico sobre a perceção dos gestores e da comunidade académica do CESUPA. </t>
  </si>
  <si>
    <t xml:space="preserve"> Reaprendizagem do professor do ensino superior face ao triângulo educação, tecnologia e aprendizagem EaD. </t>
  </si>
  <si>
    <t xml:space="preserve"> Cultura Digital: usar e explorar dados e informação em 2017. </t>
  </si>
  <si>
    <t xml:space="preserve"> A linguagem R: um ambiente para explorar dados e aprender com eles. </t>
  </si>
  <si>
    <t xml:space="preserve"> Digital para que te quero..</t>
  </si>
  <si>
    <t xml:space="preserve">  O Digital e as Pessoas como Nova Tecnologia. </t>
  </si>
  <si>
    <t xml:space="preserve"> Cooperar no contexto do digital das redes e do território. </t>
  </si>
  <si>
    <t xml:space="preserve">  R: a alternativa ao SPSS e ao NVivo em software livre. </t>
  </si>
  <si>
    <t xml:space="preserve">  Holacracy as an alternative to organisations governance. </t>
  </si>
  <si>
    <t xml:space="preserve">  O digital, a sustentabilidade e a viagem do open source ao open data. </t>
  </si>
  <si>
    <t xml:space="preserve"> Desafios da segurança da informação: da sua cultura e aplicação à confidencialidade. </t>
  </si>
  <si>
    <t xml:space="preserve"> Uma discussão do impacte do digital (dos computadores aos fluxos de informação em rede). </t>
  </si>
  <si>
    <t xml:space="preserve"> Educação, tecnologia, aprendizagem – exaltação à negação: a busca da relevância. </t>
  </si>
  <si>
    <t xml:space="preserve"> Esfera Pública Digital. </t>
  </si>
  <si>
    <t xml:space="preserve"> O modelo de ensino da flipped classroom (sala de aula invertida) no âmbito do ensino superior. </t>
  </si>
  <si>
    <t xml:space="preserve"> As TICs aplicadas no ensino superior: um estudo de caso no contexto de uma IES particular na cidade de Belém do Pará. </t>
  </si>
  <si>
    <t xml:space="preserve"> Região Norte NUT II – como valor acrescentado no desenvolvimento digital da região. </t>
  </si>
  <si>
    <t xml:space="preserve"> O recurso a tecnologias de informação e comunicação para suporte da atividade em sala de aula de professores e formadores. </t>
  </si>
  <si>
    <t xml:space="preserve"> A promoção da cultura digital nos professores do 1º e 2º ciclo do ensino secundário, Município do Huambo: A Mediateca como agente na promoção da Cultura Digital. </t>
  </si>
  <si>
    <t xml:space="preserve"> MOOC: qual o papel na reconceptualização da Universidade? Dias da Investigação UFP. </t>
  </si>
  <si>
    <t xml:space="preserve"> O contributo da Mediateca do Huambo na promoção de competências TIC para professores. </t>
  </si>
  <si>
    <t xml:space="preserve"> Bibliotecas académicas, lugar ou ponto de acesso? Dias da Investigação UFP. </t>
  </si>
  <si>
    <t xml:space="preserve"> Cidades Inteligentes: a exploração do digital para um territóriio melhor. </t>
  </si>
  <si>
    <t xml:space="preserve"> Desafios e oportunidades da Sociedade em Rede para o ensino e a aprendizagem. </t>
  </si>
  <si>
    <t xml:space="preserve"> Segurança Informática: contexto, conceitos e desafios. </t>
  </si>
  <si>
    <t xml:space="preserve"> Sociedade da Informação. </t>
  </si>
  <si>
    <t xml:space="preserve"> Encontro sobre Investigação, Desenvolvimento e Inovação. </t>
  </si>
  <si>
    <t xml:space="preserve"> Mobilidade Digital. </t>
  </si>
  <si>
    <t xml:space="preserve"> Reunião de trabalho e integração de atividade. </t>
  </si>
  <si>
    <t xml:space="preserve"> Redes e Território. </t>
  </si>
  <si>
    <t xml:space="preserve"> Grupo *TRS: T – Tecnologia, R – Redes, S – Sociedade. </t>
  </si>
  <si>
    <t xml:space="preserve">Neves, J. </t>
  </si>
  <si>
    <t xml:space="preserve"> The Library, the digital and the quest for open access. </t>
  </si>
  <si>
    <t xml:space="preserve"> Tudo mudou e o trabalho também. </t>
  </si>
  <si>
    <t xml:space="preserve"> Apresentação da 14ª Tomada de Posição do GAN. </t>
  </si>
  <si>
    <t xml:space="preserve"> O uso de dispositivos móveis no ensino superior tradicional: do fluxo de informação à organização de espaços. </t>
  </si>
  <si>
    <t xml:space="preserve"> Educação Sustentável e Redes de Aprendizagem. </t>
  </si>
  <si>
    <t xml:space="preserve"> A Universidade e a Sociedade do Conhecimento (manifesto). </t>
  </si>
  <si>
    <t xml:space="preserve"> Participar na e descobrir informação: o digital e o papel da biblioteca. </t>
  </si>
  <si>
    <t xml:space="preserve"> As oportunidades e desafios do digital para o território: do e-government ao e-governance. </t>
  </si>
  <si>
    <t xml:space="preserve"> Participação no Dia Mundial de Redes. </t>
  </si>
  <si>
    <t xml:space="preserve"> A Governação Digital na Autarquia e o tempo das redes. </t>
  </si>
  <si>
    <t xml:space="preserve"> Gerir conhecimento, com o território e com as pessoas. </t>
  </si>
  <si>
    <t xml:space="preserve"> Dinamizar, aproximar e projectar o território com o digital. </t>
  </si>
  <si>
    <t xml:space="preserve"> Opensource e a Sociedade da Informação: uma crítica sobre os custos associados. </t>
  </si>
  <si>
    <t xml:space="preserve"> Democracy for a New Age. </t>
  </si>
  <si>
    <t xml:space="preserve"> Beyond digital cities: a territorial concern on how to cope with globilisation. </t>
  </si>
  <si>
    <t xml:space="preserve"> Uma reflexão crítica sobre a soberania da escola e do professor face às TIC. </t>
  </si>
  <si>
    <t xml:space="preserve"> O tempo das redes. </t>
  </si>
  <si>
    <t xml:space="preserve"> Uma reflexão crítica sobre a Web Social e o seu uso no ensino superior. </t>
  </si>
  <si>
    <t xml:space="preserve"> Ousar e fazer nas (e com) redes sociais! Portugal Social Media Day. </t>
  </si>
  <si>
    <t xml:space="preserve"> Local e-government. </t>
  </si>
  <si>
    <t xml:space="preserve"> Tecnologia e Educação – como? Seminário Educar Hoje. </t>
  </si>
  <si>
    <t xml:space="preserve"> Governação dos Sistemas e Tecnologias de Informação na Administração Pública. </t>
  </si>
  <si>
    <t xml:space="preserve"> Informação e conhecimento – o lado social da tecnologia. </t>
  </si>
  <si>
    <t xml:space="preserve"> A escola e os novos desafios - A escola, o digital e o professor – um triângulo amoroso. </t>
  </si>
  <si>
    <t xml:space="preserve"> What’s up with the physical dimension in the digital world? Global Ignite week. </t>
  </si>
  <si>
    <t xml:space="preserve"> Revisitar o estudo APDSI. </t>
  </si>
  <si>
    <t xml:space="preserve"> Viver o digital com novas competências. </t>
  </si>
  <si>
    <t xml:space="preserve"> UFP ongoing experience with Sakai. </t>
  </si>
  <si>
    <t xml:space="preserve"> Evolução da Internet &amp; Web. </t>
  </si>
  <si>
    <t xml:space="preserve"> Novas abordagens para a Gestão do Conhecimento. </t>
  </si>
  <si>
    <t xml:space="preserve"> Modelos de Governação na Sociedade da Informação e do Conhecimento. </t>
  </si>
  <si>
    <t xml:space="preserve"> Uma perspectiva sobre o Negócio Electrónico. </t>
  </si>
  <si>
    <t xml:space="preserve"> As Tecnologias e as Pessoas: um testemunho próprio da Sociedade da Informação. </t>
  </si>
  <si>
    <t xml:space="preserve"> Território: implicações do digital. </t>
  </si>
  <si>
    <t xml:space="preserve"> Apresentação do Projecto Comunidade Digital de Professores. </t>
  </si>
  <si>
    <t xml:space="preserve"> A Sociedade da Informação e do Conhecimento: Ensaio sobre a exploração e oportunidades no contexto da Sociedade da Informação. </t>
  </si>
  <si>
    <t xml:space="preserve"> Viver numa Sociedade da Informação e do Conhecimento. </t>
  </si>
  <si>
    <t xml:space="preserve"> Flexibilidade do trabalho, produtividade e gestão empresarial: uma visão tecnológica. </t>
  </si>
  <si>
    <t xml:space="preserve"> UFP-UV: plano de acção do terceiro ano de actividade. </t>
  </si>
  <si>
    <t xml:space="preserve"> Gestão da Informação: oportunidade ou necessidade. </t>
  </si>
  <si>
    <t xml:space="preserve"> IT Governance - uma janela de oportunidades. </t>
  </si>
  <si>
    <t xml:space="preserve"> Gestão de Projectos Multimédia. </t>
  </si>
  <si>
    <t xml:space="preserve"> Uma oportunidade para reinventar o território. </t>
  </si>
  <si>
    <t xml:space="preserve"> Apresentação da Plataforma de e-learning da UFP. </t>
  </si>
  <si>
    <t xml:space="preserve"> Ensino Virtual  e e-learning: a experiência da Universidade Fernando Pessoa. </t>
  </si>
  <si>
    <t xml:space="preserve"> Sociedade da Informação: a quanto obrigas! 12a Jornadas Licenciatura em Informática de Gestão. </t>
  </si>
  <si>
    <t xml:space="preserve">  Cidades e Regiões Digitais. </t>
  </si>
  <si>
    <t xml:space="preserve"> O digital, a logística e o território. </t>
  </si>
  <si>
    <t xml:space="preserve"> O Gaia Global e o serviço ao munícipe. </t>
  </si>
  <si>
    <t xml:space="preserve"> O Projecto Gaia Global como integrador de serviços da autarquia. </t>
  </si>
  <si>
    <t xml:space="preserve"> O projecto Gaia Global. </t>
  </si>
  <si>
    <t xml:space="preserve"> Gaia Global. </t>
  </si>
  <si>
    <t xml:space="preserve"> e-munícipe: Gaia Global. </t>
  </si>
  <si>
    <t xml:space="preserve"> Gaia Global: informação e serviços para o munícipe. </t>
  </si>
  <si>
    <t xml:space="preserve"> Autarquias Digitais: promessas e desafios. </t>
  </si>
  <si>
    <t xml:space="preserve"> E-learning: Oportunidades e Desafios para o Ensino Superior.S</t>
  </si>
  <si>
    <t xml:space="preserve"> Cidades e Regiões Digitais: questões e desafios no Digital. </t>
  </si>
  <si>
    <t xml:space="preserve"> As cidades digitais e o Gaia Global: o método NVAT. </t>
  </si>
  <si>
    <t xml:space="preserve"> As cidades digitais e o Gaia Global. </t>
  </si>
  <si>
    <t xml:space="preserve"> O Gaia Global: conceitos e diferenciação. </t>
  </si>
  <si>
    <t xml:space="preserve"> Gaia Digital, Ligar o real com o virtual. </t>
  </si>
  <si>
    <t xml:space="preserve"> Cidades Digitais: o caso do Gaia Digital. </t>
  </si>
  <si>
    <t xml:space="preserve"> Do Gaia Digital ao Gaia Global. </t>
  </si>
  <si>
    <t xml:space="preserve"> Projecto Gaia Digital, do modelo ao método de trabalho. </t>
  </si>
  <si>
    <t xml:space="preserve"> Projecto Gaia Digital, o concelho de Gaia no espaço digital. </t>
  </si>
  <si>
    <t xml:space="preserve"> Gaia Digital: um cálice de ideias. </t>
  </si>
  <si>
    <t xml:space="preserve"> Sociedade da informação: desafios e oportunidades para as autarquias. </t>
  </si>
  <si>
    <t xml:space="preserve"> Ensinar a aprender, ensinar e aprender. </t>
  </si>
  <si>
    <t xml:space="preserve"> Projecto Gaia Digital. </t>
  </si>
  <si>
    <t xml:space="preserve"> CELTIC - Collaborative Electronic Language Translation for Information Control. </t>
  </si>
  <si>
    <t xml:space="preserve"> Internet e Teletrabalho. </t>
  </si>
  <si>
    <t xml:space="preserve"> As tecnologias de informação e comunicação. </t>
  </si>
  <si>
    <t xml:space="preserve"> Actividade desenvolvida no âmbito do projecto dos portáteis
Departamento de Informática da Universidade do Minho, Polo de Guimarães, (apresentação por convite). </t>
  </si>
  <si>
    <t xml:space="preserve"> A Internet como aliado do professor, uma experiência de uso de páginas Web. </t>
  </si>
  <si>
    <t xml:space="preserve"> Internet, Publicidade e Ética. </t>
  </si>
  <si>
    <t>1997</t>
  </si>
  <si>
    <t xml:space="preserve"> NetLab, work at Fernando Pessoa. </t>
  </si>
  <si>
    <t xml:space="preserve"> Educação activa: manifesto para uma atitude pedagógica. </t>
  </si>
  <si>
    <t xml:space="preserve"> O Centro de Recursos Multimediáticos. </t>
  </si>
  <si>
    <t xml:space="preserve"> NetLab, explorar o potencial da rede universitária. </t>
  </si>
  <si>
    <t xml:space="preserve"> Realidade Virtual: novo mundo ou mundos alternativos. </t>
  </si>
  <si>
    <t xml:space="preserve"> A rede universitária. </t>
  </si>
  <si>
    <t>1994</t>
  </si>
  <si>
    <t xml:space="preserve"> Aprendizagem Multimédia. </t>
  </si>
  <si>
    <t>1991</t>
  </si>
  <si>
    <t xml:space="preserve"> Soluções Videotex: da oportunidade à implementação. </t>
  </si>
  <si>
    <t>1990</t>
  </si>
  <si>
    <t xml:space="preserve"> Soluções com recurso ao videotex. </t>
  </si>
  <si>
    <t xml:space="preserve"> Participação em painel Smart Cities - Repensar as cidades..</t>
  </si>
  <si>
    <t xml:space="preserve"> O papel da Universidade para o Engenheiro Informático. </t>
  </si>
  <si>
    <t xml:space="preserve"> Segurança Informática ou Segurança da Informação? Moderação da Mesa Redonda promovida pelo Núcleo de Informática da UFP. </t>
  </si>
  <si>
    <t xml:space="preserve"> Desafios para as Bibliotecas de Ensino Superior em Portugal. </t>
  </si>
  <si>
    <t xml:space="preserve"> Redes e Territórios. </t>
  </si>
  <si>
    <t xml:space="preserve"> Debate Teaching informatics: Teach what? To whom?. </t>
  </si>
  <si>
    <t xml:space="preserve"> Opacidade e transparência na administração pública. </t>
  </si>
  <si>
    <t xml:space="preserve"> Desafios da Gestão da Informação e a questão da soberania no digital: da escola, do professor e onde o aluno fica em tudo isto… Encontro e-Learning@FEUP. </t>
  </si>
  <si>
    <t xml:space="preserve"> O digital e o espaço físico. </t>
  </si>
  <si>
    <t xml:space="preserve"> Depois dos 15 primeiros anos, quais os desafios para os próximos 5? Edubits. </t>
  </si>
  <si>
    <t xml:space="preserve"> Biblioteca para quem, biblioteca para quê?. </t>
  </si>
  <si>
    <t xml:space="preserve"> e-espaço para e-actividades. </t>
  </si>
  <si>
    <t xml:space="preserve"> Territórios Inteligentes: o digital, a rede, as pessoas e o conhecimento. </t>
  </si>
  <si>
    <t xml:space="preserve">Coelho, D. et al. </t>
  </si>
  <si>
    <t xml:space="preserve">Repensar o Futuro da Sociedade da Informação. </t>
  </si>
  <si>
    <t xml:space="preserve"> A preocupação com os Sistemas de Informação. </t>
  </si>
  <si>
    <t xml:space="preserve"> A gestão da Informação: em busca do equilíbrio perdido. </t>
  </si>
  <si>
    <t xml:space="preserve"> Uso de meios digitais no contexto do ensino superior. </t>
  </si>
  <si>
    <t xml:space="preserve"> A mobilidade no Gaia Global: conceitos e aplicações. </t>
  </si>
  <si>
    <t xml:space="preserve"> Informáticos versus Documentalistas face à Sociedade da Informação. </t>
  </si>
  <si>
    <t xml:space="preserve"> Por que mensuar os impactos sociais e ambientais dos pequenos negócios eleva a competitividade?. </t>
  </si>
  <si>
    <t xml:space="preserve"> Luis Borges Gouveia: o que Brasil e Portugal têm em comum no ensino superior. </t>
  </si>
  <si>
    <t xml:space="preserve"> Curadoria Digital de Conteúdo EaD para o Ensino Superior: proposta e desafios. </t>
  </si>
  <si>
    <t xml:space="preserve"> Gestão do Conhecimento e Produção de Conteúdo para a Educação a Distância: Estado da Arte em um período de 14 anos. </t>
  </si>
  <si>
    <t xml:space="preserve"> Uso do Kahoot e de estratégia de Gamificação no Ensino Superior: relato de experiência da aplicação do peer instruction como metodologia de ensino. </t>
  </si>
  <si>
    <t xml:space="preserve">  Uma Crítica ao Ensino em Sala de Aula. </t>
  </si>
  <si>
    <t>Oliveira, I.</t>
  </si>
  <si>
    <t xml:space="preserve"> Postulados para uma Educação a Distância: uma tese para um curso de Teologia. </t>
  </si>
  <si>
    <t xml:space="preserve"> Postulações para uma nova proposta em Educação á Distância: Uma nova Grade de Ensino e Tese para um Curso de Teologia. </t>
  </si>
  <si>
    <t xml:space="preserve"> Projeto Científico: Postulados para uma educação a distância: uma tese para um curso de Teologia. </t>
  </si>
  <si>
    <t xml:space="preserve"> Inovação Social, Impacto, Escala e Desenvolvimento Sustentável. </t>
  </si>
  <si>
    <t xml:space="preserve"> RGPD: o novo pesadelo das empresas?. </t>
  </si>
  <si>
    <t xml:space="preserve"> As Tecnologias de Informação e Comunicação aplicadas ao ensino. </t>
  </si>
  <si>
    <t xml:space="preserve"> Pressupostos sobre a pesquisa científica e teste piloto. </t>
  </si>
  <si>
    <t xml:space="preserve"> As TIC e a Produtividade: a escassez de investimento no software em Portugal. </t>
  </si>
  <si>
    <t>Coelho, J. et al.</t>
  </si>
  <si>
    <t xml:space="preserve"> Transparência e Sigilo na Administração Pública: A questão dos dados fiscais. </t>
  </si>
  <si>
    <t xml:space="preserve"> Cultura e Arte na SI. </t>
  </si>
  <si>
    <t xml:space="preserve"> Prefácio à 5ª edição. </t>
  </si>
  <si>
    <t xml:space="preserve"> A Estratégia do XIX Governo Constitucional para as TIC: Racionalizar para Melhorar? 13ª Tomada de Posição do Grupo de Alto Nível da APDSI. </t>
  </si>
  <si>
    <t xml:space="preserve"> Texto sobre a inutilidade. </t>
  </si>
  <si>
    <t xml:space="preserve"> Uma reflexão sobre capacitar o território por tecnologia. </t>
  </si>
  <si>
    <t xml:space="preserve"> Território, conhecimento e competências: um triângulo a fixar. </t>
  </si>
  <si>
    <t xml:space="preserve"> Tirar partido dos Sistemas de Informação no contexto actual. </t>
  </si>
  <si>
    <t xml:space="preserve"> Afinal não é assim tão caro ou uma história sobre o conhecimento. </t>
  </si>
  <si>
    <t xml:space="preserve"> A necessidade de capacitar conhecimento para o território. </t>
  </si>
  <si>
    <t xml:space="preserve"> Cidades e Regiões Digitais: no limiar da maioridade. </t>
  </si>
  <si>
    <t xml:space="preserve"> A minha homepage faz dez anos! Newsletter Professores Inovadores. </t>
  </si>
  <si>
    <t xml:space="preserve"> A Sociedade da Informação e as autarquias digitais. </t>
  </si>
  <si>
    <t xml:space="preserve"> Como analisar um caso de estudo. </t>
  </si>
  <si>
    <t xml:space="preserve"> Serviços Municipais de Integração: uma perspectiva de integração. </t>
  </si>
  <si>
    <t xml:space="preserve">Xavier, J. </t>
  </si>
  <si>
    <t xml:space="preserve"> Gestão da Informação: conceitos e importância. </t>
  </si>
  <si>
    <t xml:space="preserve"> Cidades Digitais. </t>
  </si>
  <si>
    <t xml:space="preserve"> As cidades digitais e o Gaia Digital. </t>
  </si>
  <si>
    <t xml:space="preserve"> Competências críticas para a Sociedade da Informação e do conhecimento. </t>
  </si>
  <si>
    <t xml:space="preserve"> Tecnologias de Informação. </t>
  </si>
  <si>
    <t xml:space="preserve"> Internet - a emergência do novo social. </t>
  </si>
  <si>
    <t xml:space="preserve"> A humanização das Tecnologias de Informação. </t>
  </si>
  <si>
    <t xml:space="preserve"> A Internet, oportunidade ou ameaça ao Professor? Artigo aceite para a Revista do Departamento de Ciências da Administração da UFP. </t>
  </si>
  <si>
    <t xml:space="preserve"> O projecto, a gestão de projectos e o Gestor de Projectos. </t>
  </si>
  <si>
    <t xml:space="preserve"> A redacção de documentos científicos, dicas para a escrita de textos de relatórios e monografia. </t>
  </si>
  <si>
    <t xml:space="preserve"> E agora, vou ter de escrever! UFP, Dezembro. </t>
  </si>
  <si>
    <t xml:space="preserve"> O Videotex: um serviço actual? Seminário Sobre Ética e Carreira Informática. </t>
  </si>
  <si>
    <t xml:space="preserve"> Um testemunho. </t>
  </si>
  <si>
    <t xml:space="preserve"> A Gestão da Informação no tempo do Digital. </t>
  </si>
  <si>
    <t xml:space="preserve"> UFPR TV Desafios da Universidade no Mundo Digital Especial. </t>
  </si>
  <si>
    <t xml:space="preserve"> Entrevista sobre o Blogue pessoal (lmbg.b</t>
  </si>
  <si>
    <t xml:space="preserve"> Do território digital à governação de pessoas e do conhecimento. </t>
  </si>
  <si>
    <t xml:space="preserve"> Entrevista de opinião sobre o plano tecnológico. </t>
  </si>
  <si>
    <t xml:space="preserve"> Comemorando o décimo ano de funcionamento das páginas LMBG na World Wide Web. </t>
  </si>
  <si>
    <t xml:space="preserve"> Entrevista sobre o projecto Gaia Global. </t>
  </si>
  <si>
    <t xml:space="preserve"> Eu, Nós e o Valor da diferença. </t>
  </si>
  <si>
    <t xml:space="preserve">  Notas e transparências sobre conceitos de Sistemas de Informação. </t>
  </si>
  <si>
    <t xml:space="preserve">  Notas e transparências sobre Tecnologias em Sistemas de Informação. </t>
  </si>
  <si>
    <t xml:space="preserve">  Sistemas de Informação para a Sociedade do Conhecimento: módulos 1 e 2, aulas práticas. </t>
  </si>
  <si>
    <t xml:space="preserve"> Gestão da Segurança da Informação. </t>
  </si>
  <si>
    <t xml:space="preserve"> Uma breve introdução ao R: Exploração prática e exercícios. </t>
  </si>
  <si>
    <t xml:space="preserve"> Human Computer Interaction. </t>
  </si>
  <si>
    <t xml:space="preserve"> Arquivo Empresarial e Administrativo. </t>
  </si>
  <si>
    <t xml:space="preserve"> Knowledge Management in 20 slides. </t>
  </si>
  <si>
    <t xml:space="preserve"> Segurança da Informação e proteção de dados. </t>
  </si>
  <si>
    <t xml:space="preserve"> Análise de Sistemas: conceitos, módulo 1. </t>
  </si>
  <si>
    <t xml:space="preserve"> Análise de Sistemas: a abordagem estruturada, módulo 2. </t>
  </si>
  <si>
    <t xml:space="preserve"> Análise de Sistemas: a abordagem orientada aos objetos, módulo 3. </t>
  </si>
  <si>
    <t xml:space="preserve"> Análise de Sistemas: a abordagem SSM, módulo 4. </t>
  </si>
  <si>
    <t xml:space="preserve"> O que é a Ciência de Dados (data science). </t>
  </si>
  <si>
    <t xml:space="preserve"> Segurança e redes sociais. </t>
  </si>
  <si>
    <t xml:space="preserve"> Transparências sobre Negócio Electrónico: conceitos e perspectivas de desenvolvimento. </t>
  </si>
  <si>
    <t xml:space="preserve"> Transparências sobre Local e-government: a governação digital na autarquia. </t>
  </si>
  <si>
    <t xml:space="preserve"> Transparências sobre Sistemas de Informação de Apoio à Decisão. </t>
  </si>
  <si>
    <t xml:space="preserve"> Sistemas de Informação para e-marketing e e-publicidade. </t>
  </si>
  <si>
    <t xml:space="preserve"> Sistemas de Informação para a Sociedade da Informação e do Conhecimento. </t>
  </si>
  <si>
    <t xml:space="preserve"> A Mobilidade no Gaia Global. </t>
  </si>
  <si>
    <t xml:space="preserve"> Apontamentos de Tecnologias de Informação e Sociedade. </t>
  </si>
  <si>
    <t xml:space="preserve"> Gaia Global: o concelho de Gaia no digital. </t>
  </si>
  <si>
    <t xml:space="preserve"> Notas complementares sobre Informática Aplicada. </t>
  </si>
  <si>
    <t xml:space="preserve"> Complementos de Novas Tecnologias e Comunicação. </t>
  </si>
  <si>
    <t xml:space="preserve"> Apontamentos de Novas Tecnologias e Comunicação. </t>
  </si>
  <si>
    <t xml:space="preserve"> Exercícios práticos para Sistemas de Informação. </t>
  </si>
  <si>
    <t xml:space="preserve"> It's time to rethink the way we deal with information. </t>
  </si>
  <si>
    <t xml:space="preserve"> Apontamentos de Gestão de Informação, versão 2.0</t>
  </si>
  <si>
    <t xml:space="preserve"> Apontamentos de Media Interactivos. </t>
  </si>
  <si>
    <t xml:space="preserve"> A Análise de Sistemas. </t>
  </si>
  <si>
    <t xml:space="preserve"> Introdução aos conceitos de Realidade Virtual. </t>
  </si>
  <si>
    <t xml:space="preserve"> Introdução à Linguagem JAVA. </t>
  </si>
  <si>
    <t xml:space="preserve"> Introdução ao VRML -Virtual Reality Modeling Language. </t>
  </si>
  <si>
    <t xml:space="preserve"> Apontamentos de Sistemas de Informação, versão 1992-1995 . </t>
  </si>
  <si>
    <t xml:space="preserve"> Uso básico do sistema operativo UNIX, introdução. </t>
  </si>
  <si>
    <t xml:space="preserve"> O modelo OSI e os esforços de normalização em comunicação de dados. </t>
  </si>
  <si>
    <t xml:space="preserve"> Desenvolvimento de páginas Web, dicas para obter o melhor efeito na publicação de informação na Internet. </t>
  </si>
  <si>
    <t xml:space="preserve">Utilização básica do navegador Netscape. </t>
  </si>
  <si>
    <t xml:space="preserve"> Apontamentos da cadeira de Logística e Gestão da Distribuição. </t>
  </si>
  <si>
    <t xml:space="preserve"> Como criar uma página Web, utilização de comandos HTML. </t>
  </si>
  <si>
    <t xml:space="preserve"> Três palavras sobre a Análise de Sistemas. </t>
  </si>
  <si>
    <t xml:space="preserve"> Sistemas de Informação para a Gestão. </t>
  </si>
  <si>
    <t xml:space="preserve"> Apontamentos de Introdução à Informática - conceitos. </t>
  </si>
  <si>
    <t xml:space="preserve"> Apontamentos de MS-DOS. </t>
  </si>
  <si>
    <t xml:space="preserve"> Gestão de projectos informáticos. </t>
  </si>
  <si>
    <t>1993</t>
  </si>
  <si>
    <t xml:space="preserve"> Ambiente distribuído no UNIX e "remote procedure calls". </t>
  </si>
  <si>
    <t xml:space="preserve"> Sybase SQL Server - base de dados cliente/servidor. </t>
  </si>
  <si>
    <t xml:space="preserve"> Programação em bourne shell - sistema operativo UNIX. </t>
  </si>
  <si>
    <t>1988</t>
  </si>
  <si>
    <t xml:space="preserve"> Levantamento estatístico para estudo do padrão alimentar dos alunos da 4ª classe, em colaboração com o Centro de Saúde de Soares dos Reis, Rotary Club de Vila Nova de Gaia.</t>
  </si>
  <si>
    <t xml:space="preserve"> Educação Superior a Distância nas Regiões do Brasil. </t>
  </si>
  <si>
    <t xml:space="preserve"> A metodologia de ensino b-learning e a abordagem da sala de aula invertida (flipped classroom): resultados experimentais. </t>
  </si>
  <si>
    <t xml:space="preserve"> Modelo Pedagógico de M-Learning em Sala de Aula Invertida (MLSAI): Reflexões Sobre o Uso de Recursos Tecnológicos. </t>
  </si>
  <si>
    <t xml:space="preserve"> O uso do Governo Digital pelo controle social no combate à corrupção pública brasileira. </t>
  </si>
  <si>
    <t xml:space="preserve"> The characterization of population displacement for early diagnosis of osteoporosis: a study on the performance of X-ray and DXA exams in northern Brazil. </t>
  </si>
  <si>
    <t xml:space="preserve">Oliveira, M. </t>
  </si>
  <si>
    <t xml:space="preserve"> Active methodologies with the use of integrated mock-ups to the teaching of the logistic subject. </t>
  </si>
  <si>
    <t xml:space="preserve"> O método MaCAIES: uma proposta metodológica para a implementação da sala de aula invertida no Ensino Superior. </t>
  </si>
  <si>
    <t xml:space="preserve"> ML-SAI: Modelo pedagógico fundamentado na sala de aula invertida destinado a atividades de m-learning. </t>
  </si>
  <si>
    <t xml:space="preserve"> Modelo pedagógico ML-SAI: reflexões sobre as abordagens metodológicas. </t>
  </si>
  <si>
    <t xml:space="preserve"> The Flipped Classroom and Higher Education . </t>
  </si>
  <si>
    <t xml:space="preserve"> Benefícios e Desafios do Uso do Modelo Pedagógico ML-SAI. </t>
  </si>
  <si>
    <t>Martins, E</t>
  </si>
  <si>
    <t>Gouveia, L. </t>
  </si>
  <si>
    <t xml:space="preserve"> Evolução da construção de um modelo pedagógico para atividades de m-learning. </t>
  </si>
  <si>
    <t xml:space="preserve"> Aprendizagem Móvel com a Tecnologia Educacional Kahoot: Uma Discussão da Perspectiva dos Aprendizes. </t>
  </si>
  <si>
    <t xml:space="preserve"> Proposed Integration of the Technical Regulations of Systems of Management of Operational Safety and Structural Integrity of Facilities, defined by the ANP of Brazil. </t>
  </si>
  <si>
    <t xml:space="preserve"> Mançu, R.</t>
  </si>
  <si>
    <t xml:space="preserve"> Production of Dissertations and Theses on Mobile Learning in Brazilian Postgraduate Courses. </t>
  </si>
  <si>
    <t xml:space="preserve">Martins E. </t>
  </si>
  <si>
    <t xml:space="preserve"> Educação superior a distância: fatores preditores da evasão anteriores a admissão de estudantes. </t>
  </si>
  <si>
    <t xml:space="preserve"> O Uso do WhatsApp como Ferramenta de Apoio a Aprendizagem no Ensino Médio. </t>
  </si>
  <si>
    <t xml:space="preserve"> Feminine participation in the information systems course of the federal institute of goiás câmpus luziânia. </t>
  </si>
  <si>
    <t xml:space="preserve"> Flipped Classroom Applied To High School with Whatsapp Aid. </t>
  </si>
  <si>
    <t xml:space="preserve"> Requirements for M-Learning Activities. </t>
  </si>
  <si>
    <t xml:space="preserve"> Modelos de Retenção de Estudantes: abordagens e perspectivas. </t>
  </si>
  <si>
    <t xml:space="preserve"> Tecnologias Móveis em Contexto Educativo: uma Revisão Sistemática da Literatura. </t>
  </si>
  <si>
    <t xml:space="preserve"> The Visualization of Cattle Movement Data in The State of Pará in 2016. </t>
  </si>
  <si>
    <t>Aragão, S.</t>
  </si>
  <si>
    <t xml:space="preserve"> Pontes, A.</t>
  </si>
  <si>
    <t xml:space="preserve"> Lopes, S. Katsuda, P.</t>
  </si>
  <si>
    <t xml:space="preserve"> Pereira, A.</t>
  </si>
  <si>
    <t xml:space="preserve"> Oliveira, M.</t>
  </si>
  <si>
    <t xml:space="preserve"> Oliveira, J.</t>
  </si>
  <si>
    <t xml:space="preserve"> Coroa, R.</t>
  </si>
  <si>
    <t xml:space="preserve"> Araújo, G.</t>
  </si>
  <si>
    <t xml:space="preserve">Siqueira, M. </t>
  </si>
  <si>
    <t xml:space="preserve"> Cloud Computing Service Level Agreement Issues and Challenges: a Bibliographic review. </t>
  </si>
  <si>
    <t xml:space="preserve"> Strategic Thinking and Brands move to the Digital transformation. </t>
  </si>
  <si>
    <t>Daradkeh, Y,</t>
  </si>
  <si>
    <t xml:space="preserve"> Sen, S. </t>
  </si>
  <si>
    <t xml:space="preserve"> Moving Towards Cloud Analyzing the Drivers and Barriers to the Adoption of Cloud Computing in HE (Higher Education) institution in UK: An Exploratory Study with Proposed Solution. </t>
  </si>
  <si>
    <t xml:space="preserve">The implication and challenges of GDPR’s on Cloud Computing Industry. </t>
  </si>
  <si>
    <t xml:space="preserve">Is flipped classroom preferred learning style for the Millennials? An Exploratory study. </t>
  </si>
  <si>
    <t xml:space="preserve"> Empirical Factors that Influences the Adoption and Selection of Internet Service: An Exploratory Study in Higher Education. </t>
  </si>
  <si>
    <t xml:space="preserve">Cyber Security Attacks: Common Vulnerabilities in the Critical Infrastructure. </t>
  </si>
  <si>
    <t xml:space="preserve"> Estratégia Metodológica para a Promoção da Cultura Digital nos Professores do Instituto Superior de Ciências da Educação do Huambo, Angola. </t>
  </si>
  <si>
    <t xml:space="preserve"> Shaping virtual companies: a brief discussion. </t>
  </si>
  <si>
    <t>Daradkeh, Y.</t>
  </si>
  <si>
    <t xml:space="preserve"> Doru, P. </t>
  </si>
  <si>
    <t xml:space="preserve"> The Idea of e-participation Digital Engine where people can take place. </t>
  </si>
  <si>
    <t xml:space="preserve"> Daradkeh, Y.  </t>
  </si>
  <si>
    <t xml:space="preserve"> A conceptual Model Proposal to Explicit and Reuse at the ransfer of Tacit Knowledge.I</t>
  </si>
  <si>
    <t xml:space="preserve"> Daradkeh, Y. </t>
  </si>
  <si>
    <t xml:space="preserve"> Qoussini, A. </t>
  </si>
  <si>
    <t xml:space="preserve"> A study to Relate the Quality of Forum Messages with the Flow Experience.I</t>
  </si>
  <si>
    <t xml:space="preserve"> Information Overload: how to solve the problem? Current trends in technology and its impacts to individuals and organizational context. </t>
  </si>
  <si>
    <t xml:space="preserve"> Selimi, E. </t>
  </si>
  <si>
    <t xml:space="preserve"> Web platform for public e-participation management: a case study. </t>
  </si>
  <si>
    <t xml:space="preserve"> Communication Model for Generalist News Media Websites, IERI Procedia, Volume 10, 2014, pp 32-37, Elsevier. </t>
  </si>
  <si>
    <t xml:space="preserve"> Communication Model for Sports Media Web Portals, AASRI Procedia, Volume 8, 2014, pp 44-49, Elsevier. </t>
  </si>
  <si>
    <t xml:space="preserve"> Influence of Psychological Variables on the Academic Use of Facebook. </t>
  </si>
  <si>
    <t xml:space="preserve"> iLeger: Uma proposta de Mediação Digital para Períodos Eleitorais. </t>
  </si>
  <si>
    <t xml:space="preserve"> O Conceito de Rede face ao Digital e aos Media Sociais. </t>
  </si>
  <si>
    <t xml:space="preserve"> Employee Turnover Impact in Organizational Knowledge Management: The Portuguese real Estate Case. </t>
  </si>
  <si>
    <t xml:space="preserve"> e-books vs. </t>
  </si>
  <si>
    <t xml:space="preserve"> Selimi, D. </t>
  </si>
  <si>
    <t xml:space="preserve"> Social Technology Appropriation in Higher Education. </t>
  </si>
  <si>
    <t xml:space="preserve"> A adopção e difusão de práticas de m-learning no contexto do ensino superior: um estudo de avaliação do uso de dispositivos móveis em ambientes colaborativos. </t>
  </si>
  <si>
    <t xml:space="preserve"> Laptops vs Desktops in a Google Groups environment: a study on collaborative learning. </t>
  </si>
  <si>
    <t xml:space="preserve"> Evaluation Adoption of Innovations of Mobile Devices and Desktops within Collaborative Environments in a Higher Education Context. </t>
  </si>
  <si>
    <t xml:space="preserve"> Contributos para o estudo do capital social no contexto de comunidades virtuais de participação. </t>
  </si>
  <si>
    <t xml:space="preserve"> Is there any room for face-to-face teaching in a digital world? A proposed framework for web usage. </t>
  </si>
  <si>
    <t xml:space="preserve"> Modelos de gestão do conhecimento em bibliotecas acadêmicas do Brasil. </t>
  </si>
  <si>
    <t>Sousa, C.</t>
  </si>
  <si>
    <t xml:space="preserve"> A sala de aula invertida num cenário potencial de integração com a Wikipédia. </t>
  </si>
  <si>
    <t xml:space="preserve">Mançu, R. </t>
  </si>
  <si>
    <t xml:space="preserve"> Interações entre os Agentes envolvidos no Portal da Transparência. </t>
  </si>
  <si>
    <t>Lima, C.</t>
  </si>
  <si>
    <t xml:space="preserve"> Produção de dissertações e teses sobre sala de aula invertida nos cursos de pós-graduação brasileiros. </t>
  </si>
  <si>
    <t xml:space="preserve"> Comparação entre a Metodologia de Sala de Aula Invertida e a Metodologia de Aula Tradicional em um Curso de Engenharia de Produção. </t>
  </si>
  <si>
    <t xml:space="preserve"> Martins, E.;</t>
  </si>
  <si>
    <t xml:space="preserve"> Implantação de um Sistema de Informação de Ouvidoria em uma Instituição de Ensino de Nível Superior. </t>
  </si>
  <si>
    <t>Araujo, A.</t>
  </si>
  <si>
    <t xml:space="preserve"> O Digital nas Instituições de Ensino Superior: um diagnóstico sobre a percepção da comunidade acadêmica de uma instituição de ensino superior em Belém do Pará (Brasil). </t>
  </si>
  <si>
    <t xml:space="preserve"> Política tecnológica de combate à sonegação fiscal e seus reflexos nos processos das empresas. </t>
  </si>
  <si>
    <t xml:space="preserve"> A informação como fator diferenciados para o sucesso estratégico das organizações. </t>
  </si>
  <si>
    <t xml:space="preserve"> A importância das Ciberarmas no Contexto da Ciberdefesa de um Pequeno Estado. </t>
  </si>
  <si>
    <t xml:space="preserve"> Contributo para a discussão sobre a contabilização do Conhecimento e do Capital Humano nas Organizações. </t>
  </si>
  <si>
    <t xml:space="preserve"> Uma Revisão sobre os Princípios da Teoria Geral dos Sistemas. </t>
  </si>
  <si>
    <t xml:space="preserve"> O Digital e a Sociedade em Rede: contribuições para a importância de considerar a questão da (ciber)defesa.R</t>
  </si>
  <si>
    <t xml:space="preserve"> Uma reflexão sobre o E-Government em Cidades Médias: o impacte do digital no contexto português.R</t>
  </si>
  <si>
    <t xml:space="preserve"> Gestão da oferta cultural nos museus: uma proposta de reflexão sobre a oportunidade digital. </t>
  </si>
  <si>
    <t>Moura, P.</t>
  </si>
  <si>
    <t xml:space="preserve"> Apropriação de tecnologia Web 2.0</t>
  </si>
  <si>
    <t xml:space="preserve"> Different views on Web 2.0</t>
  </si>
  <si>
    <t xml:space="preserve">Reiter, Johannes </t>
  </si>
  <si>
    <t xml:space="preserve"> Universidade Virtual. </t>
  </si>
  <si>
    <t>Soigne, C.</t>
  </si>
  <si>
    <t xml:space="preserve"> O recurso a jogos de computador para suporte à aprendizagem: breve sistematização. </t>
  </si>
  <si>
    <t xml:space="preserve"> A blogosfera: perspectivas e desafios no campo da ciência da informação. </t>
  </si>
  <si>
    <t>Sousa, P.</t>
  </si>
  <si>
    <t xml:space="preserve"> Rodrigues, E.</t>
  </si>
  <si>
    <t xml:space="preserve"> Cunha, M.</t>
  </si>
  <si>
    <t xml:space="preserve"> Santos, A.</t>
  </si>
  <si>
    <t xml:space="preserve"> Malheiro, A.</t>
  </si>
  <si>
    <t xml:space="preserve"> Dudziak, E.</t>
  </si>
  <si>
    <t xml:space="preserve"> Ribeiro,F.</t>
  </si>
  <si>
    <t xml:space="preserve"> Reis, G.</t>
  </si>
  <si>
    <t xml:space="preserve"> Menou, M.</t>
  </si>
  <si>
    <t xml:space="preserve"> Ferreira, M.</t>
  </si>
  <si>
    <t xml:space="preserve">Santos, R. </t>
  </si>
  <si>
    <t xml:space="preserve"> A minha aldeia é todo o mundo: uma reflexão sobre participação cívica. </t>
  </si>
  <si>
    <t xml:space="preserve"> A relevância de uma abordagem de rede na edificação da marca territorial. </t>
  </si>
  <si>
    <t xml:space="preserve"> Um ensaio sobre a Governação na Era da Globalização. </t>
  </si>
  <si>
    <t xml:space="preserve"> Neves, N.</t>
  </si>
  <si>
    <t xml:space="preserve">Carvalho, C. </t>
  </si>
  <si>
    <t xml:space="preserve"> Geração Net, Web 2.0</t>
  </si>
  <si>
    <t xml:space="preserve"> The Sakai Collaborative Learning Environment: current experience. </t>
  </si>
  <si>
    <t xml:space="preserve">Reis, L. </t>
  </si>
  <si>
    <t xml:space="preserve"> As características dos Aprendentes na Educação a Distância: A particularidade de uma análise individualizada. </t>
  </si>
  <si>
    <t xml:space="preserve"> As características dos Aprendentes na Educação a Distância: Factores de Motivação. </t>
  </si>
  <si>
    <t xml:space="preserve"> Utilização do computador para a aprendizagem da matemática no ensino pré-escolar e básico. </t>
  </si>
  <si>
    <t>Silva, R.</t>
  </si>
  <si>
    <t xml:space="preserve"> O Branding e a dimensão digital da cidade: dinâmicas e contributos para a competitividade. </t>
  </si>
  <si>
    <t xml:space="preserve"> Uma Reflexão sobre o Perfil dos Aprendentes Adultos no Ensino a Distância  (EAD). </t>
  </si>
  <si>
    <t xml:space="preserve"> Local E-Government: A Situação das Juntas de Freguesia do Concelho de Vila Nova de Gaia. </t>
  </si>
  <si>
    <t>Teixeira, P.</t>
  </si>
  <si>
    <t xml:space="preserve"> Manifesto Digital para o espaço público. </t>
  </si>
  <si>
    <t xml:space="preserve"> Património Local e Tecnologias de Informação, uma relação inevitável. </t>
  </si>
  <si>
    <t>Ferreira, M.</t>
  </si>
  <si>
    <t xml:space="preserve"> História do ensino a distância: uma abordagem estruturada. </t>
  </si>
  <si>
    <t xml:space="preserve"> Proposta de um modelo de referência para as tecnologias multimédia. </t>
  </si>
  <si>
    <t>Ribeiro, N.</t>
  </si>
  <si>
    <t xml:space="preserve"> Contribuição para o conceito de ensino a distância: vantagens e desvantagens da sua prática. </t>
  </si>
  <si>
    <t xml:space="preserve"> O impacto do digital no território. </t>
  </si>
  <si>
    <t xml:space="preserve"> Estudo sobre a utilização da Internet para suporte ao ensino presencial. </t>
  </si>
  <si>
    <t xml:space="preserve"> Visualisation issues for human systems development: the case of a knowledge sharing support system. </t>
  </si>
  <si>
    <t xml:space="preserve"> Ambientes Virtuais Colaborativos: a procura de formas alternativas de interacção. </t>
  </si>
  <si>
    <t xml:space="preserve"> Efeitos da exposição prolongada à tecnologia (ou uma contribuição para a discussão do conceito de cultura tecnologica). </t>
  </si>
  <si>
    <t xml:space="preserve"> On Education, Learning and Training: bring windows where just walls exist. </t>
  </si>
  <si>
    <t xml:space="preserve"> Group assessment: alternative forms to evaluate student skills. </t>
  </si>
  <si>
    <t xml:space="preserve"> Educational Model MS-SAI: Mobile Learning and Flipped Classroom. </t>
  </si>
  <si>
    <t xml:space="preserve"> Governação e Smart Cities. </t>
  </si>
  <si>
    <t xml:space="preserve"> Sala de Aula Invertida utilizando Mobile Learning. </t>
  </si>
  <si>
    <t xml:space="preserve"> O Digital nas Instituições de Ensino Superior. </t>
  </si>
  <si>
    <t>Contribuições para a discussão de um modelo de Governo Electrónico Local para Angola.P</t>
  </si>
  <si>
    <t>Web 2.0</t>
  </si>
  <si>
    <t xml:space="preserve">Cunha, L. </t>
  </si>
  <si>
    <t xml:space="preserve"> Gestão da Informação em Museus: contributo para o seu estudo. </t>
  </si>
  <si>
    <t xml:space="preserve">Coelho, J. et al. </t>
  </si>
  <si>
    <t xml:space="preserve"> Repensar a Sociedade da Informação e do Conhecimento no Início do Século XXI. </t>
  </si>
  <si>
    <t xml:space="preserve"> A Virtual Environment to share knowledge. </t>
  </si>
  <si>
    <t xml:space="preserve"> Gestão da Informação na Biblioteca Escolar. </t>
  </si>
  <si>
    <t>Bairrão, M.</t>
  </si>
  <si>
    <t xml:space="preserve"> Informática e Competências Tecnológicas para a Sociedade da Informação. </t>
  </si>
  <si>
    <t xml:space="preserve">Moreira, R. </t>
  </si>
  <si>
    <t xml:space="preserve"> Sistemas de Informação de Apoio à Decisão. </t>
  </si>
  <si>
    <t xml:space="preserve">Ranito, J. </t>
  </si>
  <si>
    <t xml:space="preserve"> Local e-government: a governação digital na autarquia. </t>
  </si>
  <si>
    <t>Magalhães, N.</t>
  </si>
  <si>
    <t>edit</t>
  </si>
  <si>
    <t xml:space="preserve"> Ciência da Informação. </t>
  </si>
  <si>
    <t>Freitas, J.</t>
  </si>
  <si>
    <t xml:space="preserve">Regedor, A. </t>
  </si>
  <si>
    <t>eds)</t>
  </si>
  <si>
    <t xml:space="preserve"> Readings in Information Society. </t>
  </si>
  <si>
    <t xml:space="preserve"> (2003). </t>
  </si>
  <si>
    <t>Geraldes, B.</t>
  </si>
  <si>
    <t>Mascaranhas, R.</t>
  </si>
  <si>
    <t xml:space="preserve">Vorderer, P. </t>
  </si>
  <si>
    <t>Coelho, D.</t>
  </si>
  <si>
    <t>Coelho, J.</t>
  </si>
  <si>
    <t xml:space="preserve"> Massunari, L.</t>
  </si>
  <si>
    <t xml:space="preserve">Louzada, M. </t>
  </si>
  <si>
    <t>idLivro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</si>
</sst>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rial"/>
    </font>
    <font>
      <sz val="9"/>
      <color theme="1"/>
      <name val="Calibri"/>
    </font>
    <font>
      <sz val="11"/>
      <color theme="1"/>
      <name val="Calibri"/>
    </font>
    <font>
      <b/>
      <sz val="9"/>
      <color theme="1"/>
      <name val="Calibri"/>
    </font>
    <font>
      <b/>
      <sz val="9"/>
      <color rgb="FF000000"/>
      <name val="Arial"/>
    </font>
    <font>
      <b/>
      <sz val="9"/>
      <color rgb="FF000000"/>
      <name val="Calibri"/>
    </font>
    <font>
      <sz val="9"/>
      <color rgb="FF000000"/>
      <name val="Calibri"/>
    </font>
    <font>
      <u/>
      <sz val="9"/>
      <color theme="1"/>
      <name val="Calibri"/>
    </font>
    <font>
      <sz val="10"/>
      <color theme="1"/>
      <name val="Calibri"/>
      <family val="2"/>
      <scheme val="major"/>
    </font>
    <font>
      <b/>
      <sz val="10"/>
      <color theme="1"/>
      <name val="Calibri"/>
      <family val="2"/>
      <scheme val="major"/>
    </font>
    <font>
      <b/>
      <sz val="11"/>
      <color theme="1"/>
      <name val="Arial"/>
      <family val="2"/>
    </font>
    <font>
      <u/>
      <sz val="10"/>
      <color theme="1"/>
      <name val="Calibri"/>
      <family val="2"/>
      <scheme val="major"/>
    </font>
  </fonts>
  <fills count="6">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vertical="center"/>
    </xf>
    <xf numFmtId="0" fontId="2" fillId="0" borderId="0" xfId="0" applyFont="1"/>
    <xf numFmtId="0" fontId="1" fillId="0" borderId="0" xfId="0" applyFont="1" applyAlignment="1">
      <alignment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3" borderId="1" xfId="0" applyFont="1" applyFill="1" applyBorder="1" applyAlignment="1">
      <alignment vertical="top" wrapText="1"/>
    </xf>
    <xf numFmtId="0" fontId="1" fillId="2" borderId="1" xfId="0" applyFont="1" applyFill="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7" fillId="0" borderId="0" xfId="0" applyFont="1" applyAlignment="1">
      <alignment vertical="top" wrapText="1"/>
    </xf>
    <xf numFmtId="0" fontId="8" fillId="0" borderId="0" xfId="0" applyFont="1" applyAlignment="1">
      <alignment horizontal="left" vertical="center"/>
    </xf>
    <xf numFmtId="0" fontId="8" fillId="4" borderId="0" xfId="0" applyFont="1" applyFill="1" applyAlignment="1">
      <alignment horizontal="left" vertical="center"/>
    </xf>
    <xf numFmtId="0" fontId="10" fillId="4" borderId="0" xfId="0" applyFont="1" applyFill="1" applyAlignment="1"/>
    <xf numFmtId="0" fontId="8" fillId="5" borderId="0" xfId="0" applyFont="1" applyFill="1" applyAlignment="1">
      <alignment horizontal="left" vertical="center"/>
    </xf>
    <xf numFmtId="0" fontId="0" fillId="5" borderId="0" xfId="0" applyFont="1" applyFill="1" applyAlignment="1"/>
    <xf numFmtId="0" fontId="9" fillId="4" borderId="2" xfId="0" applyFont="1" applyFill="1" applyBorder="1" applyAlignment="1">
      <alignment horizontal="left" vertical="center"/>
    </xf>
    <xf numFmtId="0" fontId="8" fillId="0" borderId="3" xfId="0" applyFont="1" applyBorder="1" applyAlignment="1">
      <alignment horizontal="left" vertical="center"/>
    </xf>
    <xf numFmtId="0" fontId="9" fillId="4" borderId="4" xfId="0" applyFont="1" applyFill="1" applyBorder="1" applyAlignment="1">
      <alignment horizontal="left" vertical="center"/>
    </xf>
    <xf numFmtId="0" fontId="9" fillId="4" borderId="5" xfId="0" applyFont="1" applyFill="1" applyBorder="1" applyAlignment="1">
      <alignment horizontal="left" vertical="center"/>
    </xf>
    <xf numFmtId="0" fontId="10" fillId="4" borderId="6" xfId="0" applyFont="1" applyFill="1" applyBorder="1" applyAlignment="1"/>
    <xf numFmtId="0" fontId="8" fillId="0" borderId="7" xfId="0" applyFont="1" applyBorder="1" applyAlignment="1">
      <alignment horizontal="left" vertical="center"/>
    </xf>
    <xf numFmtId="0" fontId="8" fillId="0" borderId="1" xfId="0" applyFont="1" applyBorder="1" applyAlignment="1">
      <alignment horizontal="left" vertical="center"/>
    </xf>
    <xf numFmtId="0" fontId="0" fillId="0" borderId="8" xfId="0" applyFont="1" applyBorder="1" applyAlignment="1"/>
    <xf numFmtId="0" fontId="11" fillId="0" borderId="0" xfId="0" applyFont="1" applyAlignment="1">
      <alignment horizontal="left" vertical="center"/>
    </xf>
    <xf numFmtId="0" fontId="9" fillId="4" borderId="0" xfId="0" applyFont="1" applyFill="1" applyAlignment="1">
      <alignment vertical="center"/>
    </xf>
  </cellXfs>
  <cellStyles count="1">
    <cellStyle name="Normal" xfId="0" builtinId="0"/>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rgb="FFDEEAF6"/>
          <bgColor rgb="FFDEEAF6"/>
        </patternFill>
      </fill>
    </dxf>
    <dxf>
      <fill>
        <patternFill patternType="solid">
          <fgColor rgb="FFE2EFD9"/>
          <bgColor rgb="FFE2EFD9"/>
        </patternFill>
      </fill>
    </dxf>
    <dxf>
      <fill>
        <patternFill patternType="solid">
          <fgColor theme="9"/>
          <bgColor theme="9"/>
        </patternFill>
      </fill>
    </dxf>
    <dxf>
      <fill>
        <patternFill patternType="solid">
          <fgColor rgb="FFDEEAF6"/>
          <bgColor rgb="FFDEEAF6"/>
        </patternFill>
      </fill>
    </dxf>
    <dxf>
      <fill>
        <patternFill patternType="solid">
          <fgColor rgb="FFE2EFD9"/>
          <bgColor rgb="FFE2EFD9"/>
        </patternFill>
      </fill>
    </dxf>
    <dxf>
      <fill>
        <patternFill patternType="solid">
          <fgColor theme="9"/>
          <bgColor theme="9"/>
        </patternFill>
      </fill>
    </dxf>
  </dxfs>
  <tableStyles count="2">
    <tableStyle name="Tabela1-style" pivot="0" count="3" xr9:uid="{00000000-0011-0000-FFFF-FFFF00000000}">
      <tableStyleElement type="headerRow" dxfId="11"/>
      <tableStyleElement type="firstRowStripe" dxfId="10"/>
      <tableStyleElement type="secondRowStripe" dxfId="9"/>
    </tableStyle>
    <tableStyle name="Tabela2-style" pivot="0" count="3" xr9:uid="{00000000-0011-0000-FFFF-FFFF01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128">
  <tableColumns count="1">
    <tableColumn id="1" xr3:uid="{00000000-0010-0000-0000-000001000000}" name="Column2"/>
  </tableColumns>
  <tableStyleInfo name="Tabela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770">
  <tableColumns count="2">
    <tableColumn id="1" xr3:uid="{00000000-0010-0000-0100-000001000000}" name="Column2"/>
    <tableColumn id="2" xr3:uid="{00000000-0010-0000-0100-000002000000}" name="Coluna1"/>
  </tableColumns>
  <tableStyleInfo name="Tabela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6640625" defaultRowHeight="15" customHeight="1" x14ac:dyDescent="0.3"/>
  <cols>
    <col min="1" max="1" width="70.6640625" customWidth="1"/>
    <col min="2" max="26" width="7.6640625" customWidth="1"/>
  </cols>
  <sheetData>
    <row r="1" spans="1:1" ht="14.25" customHeight="1" x14ac:dyDescent="0.35">
      <c r="A1" s="2" t="s">
        <v>0</v>
      </c>
    </row>
    <row r="2" spans="1:1" ht="14.25" customHeight="1" x14ac:dyDescent="0.35">
      <c r="A2" s="2" t="s">
        <v>2</v>
      </c>
    </row>
    <row r="3" spans="1:1" ht="14.25" customHeight="1" x14ac:dyDescent="0.35">
      <c r="A3" s="2" t="s">
        <v>3</v>
      </c>
    </row>
    <row r="4" spans="1:1" ht="14.25" customHeight="1" x14ac:dyDescent="0.35">
      <c r="A4" s="2" t="s">
        <v>4</v>
      </c>
    </row>
    <row r="5" spans="1:1" ht="14.25" customHeight="1" x14ac:dyDescent="0.35">
      <c r="A5" s="2" t="s">
        <v>5</v>
      </c>
    </row>
    <row r="6" spans="1:1" ht="14.25" customHeight="1" x14ac:dyDescent="0.35">
      <c r="A6" s="2" t="s">
        <v>6</v>
      </c>
    </row>
    <row r="7" spans="1:1" ht="14.25" customHeight="1" x14ac:dyDescent="0.35">
      <c r="A7" s="2" t="s">
        <v>7</v>
      </c>
    </row>
    <row r="8" spans="1:1" ht="14.25" customHeight="1" x14ac:dyDescent="0.35">
      <c r="A8" s="2" t="s">
        <v>8</v>
      </c>
    </row>
    <row r="9" spans="1:1" ht="14.25" customHeight="1" x14ac:dyDescent="0.35">
      <c r="A9" s="2" t="s">
        <v>9</v>
      </c>
    </row>
    <row r="10" spans="1:1" ht="14.25" customHeight="1" x14ac:dyDescent="0.35">
      <c r="A10" s="2" t="s">
        <v>10</v>
      </c>
    </row>
    <row r="11" spans="1:1" ht="14.25" customHeight="1" x14ac:dyDescent="0.35">
      <c r="A11" s="2" t="s">
        <v>12</v>
      </c>
    </row>
    <row r="12" spans="1:1" ht="14.25" customHeight="1" x14ac:dyDescent="0.35">
      <c r="A12" s="2" t="s">
        <v>13</v>
      </c>
    </row>
    <row r="13" spans="1:1" ht="14.25" customHeight="1" x14ac:dyDescent="0.35">
      <c r="A13" s="2" t="s">
        <v>14</v>
      </c>
    </row>
    <row r="14" spans="1:1" ht="14.25" customHeight="1" x14ac:dyDescent="0.35">
      <c r="A14" s="2" t="s">
        <v>15</v>
      </c>
    </row>
    <row r="15" spans="1:1" ht="14.25" customHeight="1" x14ac:dyDescent="0.35">
      <c r="A15" s="2" t="s">
        <v>16</v>
      </c>
    </row>
    <row r="16" spans="1:1" ht="14.25" customHeight="1" x14ac:dyDescent="0.35">
      <c r="A16" s="2" t="s">
        <v>18</v>
      </c>
    </row>
    <row r="17" spans="1:1" ht="14.25" customHeight="1" x14ac:dyDescent="0.35">
      <c r="A17" s="2" t="s">
        <v>19</v>
      </c>
    </row>
    <row r="18" spans="1:1" ht="14.25" customHeight="1" x14ac:dyDescent="0.35">
      <c r="A18" s="2" t="s">
        <v>21</v>
      </c>
    </row>
    <row r="19" spans="1:1" ht="14.25" customHeight="1" x14ac:dyDescent="0.35">
      <c r="A19" s="2" t="s">
        <v>23</v>
      </c>
    </row>
    <row r="20" spans="1:1" ht="14.25" customHeight="1" x14ac:dyDescent="0.35">
      <c r="A20" s="2" t="s">
        <v>25</v>
      </c>
    </row>
    <row r="21" spans="1:1" ht="14.25" customHeight="1" x14ac:dyDescent="0.35">
      <c r="A21" s="2" t="s">
        <v>26</v>
      </c>
    </row>
    <row r="22" spans="1:1" ht="14.25" customHeight="1" x14ac:dyDescent="0.35">
      <c r="A22" s="2" t="s">
        <v>29</v>
      </c>
    </row>
    <row r="23" spans="1:1" ht="14.25" customHeight="1" x14ac:dyDescent="0.35">
      <c r="A23" s="2" t="s">
        <v>31</v>
      </c>
    </row>
    <row r="24" spans="1:1" ht="14.25" customHeight="1" x14ac:dyDescent="0.35">
      <c r="A24" s="2" t="s">
        <v>32</v>
      </c>
    </row>
    <row r="25" spans="1:1" ht="14.25" customHeight="1" x14ac:dyDescent="0.35">
      <c r="A25" s="2" t="s">
        <v>33</v>
      </c>
    </row>
    <row r="26" spans="1:1" ht="14.25" customHeight="1" x14ac:dyDescent="0.35">
      <c r="A26" s="2" t="s">
        <v>34</v>
      </c>
    </row>
    <row r="27" spans="1:1" ht="14.25" customHeight="1" x14ac:dyDescent="0.35">
      <c r="A27" s="2" t="s">
        <v>35</v>
      </c>
    </row>
    <row r="28" spans="1:1" ht="14.25" customHeight="1" x14ac:dyDescent="0.35">
      <c r="A28" s="2" t="s">
        <v>36</v>
      </c>
    </row>
    <row r="29" spans="1:1" ht="14.25" customHeight="1" x14ac:dyDescent="0.35">
      <c r="A29" s="2" t="s">
        <v>38</v>
      </c>
    </row>
    <row r="30" spans="1:1" ht="14.25" customHeight="1" x14ac:dyDescent="0.35">
      <c r="A30" s="2" t="s">
        <v>39</v>
      </c>
    </row>
    <row r="31" spans="1:1" ht="14.25" customHeight="1" x14ac:dyDescent="0.35">
      <c r="A31" s="2" t="s">
        <v>40</v>
      </c>
    </row>
    <row r="32" spans="1:1" ht="14.25" customHeight="1" x14ac:dyDescent="0.35">
      <c r="A32" s="2" t="s">
        <v>41</v>
      </c>
    </row>
    <row r="33" spans="1:1" ht="14.25" customHeight="1" x14ac:dyDescent="0.35">
      <c r="A33" s="2" t="s">
        <v>42</v>
      </c>
    </row>
    <row r="34" spans="1:1" ht="14.25" customHeight="1" x14ac:dyDescent="0.35">
      <c r="A34" s="2" t="s">
        <v>43</v>
      </c>
    </row>
    <row r="35" spans="1:1" ht="14.25" customHeight="1" x14ac:dyDescent="0.35">
      <c r="A35" s="2" t="s">
        <v>44</v>
      </c>
    </row>
    <row r="36" spans="1:1" ht="14.25" customHeight="1" x14ac:dyDescent="0.35">
      <c r="A36" s="2" t="s">
        <v>45</v>
      </c>
    </row>
    <row r="37" spans="1:1" ht="14.25" customHeight="1" x14ac:dyDescent="0.35">
      <c r="A37" s="2" t="s">
        <v>47</v>
      </c>
    </row>
    <row r="38" spans="1:1" ht="14.25" customHeight="1" x14ac:dyDescent="0.35">
      <c r="A38" s="2" t="s">
        <v>48</v>
      </c>
    </row>
    <row r="39" spans="1:1" ht="14.25" customHeight="1" x14ac:dyDescent="0.35">
      <c r="A39" s="2" t="s">
        <v>49</v>
      </c>
    </row>
    <row r="40" spans="1:1" ht="14.25" customHeight="1" x14ac:dyDescent="0.35">
      <c r="A40" s="2" t="s">
        <v>50</v>
      </c>
    </row>
    <row r="41" spans="1:1" ht="14.25" customHeight="1" x14ac:dyDescent="0.35">
      <c r="A41" s="2" t="s">
        <v>51</v>
      </c>
    </row>
    <row r="42" spans="1:1" ht="14.25" customHeight="1" x14ac:dyDescent="0.35">
      <c r="A42" s="2" t="s">
        <v>52</v>
      </c>
    </row>
    <row r="43" spans="1:1" ht="14.25" customHeight="1" x14ac:dyDescent="0.35">
      <c r="A43" s="2" t="s">
        <v>53</v>
      </c>
    </row>
    <row r="44" spans="1:1" ht="14.25" customHeight="1" x14ac:dyDescent="0.35">
      <c r="A44" s="2" t="s">
        <v>54</v>
      </c>
    </row>
    <row r="45" spans="1:1" ht="14.25" customHeight="1" x14ac:dyDescent="0.35">
      <c r="A45" s="2" t="s">
        <v>55</v>
      </c>
    </row>
    <row r="46" spans="1:1" ht="14.25" customHeight="1" x14ac:dyDescent="0.35">
      <c r="A46" s="2" t="s">
        <v>56</v>
      </c>
    </row>
    <row r="47" spans="1:1" ht="14.25" customHeight="1" x14ac:dyDescent="0.35">
      <c r="A47" s="2" t="s">
        <v>58</v>
      </c>
    </row>
    <row r="48" spans="1:1" ht="14.25" customHeight="1" x14ac:dyDescent="0.35">
      <c r="A48" s="2" t="s">
        <v>59</v>
      </c>
    </row>
    <row r="49" spans="1:1" ht="14.25" customHeight="1" x14ac:dyDescent="0.35">
      <c r="A49" s="2" t="s">
        <v>60</v>
      </c>
    </row>
    <row r="50" spans="1:1" ht="14.25" customHeight="1" x14ac:dyDescent="0.35">
      <c r="A50" s="2" t="s">
        <v>61</v>
      </c>
    </row>
    <row r="51" spans="1:1" ht="14.25" customHeight="1" x14ac:dyDescent="0.35">
      <c r="A51" s="2" t="s">
        <v>62</v>
      </c>
    </row>
    <row r="52" spans="1:1" ht="14.25" customHeight="1" x14ac:dyDescent="0.35">
      <c r="A52" s="2" t="s">
        <v>63</v>
      </c>
    </row>
    <row r="53" spans="1:1" ht="14.25" customHeight="1" x14ac:dyDescent="0.35">
      <c r="A53" s="2" t="s">
        <v>64</v>
      </c>
    </row>
    <row r="54" spans="1:1" ht="14.25" customHeight="1" x14ac:dyDescent="0.35">
      <c r="A54" s="2" t="s">
        <v>65</v>
      </c>
    </row>
    <row r="55" spans="1:1" ht="14.25" customHeight="1" x14ac:dyDescent="0.35">
      <c r="A55" s="2" t="s">
        <v>66</v>
      </c>
    </row>
    <row r="56" spans="1:1" ht="14.25" customHeight="1" x14ac:dyDescent="0.35">
      <c r="A56" s="2" t="s">
        <v>67</v>
      </c>
    </row>
    <row r="57" spans="1:1" ht="14.25" customHeight="1" x14ac:dyDescent="0.35">
      <c r="A57" s="2" t="s">
        <v>69</v>
      </c>
    </row>
    <row r="58" spans="1:1" ht="14.25" customHeight="1" x14ac:dyDescent="0.35">
      <c r="A58" s="2" t="s">
        <v>70</v>
      </c>
    </row>
    <row r="59" spans="1:1" ht="14.25" customHeight="1" x14ac:dyDescent="0.35">
      <c r="A59" s="2" t="s">
        <v>71</v>
      </c>
    </row>
    <row r="60" spans="1:1" ht="14.25" customHeight="1" x14ac:dyDescent="0.35">
      <c r="A60" s="2" t="s">
        <v>72</v>
      </c>
    </row>
    <row r="61" spans="1:1" ht="14.25" customHeight="1" x14ac:dyDescent="0.35">
      <c r="A61" s="2" t="s">
        <v>73</v>
      </c>
    </row>
    <row r="62" spans="1:1" ht="14.25" customHeight="1" x14ac:dyDescent="0.35">
      <c r="A62" s="2" t="s">
        <v>74</v>
      </c>
    </row>
    <row r="63" spans="1:1" ht="14.25" customHeight="1" x14ac:dyDescent="0.35">
      <c r="A63" s="2" t="s">
        <v>75</v>
      </c>
    </row>
    <row r="64" spans="1:1" ht="14.25" customHeight="1" x14ac:dyDescent="0.35">
      <c r="A64" s="2" t="s">
        <v>76</v>
      </c>
    </row>
    <row r="65" spans="1:1" ht="14.25" customHeight="1" x14ac:dyDescent="0.35">
      <c r="A65" s="2" t="s">
        <v>77</v>
      </c>
    </row>
    <row r="66" spans="1:1" ht="14.25" customHeight="1" x14ac:dyDescent="0.35">
      <c r="A66" s="2" t="s">
        <v>78</v>
      </c>
    </row>
    <row r="67" spans="1:1" ht="14.25" customHeight="1" x14ac:dyDescent="0.35">
      <c r="A67" s="2" t="s">
        <v>80</v>
      </c>
    </row>
    <row r="68" spans="1:1" ht="14.25" customHeight="1" x14ac:dyDescent="0.35">
      <c r="A68" s="2" t="s">
        <v>81</v>
      </c>
    </row>
    <row r="69" spans="1:1" ht="14.25" customHeight="1" x14ac:dyDescent="0.35">
      <c r="A69" s="2" t="s">
        <v>82</v>
      </c>
    </row>
    <row r="70" spans="1:1" ht="14.25" customHeight="1" x14ac:dyDescent="0.35">
      <c r="A70" s="2" t="s">
        <v>83</v>
      </c>
    </row>
    <row r="71" spans="1:1" ht="14.25" customHeight="1" x14ac:dyDescent="0.35">
      <c r="A71" s="2" t="s">
        <v>84</v>
      </c>
    </row>
    <row r="72" spans="1:1" ht="14.25" customHeight="1" x14ac:dyDescent="0.35">
      <c r="A72" s="2" t="s">
        <v>85</v>
      </c>
    </row>
    <row r="73" spans="1:1" ht="14.25" customHeight="1" x14ac:dyDescent="0.35">
      <c r="A73" s="2" t="s">
        <v>86</v>
      </c>
    </row>
    <row r="74" spans="1:1" ht="14.25" customHeight="1" x14ac:dyDescent="0.35">
      <c r="A74" s="2" t="s">
        <v>87</v>
      </c>
    </row>
    <row r="75" spans="1:1" ht="14.25" customHeight="1" x14ac:dyDescent="0.35">
      <c r="A75" s="2" t="s">
        <v>88</v>
      </c>
    </row>
    <row r="76" spans="1:1" ht="14.25" customHeight="1" x14ac:dyDescent="0.35">
      <c r="A76" s="2" t="s">
        <v>89</v>
      </c>
    </row>
    <row r="77" spans="1:1" ht="14.25" customHeight="1" x14ac:dyDescent="0.35">
      <c r="A77" s="2" t="s">
        <v>90</v>
      </c>
    </row>
    <row r="78" spans="1:1" ht="14.25" customHeight="1" x14ac:dyDescent="0.35">
      <c r="A78" s="2" t="s">
        <v>91</v>
      </c>
    </row>
    <row r="79" spans="1:1" ht="14.25" customHeight="1" x14ac:dyDescent="0.35">
      <c r="A79" s="2" t="s">
        <v>93</v>
      </c>
    </row>
    <row r="80" spans="1:1" ht="14.25" customHeight="1" x14ac:dyDescent="0.35">
      <c r="A80" s="2" t="s">
        <v>94</v>
      </c>
    </row>
    <row r="81" spans="1:1" ht="14.25" customHeight="1" x14ac:dyDescent="0.35">
      <c r="A81" s="2" t="s">
        <v>95</v>
      </c>
    </row>
    <row r="82" spans="1:1" ht="14.25" customHeight="1" x14ac:dyDescent="0.35">
      <c r="A82" s="2" t="s">
        <v>96</v>
      </c>
    </row>
    <row r="83" spans="1:1" ht="14.25" customHeight="1" x14ac:dyDescent="0.35">
      <c r="A83" s="2" t="s">
        <v>97</v>
      </c>
    </row>
    <row r="84" spans="1:1" ht="14.25" customHeight="1" x14ac:dyDescent="0.35">
      <c r="A84" s="2" t="s">
        <v>98</v>
      </c>
    </row>
    <row r="85" spans="1:1" ht="14.25" customHeight="1" x14ac:dyDescent="0.35">
      <c r="A85" s="2" t="s">
        <v>99</v>
      </c>
    </row>
    <row r="86" spans="1:1" ht="14.25" customHeight="1" x14ac:dyDescent="0.35">
      <c r="A86" s="2" t="s">
        <v>100</v>
      </c>
    </row>
    <row r="87" spans="1:1" ht="14.25" customHeight="1" x14ac:dyDescent="0.35">
      <c r="A87" s="2" t="s">
        <v>101</v>
      </c>
    </row>
    <row r="88" spans="1:1" ht="14.25" customHeight="1" x14ac:dyDescent="0.35">
      <c r="A88" s="2" t="s">
        <v>103</v>
      </c>
    </row>
    <row r="89" spans="1:1" ht="14.25" customHeight="1" x14ac:dyDescent="0.35">
      <c r="A89" s="2" t="s">
        <v>104</v>
      </c>
    </row>
    <row r="90" spans="1:1" ht="14.25" customHeight="1" x14ac:dyDescent="0.35">
      <c r="A90" s="2" t="s">
        <v>105</v>
      </c>
    </row>
    <row r="91" spans="1:1" ht="14.25" customHeight="1" x14ac:dyDescent="0.35">
      <c r="A91" s="2" t="s">
        <v>106</v>
      </c>
    </row>
    <row r="92" spans="1:1" ht="14.25" customHeight="1" x14ac:dyDescent="0.35">
      <c r="A92" s="2" t="s">
        <v>107</v>
      </c>
    </row>
    <row r="93" spans="1:1" ht="14.25" customHeight="1" x14ac:dyDescent="0.35">
      <c r="A93" s="2" t="s">
        <v>108</v>
      </c>
    </row>
    <row r="94" spans="1:1" ht="14.25" customHeight="1" x14ac:dyDescent="0.35">
      <c r="A94" s="2" t="s">
        <v>109</v>
      </c>
    </row>
    <row r="95" spans="1:1" ht="14.25" customHeight="1" x14ac:dyDescent="0.35">
      <c r="A95" s="2" t="s">
        <v>110</v>
      </c>
    </row>
    <row r="96" spans="1:1" ht="14.25" customHeight="1" x14ac:dyDescent="0.35">
      <c r="A96" s="2" t="s">
        <v>112</v>
      </c>
    </row>
    <row r="97" spans="1:1" ht="14.25" customHeight="1" x14ac:dyDescent="0.35">
      <c r="A97" s="2" t="s">
        <v>113</v>
      </c>
    </row>
    <row r="98" spans="1:1" ht="14.25" customHeight="1" x14ac:dyDescent="0.35">
      <c r="A98" s="2" t="s">
        <v>114</v>
      </c>
    </row>
    <row r="99" spans="1:1" ht="14.25" customHeight="1" x14ac:dyDescent="0.35">
      <c r="A99" s="2" t="s">
        <v>115</v>
      </c>
    </row>
    <row r="100" spans="1:1" ht="14.25" customHeight="1" x14ac:dyDescent="0.35">
      <c r="A100" s="2" t="s">
        <v>116</v>
      </c>
    </row>
    <row r="101" spans="1:1" ht="14.25" customHeight="1" x14ac:dyDescent="0.35">
      <c r="A101" s="2" t="s">
        <v>117</v>
      </c>
    </row>
    <row r="102" spans="1:1" ht="14.25" customHeight="1" x14ac:dyDescent="0.35">
      <c r="A102" s="2" t="s">
        <v>118</v>
      </c>
    </row>
    <row r="103" spans="1:1" ht="14.25" customHeight="1" x14ac:dyDescent="0.35">
      <c r="A103" s="2" t="s">
        <v>119</v>
      </c>
    </row>
    <row r="104" spans="1:1" ht="14.25" customHeight="1" x14ac:dyDescent="0.35">
      <c r="A104" s="2" t="s">
        <v>120</v>
      </c>
    </row>
    <row r="105" spans="1:1" ht="14.25" customHeight="1" x14ac:dyDescent="0.35">
      <c r="A105" s="2" t="s">
        <v>121</v>
      </c>
    </row>
    <row r="106" spans="1:1" ht="14.25" customHeight="1" x14ac:dyDescent="0.35">
      <c r="A106" s="2" t="s">
        <v>123</v>
      </c>
    </row>
    <row r="107" spans="1:1" ht="14.25" customHeight="1" x14ac:dyDescent="0.35">
      <c r="A107" s="2" t="s">
        <v>124</v>
      </c>
    </row>
    <row r="108" spans="1:1" ht="14.25" customHeight="1" x14ac:dyDescent="0.35">
      <c r="A108" s="2" t="s">
        <v>125</v>
      </c>
    </row>
    <row r="109" spans="1:1" ht="14.25" customHeight="1" x14ac:dyDescent="0.35">
      <c r="A109" s="2" t="s">
        <v>126</v>
      </c>
    </row>
    <row r="110" spans="1:1" ht="14.25" customHeight="1" x14ac:dyDescent="0.35">
      <c r="A110" s="2" t="s">
        <v>127</v>
      </c>
    </row>
    <row r="111" spans="1:1" ht="14.25" customHeight="1" x14ac:dyDescent="0.35">
      <c r="A111" s="2" t="s">
        <v>128</v>
      </c>
    </row>
    <row r="112" spans="1:1" ht="14.25" customHeight="1" x14ac:dyDescent="0.35">
      <c r="A112" s="2" t="s">
        <v>129</v>
      </c>
    </row>
    <row r="113" spans="1:1" ht="14.25" customHeight="1" x14ac:dyDescent="0.35">
      <c r="A113" s="2" t="s">
        <v>130</v>
      </c>
    </row>
    <row r="114" spans="1:1" ht="14.25" customHeight="1" x14ac:dyDescent="0.35">
      <c r="A114" s="2" t="s">
        <v>131</v>
      </c>
    </row>
    <row r="115" spans="1:1" ht="14.25" customHeight="1" x14ac:dyDescent="0.35">
      <c r="A115" s="2" t="s">
        <v>132</v>
      </c>
    </row>
    <row r="116" spans="1:1" ht="14.25" customHeight="1" x14ac:dyDescent="0.35">
      <c r="A116" s="2" t="s">
        <v>133</v>
      </c>
    </row>
    <row r="117" spans="1:1" ht="14.25" customHeight="1" x14ac:dyDescent="0.35">
      <c r="A117" s="2" t="s">
        <v>135</v>
      </c>
    </row>
    <row r="118" spans="1:1" ht="14.25" customHeight="1" x14ac:dyDescent="0.35">
      <c r="A118" s="2" t="s">
        <v>137</v>
      </c>
    </row>
    <row r="119" spans="1:1" ht="14.25" customHeight="1" x14ac:dyDescent="0.35">
      <c r="A119" s="2" t="s">
        <v>138</v>
      </c>
    </row>
    <row r="120" spans="1:1" ht="14.25" customHeight="1" x14ac:dyDescent="0.35">
      <c r="A120" s="2" t="s">
        <v>139</v>
      </c>
    </row>
    <row r="121" spans="1:1" ht="14.25" customHeight="1" x14ac:dyDescent="0.35">
      <c r="A121" s="2" t="s">
        <v>140</v>
      </c>
    </row>
    <row r="122" spans="1:1" ht="14.25" customHeight="1" x14ac:dyDescent="0.35">
      <c r="A122" s="2" t="s">
        <v>141</v>
      </c>
    </row>
    <row r="123" spans="1:1" ht="14.25" customHeight="1" x14ac:dyDescent="0.35">
      <c r="A123" s="2" t="s">
        <v>142</v>
      </c>
    </row>
    <row r="124" spans="1:1" ht="14.25" customHeight="1" x14ac:dyDescent="0.35">
      <c r="A124" s="2" t="s">
        <v>143</v>
      </c>
    </row>
    <row r="125" spans="1:1" ht="14.25" customHeight="1" x14ac:dyDescent="0.35">
      <c r="A125" s="2" t="s">
        <v>144</v>
      </c>
    </row>
    <row r="126" spans="1:1" ht="14.25" customHeight="1" x14ac:dyDescent="0.35">
      <c r="A126" s="2" t="s">
        <v>145</v>
      </c>
    </row>
    <row r="127" spans="1:1" ht="14.25" customHeight="1" x14ac:dyDescent="0.35">
      <c r="A127" s="2" t="s">
        <v>146</v>
      </c>
    </row>
    <row r="128" spans="1:1" ht="14.25" customHeight="1" x14ac:dyDescent="0.35">
      <c r="A128" s="2" t="s">
        <v>147</v>
      </c>
    </row>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4" sqref="A4"/>
    </sheetView>
  </sheetViews>
  <sheetFormatPr defaultColWidth="12.6640625" defaultRowHeight="15" customHeight="1" x14ac:dyDescent="0.3"/>
  <cols>
    <col min="1" max="1" width="70.6640625" customWidth="1"/>
    <col min="2" max="26" width="7.6640625" customWidth="1"/>
  </cols>
  <sheetData>
    <row r="1" spans="1:26" ht="12" customHeight="1" x14ac:dyDescent="0.3">
      <c r="A1" s="1" t="s">
        <v>0</v>
      </c>
      <c r="B1" s="1" t="s">
        <v>1</v>
      </c>
      <c r="C1" s="3"/>
      <c r="D1" s="3"/>
      <c r="E1" s="3"/>
      <c r="F1" s="3"/>
      <c r="G1" s="3"/>
      <c r="H1" s="3"/>
      <c r="I1" s="3"/>
      <c r="J1" s="3"/>
      <c r="K1" s="3"/>
      <c r="L1" s="3"/>
      <c r="M1" s="3"/>
      <c r="N1" s="3"/>
      <c r="O1" s="3"/>
      <c r="P1" s="3"/>
      <c r="Q1" s="3"/>
      <c r="R1" s="3"/>
      <c r="S1" s="3"/>
      <c r="T1" s="3"/>
      <c r="U1" s="3"/>
      <c r="V1" s="3"/>
      <c r="W1" s="3"/>
      <c r="X1" s="3"/>
      <c r="Y1" s="3"/>
      <c r="Z1" s="3"/>
    </row>
    <row r="2" spans="1:26" ht="12" customHeight="1" x14ac:dyDescent="0.3">
      <c r="A2" s="1" t="s">
        <v>11</v>
      </c>
      <c r="B2" s="1"/>
      <c r="C2" s="3"/>
      <c r="D2" s="3"/>
      <c r="E2" s="3"/>
      <c r="F2" s="3"/>
      <c r="G2" s="3"/>
      <c r="H2" s="3"/>
      <c r="I2" s="3"/>
      <c r="J2" s="3"/>
      <c r="K2" s="3"/>
      <c r="L2" s="3"/>
      <c r="M2" s="3"/>
      <c r="N2" s="3"/>
      <c r="O2" s="3"/>
      <c r="P2" s="3"/>
      <c r="Q2" s="3"/>
      <c r="R2" s="3"/>
      <c r="S2" s="3"/>
      <c r="T2" s="3"/>
      <c r="U2" s="3"/>
      <c r="V2" s="3"/>
      <c r="W2" s="3"/>
      <c r="X2" s="3"/>
      <c r="Y2" s="3"/>
      <c r="Z2" s="3"/>
    </row>
    <row r="3" spans="1:26" ht="12" customHeight="1" x14ac:dyDescent="0.3">
      <c r="A3" s="1" t="s">
        <v>28</v>
      </c>
      <c r="B3" s="1"/>
      <c r="C3" s="3"/>
      <c r="D3" s="3"/>
      <c r="E3" s="3"/>
      <c r="F3" s="3"/>
      <c r="G3" s="3"/>
      <c r="H3" s="3"/>
      <c r="I3" s="3"/>
      <c r="J3" s="3"/>
      <c r="K3" s="3"/>
      <c r="L3" s="3"/>
      <c r="M3" s="3"/>
      <c r="N3" s="3"/>
      <c r="O3" s="3"/>
      <c r="P3" s="3"/>
      <c r="Q3" s="3"/>
      <c r="R3" s="3"/>
      <c r="S3" s="3"/>
      <c r="T3" s="3"/>
      <c r="U3" s="3"/>
      <c r="V3" s="3"/>
      <c r="W3" s="3"/>
      <c r="X3" s="3"/>
      <c r="Y3" s="3"/>
      <c r="Z3" s="3"/>
    </row>
    <row r="4" spans="1:26" ht="12" customHeight="1" x14ac:dyDescent="0.3">
      <c r="A4" s="1" t="s">
        <v>37</v>
      </c>
      <c r="B4" s="1"/>
      <c r="C4" s="3"/>
      <c r="D4" s="3"/>
      <c r="E4" s="3"/>
      <c r="F4" s="3"/>
      <c r="G4" s="3"/>
      <c r="H4" s="3"/>
      <c r="I4" s="3"/>
      <c r="J4" s="3"/>
      <c r="K4" s="3"/>
      <c r="L4" s="3"/>
      <c r="M4" s="3"/>
      <c r="N4" s="3"/>
      <c r="O4" s="3"/>
      <c r="P4" s="3"/>
      <c r="Q4" s="3"/>
      <c r="R4" s="3"/>
      <c r="S4" s="3"/>
      <c r="T4" s="3"/>
      <c r="U4" s="3"/>
      <c r="V4" s="3"/>
      <c r="W4" s="3"/>
      <c r="X4" s="3"/>
      <c r="Y4" s="3"/>
      <c r="Z4" s="3"/>
    </row>
    <row r="5" spans="1:26" ht="12" customHeight="1" x14ac:dyDescent="0.3">
      <c r="A5" s="1" t="s">
        <v>46</v>
      </c>
      <c r="B5" s="1"/>
      <c r="C5" s="3"/>
      <c r="D5" s="3"/>
      <c r="E5" s="3"/>
      <c r="F5" s="3"/>
      <c r="G5" s="3"/>
      <c r="H5" s="3"/>
      <c r="I5" s="3"/>
      <c r="J5" s="3"/>
      <c r="K5" s="3"/>
      <c r="L5" s="3"/>
      <c r="M5" s="3"/>
      <c r="N5" s="3"/>
      <c r="O5" s="3"/>
      <c r="P5" s="3"/>
      <c r="Q5" s="3"/>
      <c r="R5" s="3"/>
      <c r="S5" s="3"/>
      <c r="T5" s="3"/>
      <c r="U5" s="3"/>
      <c r="V5" s="3"/>
      <c r="W5" s="3"/>
      <c r="X5" s="3"/>
      <c r="Y5" s="3"/>
      <c r="Z5" s="3"/>
    </row>
    <row r="6" spans="1:26" ht="12" customHeight="1" x14ac:dyDescent="0.3">
      <c r="A6" s="1" t="s">
        <v>57</v>
      </c>
      <c r="B6" s="1"/>
      <c r="C6" s="3"/>
      <c r="D6" s="3"/>
      <c r="E6" s="3"/>
      <c r="F6" s="3"/>
      <c r="G6" s="3"/>
      <c r="H6" s="3"/>
      <c r="I6" s="3"/>
      <c r="J6" s="3"/>
      <c r="K6" s="3"/>
      <c r="L6" s="3"/>
      <c r="M6" s="3"/>
      <c r="N6" s="3"/>
      <c r="O6" s="3"/>
      <c r="P6" s="3"/>
      <c r="Q6" s="3"/>
      <c r="R6" s="3"/>
      <c r="S6" s="3"/>
      <c r="T6" s="3"/>
      <c r="U6" s="3"/>
      <c r="V6" s="3"/>
      <c r="W6" s="3"/>
      <c r="X6" s="3"/>
      <c r="Y6" s="3"/>
      <c r="Z6" s="3"/>
    </row>
    <row r="7" spans="1:26" ht="12" customHeight="1" x14ac:dyDescent="0.3">
      <c r="A7" s="1" t="s">
        <v>68</v>
      </c>
      <c r="B7" s="1"/>
      <c r="C7" s="3"/>
      <c r="D7" s="3"/>
      <c r="E7" s="3"/>
      <c r="F7" s="3"/>
      <c r="G7" s="3"/>
      <c r="H7" s="3"/>
      <c r="I7" s="3"/>
      <c r="J7" s="3"/>
      <c r="K7" s="3"/>
      <c r="L7" s="3"/>
      <c r="M7" s="3"/>
      <c r="N7" s="3"/>
      <c r="O7" s="3"/>
      <c r="P7" s="3"/>
      <c r="Q7" s="3"/>
      <c r="R7" s="3"/>
      <c r="S7" s="3"/>
      <c r="T7" s="3"/>
      <c r="U7" s="3"/>
      <c r="V7" s="3"/>
      <c r="W7" s="3"/>
      <c r="X7" s="3"/>
      <c r="Y7" s="3"/>
      <c r="Z7" s="3"/>
    </row>
    <row r="8" spans="1:26" ht="12" customHeight="1" x14ac:dyDescent="0.3">
      <c r="A8" s="1" t="s">
        <v>79</v>
      </c>
      <c r="B8" s="1"/>
      <c r="C8" s="3"/>
      <c r="D8" s="3"/>
      <c r="E8" s="3"/>
      <c r="F8" s="3"/>
      <c r="G8" s="3"/>
      <c r="H8" s="3"/>
      <c r="I8" s="3"/>
      <c r="J8" s="3"/>
      <c r="K8" s="3"/>
      <c r="L8" s="3"/>
      <c r="M8" s="3"/>
      <c r="N8" s="3"/>
      <c r="O8" s="3"/>
      <c r="P8" s="3"/>
      <c r="Q8" s="3"/>
      <c r="R8" s="3"/>
      <c r="S8" s="3"/>
      <c r="T8" s="3"/>
      <c r="U8" s="3"/>
      <c r="V8" s="3"/>
      <c r="W8" s="3"/>
      <c r="X8" s="3"/>
      <c r="Y8" s="3"/>
      <c r="Z8" s="3"/>
    </row>
    <row r="9" spans="1:26" ht="12" customHeight="1" x14ac:dyDescent="0.3">
      <c r="A9" s="1" t="s">
        <v>92</v>
      </c>
      <c r="B9" s="1"/>
      <c r="C9" s="3"/>
      <c r="D9" s="3"/>
      <c r="E9" s="3"/>
      <c r="F9" s="3"/>
      <c r="G9" s="3"/>
      <c r="H9" s="3"/>
      <c r="I9" s="3"/>
      <c r="J9" s="3"/>
      <c r="K9" s="3"/>
      <c r="L9" s="3"/>
      <c r="M9" s="3"/>
      <c r="N9" s="3"/>
      <c r="O9" s="3"/>
      <c r="P9" s="3"/>
      <c r="Q9" s="3"/>
      <c r="R9" s="3"/>
      <c r="S9" s="3"/>
      <c r="T9" s="3"/>
      <c r="U9" s="3"/>
      <c r="V9" s="3"/>
      <c r="W9" s="3"/>
      <c r="X9" s="3"/>
      <c r="Y9" s="3"/>
      <c r="Z9" s="3"/>
    </row>
    <row r="10" spans="1:26" ht="12" customHeight="1" x14ac:dyDescent="0.3">
      <c r="A10" s="1" t="s">
        <v>102</v>
      </c>
      <c r="B10" s="1"/>
      <c r="C10" s="3"/>
      <c r="D10" s="3"/>
      <c r="E10" s="3"/>
      <c r="F10" s="3"/>
      <c r="G10" s="3"/>
      <c r="H10" s="3"/>
      <c r="I10" s="3"/>
      <c r="J10" s="3"/>
      <c r="K10" s="3"/>
      <c r="L10" s="3"/>
      <c r="M10" s="3"/>
      <c r="N10" s="3"/>
      <c r="O10" s="3"/>
      <c r="P10" s="3"/>
      <c r="Q10" s="3"/>
      <c r="R10" s="3"/>
      <c r="S10" s="3"/>
      <c r="T10" s="3"/>
      <c r="U10" s="3"/>
      <c r="V10" s="3"/>
      <c r="W10" s="3"/>
      <c r="X10" s="3"/>
      <c r="Y10" s="3"/>
      <c r="Z10" s="3"/>
    </row>
    <row r="11" spans="1:26" ht="12" customHeight="1" x14ac:dyDescent="0.3">
      <c r="A11" s="1" t="s">
        <v>111</v>
      </c>
      <c r="B11" s="1"/>
      <c r="C11" s="3"/>
      <c r="D11" s="3"/>
      <c r="E11" s="3"/>
      <c r="F11" s="3"/>
      <c r="G11" s="3"/>
      <c r="H11" s="3"/>
      <c r="I11" s="3"/>
      <c r="J11" s="3"/>
      <c r="K11" s="3"/>
      <c r="L11" s="3"/>
      <c r="M11" s="3"/>
      <c r="N11" s="3"/>
      <c r="O11" s="3"/>
      <c r="P11" s="3"/>
      <c r="Q11" s="3"/>
      <c r="R11" s="3"/>
      <c r="S11" s="3"/>
      <c r="T11" s="3"/>
      <c r="U11" s="3"/>
      <c r="V11" s="3"/>
      <c r="W11" s="3"/>
      <c r="X11" s="3"/>
      <c r="Y11" s="3"/>
      <c r="Z11" s="3"/>
    </row>
    <row r="12" spans="1:26" ht="12" customHeight="1" x14ac:dyDescent="0.3">
      <c r="A12" s="1" t="s">
        <v>122</v>
      </c>
      <c r="B12" s="1"/>
      <c r="C12" s="3"/>
      <c r="D12" s="3"/>
      <c r="E12" s="3"/>
      <c r="F12" s="3"/>
      <c r="G12" s="3"/>
      <c r="H12" s="3"/>
      <c r="I12" s="3"/>
      <c r="J12" s="3"/>
      <c r="K12" s="3"/>
      <c r="L12" s="3"/>
      <c r="M12" s="3"/>
      <c r="N12" s="3"/>
      <c r="O12" s="3"/>
      <c r="P12" s="3"/>
      <c r="Q12" s="3"/>
      <c r="R12" s="3"/>
      <c r="S12" s="3"/>
      <c r="T12" s="3"/>
      <c r="U12" s="3"/>
      <c r="V12" s="3"/>
      <c r="W12" s="3"/>
      <c r="X12" s="3"/>
      <c r="Y12" s="3"/>
      <c r="Z12" s="3"/>
    </row>
    <row r="13" spans="1:26" ht="12" customHeight="1" x14ac:dyDescent="0.3">
      <c r="A13" s="1" t="s">
        <v>134</v>
      </c>
      <c r="B13" s="1"/>
      <c r="C13" s="3"/>
      <c r="D13" s="3"/>
      <c r="E13" s="3"/>
      <c r="F13" s="3"/>
      <c r="G13" s="3"/>
      <c r="H13" s="3"/>
      <c r="I13" s="3"/>
      <c r="J13" s="3"/>
      <c r="K13" s="3"/>
      <c r="L13" s="3"/>
      <c r="M13" s="3"/>
      <c r="N13" s="3"/>
      <c r="O13" s="3"/>
      <c r="P13" s="3"/>
      <c r="Q13" s="3"/>
      <c r="R13" s="3"/>
      <c r="S13" s="3"/>
      <c r="T13" s="3"/>
      <c r="U13" s="3"/>
      <c r="V13" s="3"/>
      <c r="W13" s="3"/>
      <c r="X13" s="3"/>
      <c r="Y13" s="3"/>
      <c r="Z13" s="3"/>
    </row>
    <row r="14" spans="1:26" ht="12" customHeight="1" x14ac:dyDescent="0.3">
      <c r="A14" s="1" t="s">
        <v>148</v>
      </c>
      <c r="B14" s="1"/>
      <c r="C14" s="3"/>
      <c r="D14" s="3"/>
      <c r="E14" s="3"/>
      <c r="F14" s="3"/>
      <c r="G14" s="3"/>
      <c r="H14" s="3"/>
      <c r="I14" s="3"/>
      <c r="J14" s="3"/>
      <c r="K14" s="3"/>
      <c r="L14" s="3"/>
      <c r="M14" s="3"/>
      <c r="N14" s="3"/>
      <c r="O14" s="3"/>
      <c r="P14" s="3"/>
      <c r="Q14" s="3"/>
      <c r="R14" s="3"/>
      <c r="S14" s="3"/>
      <c r="T14" s="3"/>
      <c r="U14" s="3"/>
      <c r="V14" s="3"/>
      <c r="W14" s="3"/>
      <c r="X14" s="3"/>
      <c r="Y14" s="3"/>
      <c r="Z14" s="3"/>
    </row>
    <row r="15" spans="1:26" ht="12" customHeight="1" x14ac:dyDescent="0.3">
      <c r="A15" s="1" t="s">
        <v>149</v>
      </c>
      <c r="B15" s="1"/>
      <c r="C15" s="3"/>
      <c r="D15" s="3"/>
      <c r="E15" s="3"/>
      <c r="F15" s="3"/>
      <c r="G15" s="3"/>
      <c r="H15" s="3"/>
      <c r="I15" s="3"/>
      <c r="J15" s="3"/>
      <c r="K15" s="3"/>
      <c r="L15" s="3"/>
      <c r="M15" s="3"/>
      <c r="N15" s="3"/>
      <c r="O15" s="3"/>
      <c r="P15" s="3"/>
      <c r="Q15" s="3"/>
      <c r="R15" s="3"/>
      <c r="S15" s="3"/>
      <c r="T15" s="3"/>
      <c r="U15" s="3"/>
      <c r="V15" s="3"/>
      <c r="W15" s="3"/>
      <c r="X15" s="3"/>
      <c r="Y15" s="3"/>
      <c r="Z15" s="3"/>
    </row>
    <row r="16" spans="1:26" ht="12" customHeight="1" x14ac:dyDescent="0.3">
      <c r="A16" s="1" t="s">
        <v>150</v>
      </c>
      <c r="B16" s="1"/>
      <c r="C16" s="3"/>
      <c r="D16" s="3"/>
      <c r="E16" s="3"/>
      <c r="F16" s="3"/>
      <c r="G16" s="3"/>
      <c r="H16" s="3"/>
      <c r="I16" s="3"/>
      <c r="J16" s="3"/>
      <c r="K16" s="3"/>
      <c r="L16" s="3"/>
      <c r="M16" s="3"/>
      <c r="N16" s="3"/>
      <c r="O16" s="3"/>
      <c r="P16" s="3"/>
      <c r="Q16" s="3"/>
      <c r="R16" s="3"/>
      <c r="S16" s="3"/>
      <c r="T16" s="3"/>
      <c r="U16" s="3"/>
      <c r="V16" s="3"/>
      <c r="W16" s="3"/>
      <c r="X16" s="3"/>
      <c r="Y16" s="3"/>
      <c r="Z16" s="3"/>
    </row>
    <row r="17" spans="1:26" ht="12" customHeight="1" x14ac:dyDescent="0.3">
      <c r="A17" s="1" t="s">
        <v>151</v>
      </c>
      <c r="B17" s="1"/>
      <c r="C17" s="3"/>
      <c r="D17" s="3"/>
      <c r="E17" s="3"/>
      <c r="F17" s="3"/>
      <c r="G17" s="3"/>
      <c r="H17" s="3"/>
      <c r="I17" s="3"/>
      <c r="J17" s="3"/>
      <c r="K17" s="3"/>
      <c r="L17" s="3"/>
      <c r="M17" s="3"/>
      <c r="N17" s="3"/>
      <c r="O17" s="3"/>
      <c r="P17" s="3"/>
      <c r="Q17" s="3"/>
      <c r="R17" s="3"/>
      <c r="S17" s="3"/>
      <c r="T17" s="3"/>
      <c r="U17" s="3"/>
      <c r="V17" s="3"/>
      <c r="W17" s="3"/>
      <c r="X17" s="3"/>
      <c r="Y17" s="3"/>
      <c r="Z17" s="3"/>
    </row>
    <row r="18" spans="1:26" ht="12" customHeight="1" x14ac:dyDescent="0.3">
      <c r="A18" s="1" t="s">
        <v>152</v>
      </c>
      <c r="B18" s="1"/>
      <c r="C18" s="3"/>
      <c r="D18" s="3"/>
      <c r="E18" s="3"/>
      <c r="F18" s="3"/>
      <c r="G18" s="3"/>
      <c r="H18" s="3"/>
      <c r="I18" s="3"/>
      <c r="J18" s="3"/>
      <c r="K18" s="3"/>
      <c r="L18" s="3"/>
      <c r="M18" s="3"/>
      <c r="N18" s="3"/>
      <c r="O18" s="3"/>
      <c r="P18" s="3"/>
      <c r="Q18" s="3"/>
      <c r="R18" s="3"/>
      <c r="S18" s="3"/>
      <c r="T18" s="3"/>
      <c r="U18" s="3"/>
      <c r="V18" s="3"/>
      <c r="W18" s="3"/>
      <c r="X18" s="3"/>
      <c r="Y18" s="3"/>
      <c r="Z18" s="3"/>
    </row>
    <row r="19" spans="1:26" ht="12" customHeight="1" x14ac:dyDescent="0.3">
      <c r="A19" s="1" t="s">
        <v>153</v>
      </c>
      <c r="B19" s="1"/>
      <c r="C19" s="3"/>
      <c r="D19" s="3"/>
      <c r="E19" s="3"/>
      <c r="F19" s="3"/>
      <c r="G19" s="3"/>
      <c r="H19" s="3"/>
      <c r="I19" s="3"/>
      <c r="J19" s="3"/>
      <c r="K19" s="3"/>
      <c r="L19" s="3"/>
      <c r="M19" s="3"/>
      <c r="N19" s="3"/>
      <c r="O19" s="3"/>
      <c r="P19" s="3"/>
      <c r="Q19" s="3"/>
      <c r="R19" s="3"/>
      <c r="S19" s="3"/>
      <c r="T19" s="3"/>
      <c r="U19" s="3"/>
      <c r="V19" s="3"/>
      <c r="W19" s="3"/>
      <c r="X19" s="3"/>
      <c r="Y19" s="3"/>
      <c r="Z19" s="3"/>
    </row>
    <row r="20" spans="1:26" ht="12" customHeight="1" x14ac:dyDescent="0.3">
      <c r="A20" s="1" t="s">
        <v>154</v>
      </c>
      <c r="B20" s="1"/>
      <c r="C20" s="3"/>
      <c r="D20" s="3"/>
      <c r="E20" s="3"/>
      <c r="F20" s="3"/>
      <c r="G20" s="3"/>
      <c r="H20" s="3"/>
      <c r="I20" s="3"/>
      <c r="J20" s="3"/>
      <c r="K20" s="3"/>
      <c r="L20" s="3"/>
      <c r="M20" s="3"/>
      <c r="N20" s="3"/>
      <c r="O20" s="3"/>
      <c r="P20" s="3"/>
      <c r="Q20" s="3"/>
      <c r="R20" s="3"/>
      <c r="S20" s="3"/>
      <c r="T20" s="3"/>
      <c r="U20" s="3"/>
      <c r="V20" s="3"/>
      <c r="W20" s="3"/>
      <c r="X20" s="3"/>
      <c r="Y20" s="3"/>
      <c r="Z20" s="3"/>
    </row>
    <row r="21" spans="1:26" ht="12" customHeight="1" x14ac:dyDescent="0.3">
      <c r="A21" s="1" t="s">
        <v>155</v>
      </c>
      <c r="B21" s="1"/>
      <c r="C21" s="3"/>
      <c r="D21" s="3"/>
      <c r="E21" s="3"/>
      <c r="F21" s="3"/>
      <c r="G21" s="3"/>
      <c r="H21" s="3"/>
      <c r="I21" s="3"/>
      <c r="J21" s="3"/>
      <c r="K21" s="3"/>
      <c r="L21" s="3"/>
      <c r="M21" s="3"/>
      <c r="N21" s="3"/>
      <c r="O21" s="3"/>
      <c r="P21" s="3"/>
      <c r="Q21" s="3"/>
      <c r="R21" s="3"/>
      <c r="S21" s="3"/>
      <c r="T21" s="3"/>
      <c r="U21" s="3"/>
      <c r="V21" s="3"/>
      <c r="W21" s="3"/>
      <c r="X21" s="3"/>
      <c r="Y21" s="3"/>
      <c r="Z21" s="3"/>
    </row>
    <row r="22" spans="1:26" ht="12" customHeight="1" x14ac:dyDescent="0.3">
      <c r="A22" s="1" t="s">
        <v>156</v>
      </c>
      <c r="B22" s="1"/>
      <c r="C22" s="3"/>
      <c r="D22" s="3"/>
      <c r="E22" s="3"/>
      <c r="F22" s="3"/>
      <c r="G22" s="3"/>
      <c r="H22" s="3"/>
      <c r="I22" s="3"/>
      <c r="J22" s="3"/>
      <c r="K22" s="3"/>
      <c r="L22" s="3"/>
      <c r="M22" s="3"/>
      <c r="N22" s="3"/>
      <c r="O22" s="3"/>
      <c r="P22" s="3"/>
      <c r="Q22" s="3"/>
      <c r="R22" s="3"/>
      <c r="S22" s="3"/>
      <c r="T22" s="3"/>
      <c r="U22" s="3"/>
      <c r="V22" s="3"/>
      <c r="W22" s="3"/>
      <c r="X22" s="3"/>
      <c r="Y22" s="3"/>
      <c r="Z22" s="3"/>
    </row>
    <row r="23" spans="1:26" ht="12" customHeight="1" x14ac:dyDescent="0.3">
      <c r="A23" s="1" t="s">
        <v>157</v>
      </c>
      <c r="B23" s="1"/>
      <c r="C23" s="3"/>
      <c r="D23" s="3"/>
      <c r="E23" s="3"/>
      <c r="F23" s="3"/>
      <c r="G23" s="3"/>
      <c r="H23" s="3"/>
      <c r="I23" s="3"/>
      <c r="J23" s="3"/>
      <c r="K23" s="3"/>
      <c r="L23" s="3"/>
      <c r="M23" s="3"/>
      <c r="N23" s="3"/>
      <c r="O23" s="3"/>
      <c r="P23" s="3"/>
      <c r="Q23" s="3"/>
      <c r="R23" s="3"/>
      <c r="S23" s="3"/>
      <c r="T23" s="3"/>
      <c r="U23" s="3"/>
      <c r="V23" s="3"/>
      <c r="W23" s="3"/>
      <c r="X23" s="3"/>
      <c r="Y23" s="3"/>
      <c r="Z23" s="3"/>
    </row>
    <row r="24" spans="1:26" ht="12" customHeight="1" x14ac:dyDescent="0.3">
      <c r="A24" s="1" t="s">
        <v>158</v>
      </c>
      <c r="B24" s="1"/>
      <c r="C24" s="3"/>
      <c r="D24" s="3"/>
      <c r="E24" s="3"/>
      <c r="F24" s="3"/>
      <c r="G24" s="3"/>
      <c r="H24" s="3"/>
      <c r="I24" s="3"/>
      <c r="J24" s="3"/>
      <c r="K24" s="3"/>
      <c r="L24" s="3"/>
      <c r="M24" s="3"/>
      <c r="N24" s="3"/>
      <c r="O24" s="3"/>
      <c r="P24" s="3"/>
      <c r="Q24" s="3"/>
      <c r="R24" s="3"/>
      <c r="S24" s="3"/>
      <c r="T24" s="3"/>
      <c r="U24" s="3"/>
      <c r="V24" s="3"/>
      <c r="W24" s="3"/>
      <c r="X24" s="3"/>
      <c r="Y24" s="3"/>
      <c r="Z24" s="3"/>
    </row>
    <row r="25" spans="1:26" ht="12" customHeight="1" x14ac:dyDescent="0.3">
      <c r="A25" s="1" t="s">
        <v>159</v>
      </c>
      <c r="B25" s="1"/>
      <c r="C25" s="3"/>
      <c r="D25" s="3"/>
      <c r="E25" s="3"/>
      <c r="F25" s="3"/>
      <c r="G25" s="3"/>
      <c r="H25" s="3"/>
      <c r="I25" s="3"/>
      <c r="J25" s="3"/>
      <c r="K25" s="3"/>
      <c r="L25" s="3"/>
      <c r="M25" s="3"/>
      <c r="N25" s="3"/>
      <c r="O25" s="3"/>
      <c r="P25" s="3"/>
      <c r="Q25" s="3"/>
      <c r="R25" s="3"/>
      <c r="S25" s="3"/>
      <c r="T25" s="3"/>
      <c r="U25" s="3"/>
      <c r="V25" s="3"/>
      <c r="W25" s="3"/>
      <c r="X25" s="3"/>
      <c r="Y25" s="3"/>
      <c r="Z25" s="3"/>
    </row>
    <row r="26" spans="1:26" ht="12" customHeight="1" x14ac:dyDescent="0.3">
      <c r="A26" s="1" t="s">
        <v>160</v>
      </c>
      <c r="B26" s="1"/>
      <c r="C26" s="3"/>
      <c r="D26" s="3"/>
      <c r="E26" s="3"/>
      <c r="F26" s="3"/>
      <c r="G26" s="3"/>
      <c r="H26" s="3"/>
      <c r="I26" s="3"/>
      <c r="J26" s="3"/>
      <c r="K26" s="3"/>
      <c r="L26" s="3"/>
      <c r="M26" s="3"/>
      <c r="N26" s="3"/>
      <c r="O26" s="3"/>
      <c r="P26" s="3"/>
      <c r="Q26" s="3"/>
      <c r="R26" s="3"/>
      <c r="S26" s="3"/>
      <c r="T26" s="3"/>
      <c r="U26" s="3"/>
      <c r="V26" s="3"/>
      <c r="W26" s="3"/>
      <c r="X26" s="3"/>
      <c r="Y26" s="3"/>
      <c r="Z26" s="3"/>
    </row>
    <row r="27" spans="1:26" ht="12" customHeight="1" x14ac:dyDescent="0.3">
      <c r="A27" s="1" t="s">
        <v>161</v>
      </c>
      <c r="B27" s="1"/>
      <c r="C27" s="3"/>
      <c r="D27" s="3"/>
      <c r="E27" s="3"/>
      <c r="F27" s="3"/>
      <c r="G27" s="3"/>
      <c r="H27" s="3"/>
      <c r="I27" s="3"/>
      <c r="J27" s="3"/>
      <c r="K27" s="3"/>
      <c r="L27" s="3"/>
      <c r="M27" s="3"/>
      <c r="N27" s="3"/>
      <c r="O27" s="3"/>
      <c r="P27" s="3"/>
      <c r="Q27" s="3"/>
      <c r="R27" s="3"/>
      <c r="S27" s="3"/>
      <c r="T27" s="3"/>
      <c r="U27" s="3"/>
      <c r="V27" s="3"/>
      <c r="W27" s="3"/>
      <c r="X27" s="3"/>
      <c r="Y27" s="3"/>
      <c r="Z27" s="3"/>
    </row>
    <row r="28" spans="1:26" ht="12" customHeight="1" x14ac:dyDescent="0.3">
      <c r="A28" s="1" t="s">
        <v>162</v>
      </c>
      <c r="B28" s="1"/>
      <c r="C28" s="3"/>
      <c r="D28" s="3"/>
      <c r="E28" s="3"/>
      <c r="F28" s="3"/>
      <c r="G28" s="3"/>
      <c r="H28" s="3"/>
      <c r="I28" s="3"/>
      <c r="J28" s="3"/>
      <c r="K28" s="3"/>
      <c r="L28" s="3"/>
      <c r="M28" s="3"/>
      <c r="N28" s="3"/>
      <c r="O28" s="3"/>
      <c r="P28" s="3"/>
      <c r="Q28" s="3"/>
      <c r="R28" s="3"/>
      <c r="S28" s="3"/>
      <c r="T28" s="3"/>
      <c r="U28" s="3"/>
      <c r="V28" s="3"/>
      <c r="W28" s="3"/>
      <c r="X28" s="3"/>
      <c r="Y28" s="3"/>
      <c r="Z28" s="3"/>
    </row>
    <row r="29" spans="1:26" ht="12" customHeight="1" x14ac:dyDescent="0.3">
      <c r="A29" s="1" t="s">
        <v>163</v>
      </c>
      <c r="B29" s="1"/>
      <c r="C29" s="3"/>
      <c r="D29" s="3"/>
      <c r="E29" s="3"/>
      <c r="F29" s="3"/>
      <c r="G29" s="3"/>
      <c r="H29" s="3"/>
      <c r="I29" s="3"/>
      <c r="J29" s="3"/>
      <c r="K29" s="3"/>
      <c r="L29" s="3"/>
      <c r="M29" s="3"/>
      <c r="N29" s="3"/>
      <c r="O29" s="3"/>
      <c r="P29" s="3"/>
      <c r="Q29" s="3"/>
      <c r="R29" s="3"/>
      <c r="S29" s="3"/>
      <c r="T29" s="3"/>
      <c r="U29" s="3"/>
      <c r="V29" s="3"/>
      <c r="W29" s="3"/>
      <c r="X29" s="3"/>
      <c r="Y29" s="3"/>
      <c r="Z29" s="3"/>
    </row>
    <row r="30" spans="1:26" ht="12" customHeight="1" x14ac:dyDescent="0.3">
      <c r="A30" s="1" t="s">
        <v>164</v>
      </c>
      <c r="B30" s="1"/>
      <c r="C30" s="3"/>
      <c r="D30" s="3"/>
      <c r="E30" s="3"/>
      <c r="F30" s="3"/>
      <c r="G30" s="3"/>
      <c r="H30" s="3"/>
      <c r="I30" s="3"/>
      <c r="J30" s="3"/>
      <c r="K30" s="3"/>
      <c r="L30" s="3"/>
      <c r="M30" s="3"/>
      <c r="N30" s="3"/>
      <c r="O30" s="3"/>
      <c r="P30" s="3"/>
      <c r="Q30" s="3"/>
      <c r="R30" s="3"/>
      <c r="S30" s="3"/>
      <c r="T30" s="3"/>
      <c r="U30" s="3"/>
      <c r="V30" s="3"/>
      <c r="W30" s="3"/>
      <c r="X30" s="3"/>
      <c r="Y30" s="3"/>
      <c r="Z30" s="3"/>
    </row>
    <row r="31" spans="1:26" ht="12" customHeight="1" x14ac:dyDescent="0.3">
      <c r="A31" s="1" t="s">
        <v>165</v>
      </c>
      <c r="B31" s="1"/>
      <c r="C31" s="3"/>
      <c r="D31" s="3"/>
      <c r="E31" s="3"/>
      <c r="F31" s="3"/>
      <c r="G31" s="3"/>
      <c r="H31" s="3"/>
      <c r="I31" s="3"/>
      <c r="J31" s="3"/>
      <c r="K31" s="3"/>
      <c r="L31" s="3"/>
      <c r="M31" s="3"/>
      <c r="N31" s="3"/>
      <c r="O31" s="3"/>
      <c r="P31" s="3"/>
      <c r="Q31" s="3"/>
      <c r="R31" s="3"/>
      <c r="S31" s="3"/>
      <c r="T31" s="3"/>
      <c r="U31" s="3"/>
      <c r="V31" s="3"/>
      <c r="W31" s="3"/>
      <c r="X31" s="3"/>
      <c r="Y31" s="3"/>
      <c r="Z31" s="3"/>
    </row>
    <row r="32" spans="1:26" ht="12" customHeight="1" x14ac:dyDescent="0.3">
      <c r="A32" s="1" t="s">
        <v>166</v>
      </c>
      <c r="B32" s="1"/>
      <c r="C32" s="3"/>
      <c r="D32" s="3"/>
      <c r="E32" s="3"/>
      <c r="F32" s="3"/>
      <c r="G32" s="3"/>
      <c r="H32" s="3"/>
      <c r="I32" s="3"/>
      <c r="J32" s="3"/>
      <c r="K32" s="3"/>
      <c r="L32" s="3"/>
      <c r="M32" s="3"/>
      <c r="N32" s="3"/>
      <c r="O32" s="3"/>
      <c r="P32" s="3"/>
      <c r="Q32" s="3"/>
      <c r="R32" s="3"/>
      <c r="S32" s="3"/>
      <c r="T32" s="3"/>
      <c r="U32" s="3"/>
      <c r="V32" s="3"/>
      <c r="W32" s="3"/>
      <c r="X32" s="3"/>
      <c r="Y32" s="3"/>
      <c r="Z32" s="3"/>
    </row>
    <row r="33" spans="1:26" ht="12" customHeight="1" x14ac:dyDescent="0.3">
      <c r="A33" s="1" t="s">
        <v>167</v>
      </c>
      <c r="B33" s="1"/>
      <c r="C33" s="3"/>
      <c r="D33" s="3"/>
      <c r="E33" s="3"/>
      <c r="F33" s="3"/>
      <c r="G33" s="3"/>
      <c r="H33" s="3"/>
      <c r="I33" s="3"/>
      <c r="J33" s="3"/>
      <c r="K33" s="3"/>
      <c r="L33" s="3"/>
      <c r="M33" s="3"/>
      <c r="N33" s="3"/>
      <c r="O33" s="3"/>
      <c r="P33" s="3"/>
      <c r="Q33" s="3"/>
      <c r="R33" s="3"/>
      <c r="S33" s="3"/>
      <c r="T33" s="3"/>
      <c r="U33" s="3"/>
      <c r="V33" s="3"/>
      <c r="W33" s="3"/>
      <c r="X33" s="3"/>
      <c r="Y33" s="3"/>
      <c r="Z33" s="3"/>
    </row>
    <row r="34" spans="1:26" ht="12" customHeight="1" x14ac:dyDescent="0.3">
      <c r="A34" s="1" t="s">
        <v>168</v>
      </c>
      <c r="B34" s="1"/>
      <c r="C34" s="3"/>
      <c r="D34" s="3"/>
      <c r="E34" s="3"/>
      <c r="F34" s="3"/>
      <c r="G34" s="3"/>
      <c r="H34" s="3"/>
      <c r="I34" s="3"/>
      <c r="J34" s="3"/>
      <c r="K34" s="3"/>
      <c r="L34" s="3"/>
      <c r="M34" s="3"/>
      <c r="N34" s="3"/>
      <c r="O34" s="3"/>
      <c r="P34" s="3"/>
      <c r="Q34" s="3"/>
      <c r="R34" s="3"/>
      <c r="S34" s="3"/>
      <c r="T34" s="3"/>
      <c r="U34" s="3"/>
      <c r="V34" s="3"/>
      <c r="W34" s="3"/>
      <c r="X34" s="3"/>
      <c r="Y34" s="3"/>
      <c r="Z34" s="3"/>
    </row>
    <row r="35" spans="1:26" ht="12" customHeight="1" x14ac:dyDescent="0.3">
      <c r="A35" s="1" t="s">
        <v>169</v>
      </c>
      <c r="B35" s="1"/>
      <c r="C35" s="3"/>
      <c r="D35" s="3"/>
      <c r="E35" s="3"/>
      <c r="F35" s="3"/>
      <c r="G35" s="3"/>
      <c r="H35" s="3"/>
      <c r="I35" s="3"/>
      <c r="J35" s="3"/>
      <c r="K35" s="3"/>
      <c r="L35" s="3"/>
      <c r="M35" s="3"/>
      <c r="N35" s="3"/>
      <c r="O35" s="3"/>
      <c r="P35" s="3"/>
      <c r="Q35" s="3"/>
      <c r="R35" s="3"/>
      <c r="S35" s="3"/>
      <c r="T35" s="3"/>
      <c r="U35" s="3"/>
      <c r="V35" s="3"/>
      <c r="W35" s="3"/>
      <c r="X35" s="3"/>
      <c r="Y35" s="3"/>
      <c r="Z35" s="3"/>
    </row>
    <row r="36" spans="1:26" ht="12" customHeight="1" x14ac:dyDescent="0.3">
      <c r="A36" s="1" t="s">
        <v>170</v>
      </c>
      <c r="B36" s="1"/>
      <c r="C36" s="3"/>
      <c r="D36" s="3"/>
      <c r="E36" s="3"/>
      <c r="F36" s="3"/>
      <c r="G36" s="3"/>
      <c r="H36" s="3"/>
      <c r="I36" s="3"/>
      <c r="J36" s="3"/>
      <c r="K36" s="3"/>
      <c r="L36" s="3"/>
      <c r="M36" s="3"/>
      <c r="N36" s="3"/>
      <c r="O36" s="3"/>
      <c r="P36" s="3"/>
      <c r="Q36" s="3"/>
      <c r="R36" s="3"/>
      <c r="S36" s="3"/>
      <c r="T36" s="3"/>
      <c r="U36" s="3"/>
      <c r="V36" s="3"/>
      <c r="W36" s="3"/>
      <c r="X36" s="3"/>
      <c r="Y36" s="3"/>
      <c r="Z36" s="3"/>
    </row>
    <row r="37" spans="1:26" ht="12" customHeight="1" x14ac:dyDescent="0.3">
      <c r="A37" s="1" t="s">
        <v>171</v>
      </c>
      <c r="B37" s="1"/>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3">
      <c r="A38" s="1" t="s">
        <v>172</v>
      </c>
      <c r="B38" s="1"/>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3">
      <c r="A39" s="1" t="s">
        <v>173</v>
      </c>
      <c r="B39" s="1"/>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3">
      <c r="A40" s="1" t="s">
        <v>174</v>
      </c>
      <c r="B40" s="1"/>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3">
      <c r="A41" s="1" t="s">
        <v>175</v>
      </c>
      <c r="B41" s="1"/>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3">
      <c r="A42" s="1" t="s">
        <v>176</v>
      </c>
      <c r="B42" s="1"/>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3">
      <c r="A43" s="1" t="s">
        <v>177</v>
      </c>
      <c r="B43" s="1"/>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3">
      <c r="A44" s="1" t="s">
        <v>178</v>
      </c>
      <c r="B44" s="1"/>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3">
      <c r="A45" s="1" t="s">
        <v>179</v>
      </c>
      <c r="B45" s="1"/>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3">
      <c r="A46" s="1" t="s">
        <v>180</v>
      </c>
      <c r="B46" s="1"/>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3">
      <c r="A47" s="1" t="s">
        <v>181</v>
      </c>
      <c r="B47" s="1"/>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3">
      <c r="A48" s="1" t="s">
        <v>182</v>
      </c>
      <c r="B48" s="1"/>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3">
      <c r="A49" s="1" t="s">
        <v>183</v>
      </c>
      <c r="B49" s="1"/>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3">
      <c r="A50" s="1" t="s">
        <v>184</v>
      </c>
      <c r="B50" s="1"/>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3">
      <c r="A51" s="1" t="s">
        <v>185</v>
      </c>
      <c r="B51" s="1"/>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3">
      <c r="A52" s="1" t="s">
        <v>186</v>
      </c>
      <c r="B52" s="1"/>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3">
      <c r="A53" s="1" t="s">
        <v>187</v>
      </c>
      <c r="B53" s="1"/>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3">
      <c r="A54" s="1" t="s">
        <v>188</v>
      </c>
      <c r="B54" s="1"/>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3">
      <c r="A55" s="1" t="s">
        <v>189</v>
      </c>
      <c r="B55" s="1"/>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3">
      <c r="A56" s="1" t="s">
        <v>190</v>
      </c>
      <c r="B56" s="1"/>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3">
      <c r="A57" s="1" t="s">
        <v>191</v>
      </c>
      <c r="B57" s="1"/>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3">
      <c r="A58" s="1" t="s">
        <v>192</v>
      </c>
      <c r="B58" s="1"/>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3">
      <c r="A59" s="1" t="s">
        <v>193</v>
      </c>
      <c r="B59" s="1"/>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3">
      <c r="A60" s="1" t="s">
        <v>194</v>
      </c>
      <c r="B60" s="1"/>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3">
      <c r="A61" s="1" t="s">
        <v>195</v>
      </c>
      <c r="B61" s="1"/>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3">
      <c r="A62" s="1" t="s">
        <v>196</v>
      </c>
      <c r="B62" s="1"/>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3">
      <c r="A63" s="1" t="s">
        <v>197</v>
      </c>
      <c r="B63" s="1"/>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3">
      <c r="A64" s="1" t="s">
        <v>198</v>
      </c>
      <c r="B64" s="1"/>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3">
      <c r="A65" s="1" t="s">
        <v>199</v>
      </c>
      <c r="B65" s="1"/>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3">
      <c r="A66" s="1" t="s">
        <v>200</v>
      </c>
      <c r="B66" s="1"/>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3">
      <c r="A67" s="1" t="s">
        <v>201</v>
      </c>
      <c r="B67" s="1"/>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3">
      <c r="A68" s="1" t="s">
        <v>202</v>
      </c>
      <c r="B68" s="1"/>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3">
      <c r="A69" s="1" t="s">
        <v>203</v>
      </c>
      <c r="B69" s="1"/>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3">
      <c r="A70" s="1" t="s">
        <v>204</v>
      </c>
      <c r="B70" s="1"/>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3">
      <c r="A71" s="1" t="s">
        <v>205</v>
      </c>
      <c r="B71" s="1"/>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3">
      <c r="A72" s="1" t="s">
        <v>206</v>
      </c>
      <c r="B72" s="1"/>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3">
      <c r="A73" s="1" t="s">
        <v>207</v>
      </c>
      <c r="B73" s="1"/>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3">
      <c r="A74" s="1" t="s">
        <v>208</v>
      </c>
      <c r="B74" s="1"/>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3">
      <c r="A75" s="1" t="s">
        <v>209</v>
      </c>
      <c r="B75" s="1"/>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3">
      <c r="A76" s="1" t="s">
        <v>210</v>
      </c>
      <c r="B76" s="1"/>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3">
      <c r="A77" s="1" t="s">
        <v>211</v>
      </c>
      <c r="B77" s="1"/>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3">
      <c r="A78" s="1" t="s">
        <v>212</v>
      </c>
      <c r="B78" s="1"/>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3">
      <c r="A79" s="1" t="s">
        <v>213</v>
      </c>
      <c r="B79" s="1"/>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3">
      <c r="A80" s="1" t="s">
        <v>214</v>
      </c>
      <c r="B80" s="1"/>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3">
      <c r="A81" s="1" t="s">
        <v>215</v>
      </c>
      <c r="B81" s="1"/>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3">
      <c r="A82" s="1" t="s">
        <v>216</v>
      </c>
      <c r="B82" s="1"/>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3">
      <c r="A83" s="1" t="s">
        <v>217</v>
      </c>
      <c r="B83" s="1"/>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3">
      <c r="A84" s="1" t="s">
        <v>218</v>
      </c>
      <c r="B84" s="1"/>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3">
      <c r="A85" s="1" t="s">
        <v>219</v>
      </c>
      <c r="B85" s="1"/>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3">
      <c r="A86" s="1" t="s">
        <v>220</v>
      </c>
      <c r="B86" s="1"/>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3">
      <c r="A87" s="1" t="s">
        <v>221</v>
      </c>
      <c r="B87" s="1"/>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3">
      <c r="A88" s="1" t="s">
        <v>222</v>
      </c>
      <c r="B88" s="1"/>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3">
      <c r="A89" s="1" t="s">
        <v>223</v>
      </c>
      <c r="B89" s="1"/>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3">
      <c r="A90" s="1" t="s">
        <v>224</v>
      </c>
      <c r="B90" s="1"/>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3">
      <c r="A91" s="1" t="s">
        <v>225</v>
      </c>
      <c r="B91" s="1"/>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3">
      <c r="A92" s="1" t="s">
        <v>226</v>
      </c>
      <c r="B92" s="1"/>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3">
      <c r="A93" s="1" t="s">
        <v>227</v>
      </c>
      <c r="B93" s="1"/>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3">
      <c r="A94" s="1" t="s">
        <v>228</v>
      </c>
      <c r="B94" s="1"/>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3">
      <c r="A95" s="1" t="s">
        <v>229</v>
      </c>
      <c r="B95" s="1"/>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3">
      <c r="A96" s="1" t="s">
        <v>230</v>
      </c>
      <c r="B96" s="1"/>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3">
      <c r="A97" s="1" t="s">
        <v>231</v>
      </c>
      <c r="B97" s="1"/>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3">
      <c r="A98" s="1" t="s">
        <v>232</v>
      </c>
      <c r="B98" s="1"/>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3">
      <c r="A99" s="1" t="s">
        <v>233</v>
      </c>
      <c r="B99" s="1"/>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3">
      <c r="A100" s="1" t="s">
        <v>234</v>
      </c>
      <c r="B100" s="1"/>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3">
      <c r="A101" s="1" t="s">
        <v>235</v>
      </c>
      <c r="B101" s="1"/>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3">
      <c r="A102" s="1" t="s">
        <v>236</v>
      </c>
      <c r="B102" s="1"/>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3">
      <c r="A103" s="1" t="s">
        <v>237</v>
      </c>
      <c r="B103" s="1"/>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3">
      <c r="A104" s="1" t="s">
        <v>238</v>
      </c>
      <c r="B104" s="1"/>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3">
      <c r="A105" s="1" t="s">
        <v>239</v>
      </c>
      <c r="B105" s="1"/>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3">
      <c r="A106" s="1" t="s">
        <v>240</v>
      </c>
      <c r="B106" s="1"/>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3">
      <c r="A107" s="1" t="s">
        <v>241</v>
      </c>
      <c r="B107" s="1"/>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3">
      <c r="A108" s="1" t="s">
        <v>242</v>
      </c>
      <c r="B108" s="1"/>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3">
      <c r="A109" s="1" t="s">
        <v>243</v>
      </c>
      <c r="B109" s="1"/>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3">
      <c r="A110" s="1" t="s">
        <v>244</v>
      </c>
      <c r="B110" s="1"/>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3">
      <c r="A111" s="1" t="s">
        <v>245</v>
      </c>
      <c r="B111" s="1"/>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3">
      <c r="A112" s="1" t="s">
        <v>246</v>
      </c>
      <c r="B112" s="1"/>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3">
      <c r="A113" s="1" t="s">
        <v>247</v>
      </c>
      <c r="B113" s="1"/>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3">
      <c r="A114" s="1" t="s">
        <v>248</v>
      </c>
      <c r="B114" s="1"/>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3">
      <c r="A115" s="1" t="s">
        <v>249</v>
      </c>
      <c r="B115" s="1"/>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3">
      <c r="A116" s="1" t="s">
        <v>250</v>
      </c>
      <c r="B116" s="1"/>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3">
      <c r="A117" s="1" t="s">
        <v>251</v>
      </c>
      <c r="B117" s="1"/>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3">
      <c r="A118" s="1" t="s">
        <v>252</v>
      </c>
      <c r="B118" s="1"/>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3">
      <c r="A119" s="1" t="s">
        <v>253</v>
      </c>
      <c r="B119" s="1"/>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3">
      <c r="A120" s="1" t="s">
        <v>254</v>
      </c>
      <c r="B120" s="1"/>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3">
      <c r="A121" s="1" t="s">
        <v>255</v>
      </c>
      <c r="B121" s="1"/>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3">
      <c r="A122" s="1" t="s">
        <v>256</v>
      </c>
      <c r="B122" s="1"/>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3">
      <c r="A123" s="1" t="s">
        <v>257</v>
      </c>
      <c r="B123" s="1"/>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3">
      <c r="A124" s="1" t="s">
        <v>258</v>
      </c>
      <c r="B124" s="1"/>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3">
      <c r="A125" s="1" t="s">
        <v>259</v>
      </c>
      <c r="B125" s="1"/>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3">
      <c r="A126" s="1" t="s">
        <v>260</v>
      </c>
      <c r="B126" s="1"/>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3">
      <c r="A127" s="1" t="s">
        <v>261</v>
      </c>
      <c r="B127" s="1"/>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3">
      <c r="A128" s="1" t="s">
        <v>262</v>
      </c>
      <c r="B128" s="1"/>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3">
      <c r="A129" s="1" t="s">
        <v>263</v>
      </c>
      <c r="B129" s="1"/>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3">
      <c r="A130" s="1" t="s">
        <v>264</v>
      </c>
      <c r="B130" s="1"/>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3">
      <c r="A131" s="1" t="s">
        <v>265</v>
      </c>
      <c r="B131" s="1"/>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3">
      <c r="A132" s="1" t="s">
        <v>266</v>
      </c>
      <c r="B132" s="1"/>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3">
      <c r="A133" s="1" t="s">
        <v>267</v>
      </c>
      <c r="B133" s="1"/>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3">
      <c r="A134" s="1" t="s">
        <v>268</v>
      </c>
      <c r="B134" s="1"/>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3">
      <c r="A135" s="1" t="s">
        <v>269</v>
      </c>
      <c r="B135" s="1"/>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3">
      <c r="A136" s="1" t="s">
        <v>270</v>
      </c>
      <c r="B136" s="1"/>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3">
      <c r="A137" s="1" t="s">
        <v>271</v>
      </c>
      <c r="B137" s="1"/>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3">
      <c r="A138" s="1" t="s">
        <v>272</v>
      </c>
      <c r="B138" s="1"/>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3">
      <c r="A139" s="1" t="s">
        <v>273</v>
      </c>
      <c r="B139" s="1"/>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3">
      <c r="A140" s="1" t="s">
        <v>274</v>
      </c>
      <c r="B140" s="1"/>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3">
      <c r="A141" s="1" t="s">
        <v>275</v>
      </c>
      <c r="B141" s="1"/>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3">
      <c r="A142" s="1" t="s">
        <v>276</v>
      </c>
      <c r="B142" s="1"/>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3">
      <c r="A143" s="1" t="s">
        <v>277</v>
      </c>
      <c r="B143" s="1"/>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3">
      <c r="A144" s="1" t="s">
        <v>278</v>
      </c>
      <c r="B144" s="1"/>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3">
      <c r="A145" s="1" t="s">
        <v>279</v>
      </c>
      <c r="B145" s="1"/>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3">
      <c r="A146" s="1" t="s">
        <v>280</v>
      </c>
      <c r="B146" s="1"/>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3">
      <c r="A147" s="1" t="s">
        <v>281</v>
      </c>
      <c r="B147" s="1"/>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3">
      <c r="A148" s="1" t="s">
        <v>282</v>
      </c>
      <c r="B148" s="1"/>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3">
      <c r="A149" s="1" t="s">
        <v>283</v>
      </c>
      <c r="B149" s="1"/>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3">
      <c r="A150" s="1" t="s">
        <v>284</v>
      </c>
      <c r="B150" s="1"/>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3">
      <c r="A151" s="1" t="s">
        <v>285</v>
      </c>
      <c r="B151" s="1"/>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3">
      <c r="A152" s="1" t="s">
        <v>286</v>
      </c>
      <c r="B152" s="1"/>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3">
      <c r="A153" s="1" t="s">
        <v>287</v>
      </c>
      <c r="B153" s="1"/>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3">
      <c r="A154" s="1" t="s">
        <v>288</v>
      </c>
      <c r="B154" s="1"/>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3">
      <c r="A155" s="1" t="s">
        <v>289</v>
      </c>
      <c r="B155" s="1"/>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3">
      <c r="A156" s="1" t="s">
        <v>290</v>
      </c>
      <c r="B156" s="1"/>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3">
      <c r="A157" s="1" t="s">
        <v>291</v>
      </c>
      <c r="B157" s="1"/>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3">
      <c r="A158" s="1" t="s">
        <v>292</v>
      </c>
      <c r="B158" s="1"/>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3">
      <c r="A159" s="1" t="s">
        <v>293</v>
      </c>
      <c r="B159" s="1"/>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3">
      <c r="A160" s="1" t="s">
        <v>294</v>
      </c>
      <c r="B160" s="1"/>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3">
      <c r="A161" s="1" t="s">
        <v>295</v>
      </c>
      <c r="B161" s="1"/>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3">
      <c r="A162" s="1" t="s">
        <v>296</v>
      </c>
      <c r="B162" s="1"/>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3">
      <c r="A163" s="1" t="s">
        <v>297</v>
      </c>
      <c r="B163" s="1"/>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3">
      <c r="A164" s="1" t="s">
        <v>298</v>
      </c>
      <c r="B164" s="1"/>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3">
      <c r="A165" s="1" t="s">
        <v>299</v>
      </c>
      <c r="B165" s="1"/>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3">
      <c r="A166" s="1" t="s">
        <v>300</v>
      </c>
      <c r="B166" s="1"/>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3">
      <c r="A167" s="1" t="s">
        <v>301</v>
      </c>
      <c r="B167" s="1"/>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3">
      <c r="A168" s="1" t="s">
        <v>302</v>
      </c>
      <c r="B168" s="1"/>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3">
      <c r="A169" s="1" t="s">
        <v>303</v>
      </c>
      <c r="B169" s="1"/>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3">
      <c r="A170" s="1" t="s">
        <v>304</v>
      </c>
      <c r="B170" s="1"/>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3">
      <c r="A171" s="1" t="s">
        <v>305</v>
      </c>
      <c r="B171" s="1"/>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3">
      <c r="A172" s="1" t="s">
        <v>306</v>
      </c>
      <c r="B172" s="1"/>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3">
      <c r="A173" s="1" t="s">
        <v>307</v>
      </c>
      <c r="B173" s="1"/>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3">
      <c r="A174" s="1" t="s">
        <v>308</v>
      </c>
      <c r="B174" s="1"/>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3">
      <c r="A175" s="1" t="s">
        <v>309</v>
      </c>
      <c r="B175" s="1"/>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3">
      <c r="A176" s="1" t="s">
        <v>310</v>
      </c>
      <c r="B176" s="1"/>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3">
      <c r="A177" s="1" t="s">
        <v>311</v>
      </c>
      <c r="B177" s="1"/>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3">
      <c r="A178" s="1" t="s">
        <v>312</v>
      </c>
      <c r="B178" s="1"/>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3">
      <c r="A179" s="1" t="s">
        <v>313</v>
      </c>
      <c r="B179" s="1"/>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3">
      <c r="A180" s="1" t="s">
        <v>314</v>
      </c>
      <c r="B180" s="1"/>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3">
      <c r="A181" s="1" t="s">
        <v>315</v>
      </c>
      <c r="B181" s="1"/>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3">
      <c r="A182" s="1" t="s">
        <v>316</v>
      </c>
      <c r="B182" s="1"/>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3">
      <c r="A183" s="1" t="s">
        <v>317</v>
      </c>
      <c r="B183" s="1"/>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3">
      <c r="A184" s="1" t="s">
        <v>318</v>
      </c>
      <c r="B184" s="1"/>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3">
      <c r="A185" s="1" t="s">
        <v>319</v>
      </c>
      <c r="B185" s="1"/>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3">
      <c r="A186" s="1" t="s">
        <v>320</v>
      </c>
      <c r="B186" s="1"/>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3">
      <c r="A187" s="1" t="s">
        <v>321</v>
      </c>
      <c r="B187" s="1"/>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3">
      <c r="A188" s="1" t="s">
        <v>322</v>
      </c>
      <c r="B188" s="1"/>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3">
      <c r="A189" s="1" t="s">
        <v>323</v>
      </c>
      <c r="B189" s="1"/>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3">
      <c r="A190" s="1" t="s">
        <v>324</v>
      </c>
      <c r="B190" s="1"/>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3">
      <c r="A191" s="1" t="s">
        <v>325</v>
      </c>
      <c r="B191" s="1"/>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3">
      <c r="A192" s="1" t="s">
        <v>326</v>
      </c>
      <c r="B192" s="1"/>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3">
      <c r="A193" s="1" t="s">
        <v>327</v>
      </c>
      <c r="B193" s="1"/>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3">
      <c r="A194" s="1" t="s">
        <v>328</v>
      </c>
      <c r="B194" s="1"/>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3">
      <c r="A195" s="1" t="s">
        <v>329</v>
      </c>
      <c r="B195" s="1"/>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3">
      <c r="A196" s="1" t="s">
        <v>330</v>
      </c>
      <c r="B196" s="1"/>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3">
      <c r="A197" s="1" t="s">
        <v>331</v>
      </c>
      <c r="B197" s="1"/>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3">
      <c r="A198" s="1" t="s">
        <v>332</v>
      </c>
      <c r="B198" s="1"/>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3">
      <c r="A199" s="1" t="s">
        <v>333</v>
      </c>
      <c r="B199" s="1"/>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3">
      <c r="A200" s="1" t="s">
        <v>334</v>
      </c>
      <c r="B200" s="1"/>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3">
      <c r="A201" s="1" t="s">
        <v>335</v>
      </c>
      <c r="B201" s="1"/>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3">
      <c r="A202" s="1" t="s">
        <v>336</v>
      </c>
      <c r="B202" s="1"/>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3">
      <c r="A203" s="1" t="s">
        <v>337</v>
      </c>
      <c r="B203" s="1"/>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3">
      <c r="A204" s="1" t="s">
        <v>338</v>
      </c>
      <c r="B204" s="1"/>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3">
      <c r="A205" s="1" t="s">
        <v>339</v>
      </c>
      <c r="B205" s="1"/>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3">
      <c r="A206" s="1" t="s">
        <v>340</v>
      </c>
      <c r="B206" s="1"/>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3">
      <c r="A207" s="1" t="s">
        <v>341</v>
      </c>
      <c r="B207" s="1"/>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3">
      <c r="A208" s="1" t="s">
        <v>342</v>
      </c>
      <c r="B208" s="1"/>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3">
      <c r="A209" s="1" t="s">
        <v>343</v>
      </c>
      <c r="B209" s="1"/>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3">
      <c r="A210" s="1" t="s">
        <v>344</v>
      </c>
      <c r="B210" s="1"/>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3">
      <c r="A211" s="1" t="s">
        <v>345</v>
      </c>
      <c r="B211" s="1"/>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3">
      <c r="A212" s="1" t="s">
        <v>346</v>
      </c>
      <c r="B212" s="1"/>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3">
      <c r="A213" s="1" t="s">
        <v>347</v>
      </c>
      <c r="B213" s="1"/>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3">
      <c r="A214" s="1" t="s">
        <v>348</v>
      </c>
      <c r="B214" s="1"/>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3">
      <c r="A215" s="1" t="s">
        <v>349</v>
      </c>
      <c r="B215" s="1"/>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3">
      <c r="A216" s="1" t="s">
        <v>350</v>
      </c>
      <c r="B216" s="1"/>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3">
      <c r="A217" s="1" t="s">
        <v>351</v>
      </c>
      <c r="B217" s="1"/>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3">
      <c r="A218" s="1" t="s">
        <v>352</v>
      </c>
      <c r="B218" s="1"/>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3">
      <c r="A219" s="1" t="s">
        <v>353</v>
      </c>
      <c r="B219" s="1"/>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3">
      <c r="A220" s="1" t="s">
        <v>354</v>
      </c>
      <c r="B220" s="1"/>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3">
      <c r="A221" s="1" t="s">
        <v>355</v>
      </c>
      <c r="B221" s="1"/>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3">
      <c r="A222" s="1" t="s">
        <v>356</v>
      </c>
      <c r="B222" s="1"/>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3">
      <c r="A223" s="1" t="s">
        <v>357</v>
      </c>
      <c r="B223" s="1"/>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3">
      <c r="A224" s="1" t="s">
        <v>358</v>
      </c>
      <c r="B224" s="1"/>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3">
      <c r="A225" s="1" t="s">
        <v>359</v>
      </c>
      <c r="B225" s="1"/>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3">
      <c r="A226" s="1" t="s">
        <v>360</v>
      </c>
      <c r="B226" s="1"/>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3">
      <c r="A227" s="1" t="s">
        <v>361</v>
      </c>
      <c r="B227" s="1"/>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3">
      <c r="A228" s="1" t="s">
        <v>362</v>
      </c>
      <c r="B228" s="1"/>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3">
      <c r="A229" s="1" t="s">
        <v>363</v>
      </c>
      <c r="B229" s="1"/>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3">
      <c r="A230" s="1" t="s">
        <v>364</v>
      </c>
      <c r="B230" s="1"/>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3">
      <c r="A231" s="1" t="s">
        <v>365</v>
      </c>
      <c r="B231" s="1"/>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3">
      <c r="A232" s="1" t="s">
        <v>366</v>
      </c>
      <c r="B232" s="1"/>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3">
      <c r="A233" s="1" t="s">
        <v>367</v>
      </c>
      <c r="B233" s="1"/>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3">
      <c r="A234" s="1" t="s">
        <v>368</v>
      </c>
      <c r="B234" s="1"/>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3">
      <c r="A235" s="1" t="s">
        <v>369</v>
      </c>
      <c r="B235" s="1"/>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3">
      <c r="A236" s="1" t="s">
        <v>370</v>
      </c>
      <c r="B236" s="1"/>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3">
      <c r="A237" s="1" t="s">
        <v>371</v>
      </c>
      <c r="B237" s="1"/>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3">
      <c r="A238" s="1" t="s">
        <v>372</v>
      </c>
      <c r="B238" s="1"/>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3">
      <c r="A239" s="1" t="s">
        <v>373</v>
      </c>
      <c r="B239" s="1"/>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3">
      <c r="A240" s="1" t="s">
        <v>374</v>
      </c>
      <c r="B240" s="1"/>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3">
      <c r="A241" s="1" t="s">
        <v>375</v>
      </c>
      <c r="B241" s="1"/>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3">
      <c r="A242" s="1" t="s">
        <v>376</v>
      </c>
      <c r="B242" s="1"/>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3">
      <c r="A243" s="1" t="s">
        <v>377</v>
      </c>
      <c r="B243" s="1"/>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3">
      <c r="A244" s="1" t="s">
        <v>378</v>
      </c>
      <c r="B244" s="1"/>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3">
      <c r="A245" s="1" t="s">
        <v>379</v>
      </c>
      <c r="B245" s="1"/>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3">
      <c r="A246" s="1" t="s">
        <v>380</v>
      </c>
      <c r="B246" s="1"/>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3">
      <c r="A247" s="1" t="s">
        <v>381</v>
      </c>
      <c r="B247" s="1"/>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3">
      <c r="A248" s="1" t="s">
        <v>382</v>
      </c>
      <c r="B248" s="1"/>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3">
      <c r="A249" s="1" t="s">
        <v>383</v>
      </c>
      <c r="B249" s="1"/>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3">
      <c r="A250" s="1" t="s">
        <v>384</v>
      </c>
      <c r="B250" s="1"/>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3">
      <c r="A251" s="1" t="s">
        <v>385</v>
      </c>
      <c r="B251" s="1"/>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3">
      <c r="A252" s="1" t="s">
        <v>386</v>
      </c>
      <c r="B252" s="1"/>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3">
      <c r="A253" s="1" t="s">
        <v>387</v>
      </c>
      <c r="B253" s="1"/>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3">
      <c r="A254" s="1" t="s">
        <v>388</v>
      </c>
      <c r="B254" s="1"/>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3">
      <c r="A255" s="1" t="s">
        <v>389</v>
      </c>
      <c r="B255" s="1"/>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3">
      <c r="A256" s="1" t="s">
        <v>390</v>
      </c>
      <c r="B256" s="1"/>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3">
      <c r="A257" s="1" t="s">
        <v>391</v>
      </c>
      <c r="B257" s="1"/>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3">
      <c r="A258" s="1" t="s">
        <v>392</v>
      </c>
      <c r="B258" s="1"/>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3">
      <c r="A259" s="1" t="s">
        <v>393</v>
      </c>
      <c r="B259" s="1"/>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3">
      <c r="A260" s="1" t="s">
        <v>394</v>
      </c>
      <c r="B260" s="1"/>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3">
      <c r="A261" s="1" t="s">
        <v>395</v>
      </c>
      <c r="B261" s="1"/>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3">
      <c r="A262" s="1" t="s">
        <v>396</v>
      </c>
      <c r="B262" s="1"/>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3">
      <c r="A263" s="1" t="s">
        <v>397</v>
      </c>
      <c r="B263" s="1"/>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3">
      <c r="A264" s="1" t="s">
        <v>398</v>
      </c>
      <c r="B264" s="1"/>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3">
      <c r="A265" s="1" t="s">
        <v>399</v>
      </c>
      <c r="B265" s="1"/>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3">
      <c r="A266" s="1" t="s">
        <v>400</v>
      </c>
      <c r="B266" s="1"/>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3">
      <c r="A267" s="1" t="s">
        <v>401</v>
      </c>
      <c r="B267" s="1"/>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3">
      <c r="A268" s="1" t="s">
        <v>402</v>
      </c>
      <c r="B268" s="1"/>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3">
      <c r="A269" s="1" t="s">
        <v>403</v>
      </c>
      <c r="B269" s="1"/>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3">
      <c r="A270" s="1" t="s">
        <v>404</v>
      </c>
      <c r="B270" s="1"/>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3">
      <c r="A271" s="1" t="s">
        <v>405</v>
      </c>
      <c r="B271" s="1"/>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3">
      <c r="A272" s="1" t="s">
        <v>406</v>
      </c>
      <c r="B272" s="1"/>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3">
      <c r="A273" s="1" t="s">
        <v>407</v>
      </c>
      <c r="B273" s="1"/>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3">
      <c r="A274" s="1" t="s">
        <v>408</v>
      </c>
      <c r="B274" s="1"/>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3">
      <c r="A275" s="1" t="s">
        <v>409</v>
      </c>
      <c r="B275" s="1"/>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3">
      <c r="A276" s="1" t="s">
        <v>410</v>
      </c>
      <c r="B276" s="1"/>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3">
      <c r="A277" s="1" t="s">
        <v>411</v>
      </c>
      <c r="B277" s="1"/>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3">
      <c r="A278" s="1" t="s">
        <v>412</v>
      </c>
      <c r="B278" s="1"/>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3">
      <c r="A279" s="1" t="s">
        <v>413</v>
      </c>
      <c r="B279" s="1"/>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3">
      <c r="A280" s="1" t="s">
        <v>414</v>
      </c>
      <c r="B280" s="1"/>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3">
      <c r="A281" s="1" t="s">
        <v>415</v>
      </c>
      <c r="B281" s="1"/>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3">
      <c r="A282" s="1" t="s">
        <v>416</v>
      </c>
      <c r="B282" s="1"/>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3">
      <c r="A283" s="1" t="s">
        <v>417</v>
      </c>
      <c r="B283" s="1"/>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3">
      <c r="A284" s="1" t="s">
        <v>418</v>
      </c>
      <c r="B284" s="1"/>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3">
      <c r="A285" s="1" t="s">
        <v>419</v>
      </c>
      <c r="B285" s="1"/>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3">
      <c r="A286" s="1" t="s">
        <v>420</v>
      </c>
      <c r="B286" s="1"/>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3">
      <c r="A287" s="1" t="s">
        <v>421</v>
      </c>
      <c r="B287" s="1"/>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3">
      <c r="A288" s="1" t="s">
        <v>422</v>
      </c>
      <c r="B288" s="1"/>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3">
      <c r="A289" s="1" t="s">
        <v>423</v>
      </c>
      <c r="B289" s="1"/>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3">
      <c r="A290" s="1" t="s">
        <v>424</v>
      </c>
      <c r="B290" s="1"/>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3">
      <c r="A291" s="1" t="s">
        <v>425</v>
      </c>
      <c r="B291" s="1"/>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3">
      <c r="A292" s="1" t="s">
        <v>426</v>
      </c>
      <c r="B292" s="1"/>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3">
      <c r="A293" s="1" t="s">
        <v>427</v>
      </c>
      <c r="B293" s="1"/>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3">
      <c r="A294" s="1" t="s">
        <v>428</v>
      </c>
      <c r="B294" s="1"/>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3">
      <c r="A295" s="1" t="s">
        <v>429</v>
      </c>
      <c r="B295" s="1"/>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3">
      <c r="A296" s="1" t="s">
        <v>430</v>
      </c>
      <c r="B296" s="1"/>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3">
      <c r="A297" s="1" t="s">
        <v>431</v>
      </c>
      <c r="B297" s="1"/>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3">
      <c r="A298" s="1" t="s">
        <v>432</v>
      </c>
      <c r="B298" s="1"/>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3">
      <c r="A299" s="1" t="s">
        <v>433</v>
      </c>
      <c r="B299" s="1"/>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3">
      <c r="A300" s="1" t="s">
        <v>434</v>
      </c>
      <c r="B300" s="1"/>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3">
      <c r="A301" s="1" t="s">
        <v>435</v>
      </c>
      <c r="B301" s="1"/>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3">
      <c r="A302" s="1" t="s">
        <v>436</v>
      </c>
      <c r="B302" s="1"/>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3">
      <c r="A303" s="1" t="s">
        <v>437</v>
      </c>
      <c r="B303" s="1"/>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3">
      <c r="A304" s="1" t="s">
        <v>438</v>
      </c>
      <c r="B304" s="1"/>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3">
      <c r="A305" s="1" t="s">
        <v>439</v>
      </c>
      <c r="B305" s="1"/>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3">
      <c r="A306" s="1" t="s">
        <v>440</v>
      </c>
      <c r="B306" s="1"/>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3">
      <c r="A307" s="1" t="s">
        <v>441</v>
      </c>
      <c r="B307" s="1"/>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3">
      <c r="A308" s="1" t="s">
        <v>442</v>
      </c>
      <c r="B308" s="1"/>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3">
      <c r="A309" s="1" t="s">
        <v>443</v>
      </c>
      <c r="B309" s="1"/>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3">
      <c r="A310" s="1" t="s">
        <v>444</v>
      </c>
      <c r="B310" s="1"/>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3">
      <c r="A311" s="1" t="s">
        <v>445</v>
      </c>
      <c r="B311" s="1"/>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3">
      <c r="A312" s="1" t="s">
        <v>446</v>
      </c>
      <c r="B312" s="1"/>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3">
      <c r="A313" s="1" t="s">
        <v>447</v>
      </c>
      <c r="B313" s="1"/>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3">
      <c r="A314" s="1" t="s">
        <v>448</v>
      </c>
      <c r="B314" s="1"/>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3">
      <c r="A315" s="1" t="s">
        <v>449</v>
      </c>
      <c r="B315" s="1"/>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3">
      <c r="A316" s="1" t="s">
        <v>450</v>
      </c>
      <c r="B316" s="1"/>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3">
      <c r="A317" s="1" t="s">
        <v>451</v>
      </c>
      <c r="B317" s="1"/>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3">
      <c r="A318" s="1" t="s">
        <v>452</v>
      </c>
      <c r="B318" s="1"/>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3">
      <c r="A319" s="1" t="s">
        <v>453</v>
      </c>
      <c r="B319" s="1"/>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3">
      <c r="A320" s="1" t="s">
        <v>454</v>
      </c>
      <c r="B320" s="1"/>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3">
      <c r="A321" s="1" t="s">
        <v>455</v>
      </c>
      <c r="B321" s="1"/>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3">
      <c r="A322" s="1" t="s">
        <v>456</v>
      </c>
      <c r="B322" s="1"/>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3">
      <c r="A323" s="1" t="s">
        <v>457</v>
      </c>
      <c r="B323" s="1"/>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3">
      <c r="A324" s="1" t="s">
        <v>458</v>
      </c>
      <c r="B324" s="1"/>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3">
      <c r="A325" s="1" t="s">
        <v>459</v>
      </c>
      <c r="B325" s="1"/>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3">
      <c r="A326" s="1" t="s">
        <v>460</v>
      </c>
      <c r="B326" s="1"/>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3">
      <c r="A327" s="1" t="s">
        <v>461</v>
      </c>
      <c r="B327" s="1"/>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3">
      <c r="A328" s="1" t="s">
        <v>462</v>
      </c>
      <c r="B328" s="1"/>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3">
      <c r="A329" s="1" t="s">
        <v>301</v>
      </c>
      <c r="B329" s="1"/>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3">
      <c r="A330" s="1" t="s">
        <v>463</v>
      </c>
      <c r="B330" s="1"/>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3">
      <c r="A331" s="1" t="s">
        <v>464</v>
      </c>
      <c r="B331" s="1"/>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3">
      <c r="A332" s="1" t="s">
        <v>465</v>
      </c>
      <c r="B332" s="1"/>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3">
      <c r="A333" s="1" t="s">
        <v>466</v>
      </c>
      <c r="B333" s="1"/>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3">
      <c r="A334" s="1" t="s">
        <v>467</v>
      </c>
      <c r="B334" s="1"/>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3">
      <c r="A335" s="1" t="s">
        <v>468</v>
      </c>
      <c r="B335" s="1"/>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3">
      <c r="A336" s="1" t="s">
        <v>469</v>
      </c>
      <c r="B336" s="1"/>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3">
      <c r="A337" s="1" t="s">
        <v>470</v>
      </c>
      <c r="B337" s="1"/>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3">
      <c r="A338" s="1" t="s">
        <v>471</v>
      </c>
      <c r="B338" s="1"/>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3">
      <c r="A339" s="1" t="s">
        <v>472</v>
      </c>
      <c r="B339" s="1"/>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3">
      <c r="A340" s="1" t="s">
        <v>473</v>
      </c>
      <c r="B340" s="1"/>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3">
      <c r="A341" s="1" t="s">
        <v>474</v>
      </c>
      <c r="B341" s="1"/>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3">
      <c r="A342" s="1" t="s">
        <v>475</v>
      </c>
      <c r="B342" s="1"/>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3">
      <c r="A343" s="1" t="s">
        <v>476</v>
      </c>
      <c r="B343" s="1"/>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3">
      <c r="A344" s="1" t="s">
        <v>477</v>
      </c>
      <c r="B344" s="1"/>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3">
      <c r="A345" s="1" t="s">
        <v>478</v>
      </c>
      <c r="B345" s="1"/>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3">
      <c r="A346" s="1" t="s">
        <v>479</v>
      </c>
      <c r="B346" s="1"/>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3">
      <c r="A347" s="1" t="s">
        <v>480</v>
      </c>
      <c r="B347" s="1"/>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3">
      <c r="A348" s="1" t="s">
        <v>481</v>
      </c>
      <c r="B348" s="1"/>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3">
      <c r="A349" s="1" t="s">
        <v>482</v>
      </c>
      <c r="B349" s="1"/>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3">
      <c r="A350" s="1" t="s">
        <v>483</v>
      </c>
      <c r="B350" s="1"/>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3">
      <c r="A351" s="1" t="s">
        <v>484</v>
      </c>
      <c r="B351" s="1"/>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3">
      <c r="A352" s="1" t="s">
        <v>485</v>
      </c>
      <c r="B352" s="1"/>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3">
      <c r="A353" s="1" t="s">
        <v>486</v>
      </c>
      <c r="B353" s="1"/>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3">
      <c r="A354" s="1" t="s">
        <v>487</v>
      </c>
      <c r="B354" s="1"/>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3">
      <c r="A355" s="1" t="s">
        <v>488</v>
      </c>
      <c r="B355" s="1"/>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3">
      <c r="A356" s="1" t="s">
        <v>489</v>
      </c>
      <c r="B356" s="1"/>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3">
      <c r="A357" s="1" t="s">
        <v>490</v>
      </c>
      <c r="B357" s="1"/>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3">
      <c r="A358" s="1" t="s">
        <v>491</v>
      </c>
      <c r="B358" s="1"/>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3">
      <c r="A359" s="1" t="s">
        <v>492</v>
      </c>
      <c r="B359" s="1"/>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3">
      <c r="A360" s="1" t="s">
        <v>493</v>
      </c>
      <c r="B360" s="1"/>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3">
      <c r="A361" s="1" t="s">
        <v>494</v>
      </c>
      <c r="B361" s="1"/>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3">
      <c r="A362" s="1" t="s">
        <v>495</v>
      </c>
      <c r="B362" s="1"/>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3">
      <c r="A363" s="1" t="s">
        <v>496</v>
      </c>
      <c r="B363" s="1"/>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3">
      <c r="A364" s="1" t="s">
        <v>497</v>
      </c>
      <c r="B364" s="1"/>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3">
      <c r="A365" s="1" t="s">
        <v>498</v>
      </c>
      <c r="B365" s="1"/>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3">
      <c r="A366" s="1" t="s">
        <v>499</v>
      </c>
      <c r="B366" s="1"/>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3">
      <c r="A367" s="1" t="s">
        <v>500</v>
      </c>
      <c r="B367" s="1"/>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3">
      <c r="A368" s="1" t="s">
        <v>501</v>
      </c>
      <c r="B368" s="1"/>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3">
      <c r="A369" s="1" t="s">
        <v>502</v>
      </c>
      <c r="B369" s="1"/>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3">
      <c r="A370" s="1" t="s">
        <v>503</v>
      </c>
      <c r="B370" s="1"/>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3">
      <c r="A371" s="1" t="s">
        <v>504</v>
      </c>
      <c r="B371" s="1"/>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3">
      <c r="A372" s="1" t="s">
        <v>505</v>
      </c>
      <c r="B372" s="1"/>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3">
      <c r="A373" s="1" t="s">
        <v>506</v>
      </c>
      <c r="B373" s="1"/>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3">
      <c r="A374" s="1" t="s">
        <v>507</v>
      </c>
      <c r="B374" s="1"/>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3">
      <c r="A375" s="1" t="s">
        <v>508</v>
      </c>
      <c r="B375" s="1"/>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3">
      <c r="A376" s="1" t="s">
        <v>509</v>
      </c>
      <c r="B376" s="1"/>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3">
      <c r="A377" s="1" t="s">
        <v>510</v>
      </c>
      <c r="B377" s="1"/>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3">
      <c r="A378" s="1" t="s">
        <v>511</v>
      </c>
      <c r="B378" s="1"/>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3">
      <c r="A379" s="1" t="s">
        <v>512</v>
      </c>
      <c r="B379" s="1"/>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3">
      <c r="A380" s="1" t="s">
        <v>513</v>
      </c>
      <c r="B380" s="1"/>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3">
      <c r="A381" s="1" t="s">
        <v>514</v>
      </c>
      <c r="B381" s="1"/>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3">
      <c r="A382" s="1" t="s">
        <v>515</v>
      </c>
      <c r="B382" s="1"/>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3">
      <c r="A383" s="1" t="s">
        <v>516</v>
      </c>
      <c r="B383" s="1"/>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3">
      <c r="A384" s="1" t="s">
        <v>517</v>
      </c>
      <c r="B384" s="1"/>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3">
      <c r="A385" s="1" t="s">
        <v>518</v>
      </c>
      <c r="B385" s="1"/>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3">
      <c r="A386" s="1" t="s">
        <v>519</v>
      </c>
      <c r="B386" s="1"/>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3">
      <c r="A387" s="1" t="s">
        <v>520</v>
      </c>
      <c r="B387" s="1"/>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3">
      <c r="A388" s="1" t="s">
        <v>521</v>
      </c>
      <c r="B388" s="1"/>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3">
      <c r="A389" s="1" t="s">
        <v>522</v>
      </c>
      <c r="B389" s="1"/>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3">
      <c r="A390" s="1" t="s">
        <v>523</v>
      </c>
      <c r="B390" s="1"/>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3">
      <c r="A391" s="1" t="s">
        <v>524</v>
      </c>
      <c r="B391" s="1"/>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3">
      <c r="A392" s="1" t="s">
        <v>525</v>
      </c>
      <c r="B392" s="1"/>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3">
      <c r="A393" s="1" t="s">
        <v>526</v>
      </c>
      <c r="B393" s="1"/>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3">
      <c r="A394" s="1" t="s">
        <v>527</v>
      </c>
      <c r="B394" s="1"/>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3">
      <c r="A395" s="1" t="s">
        <v>528</v>
      </c>
      <c r="B395" s="1"/>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3">
      <c r="A396" s="1" t="s">
        <v>529</v>
      </c>
      <c r="B396" s="1"/>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3">
      <c r="A397" s="1" t="s">
        <v>530</v>
      </c>
      <c r="B397" s="1"/>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3">
      <c r="A398" s="1" t="s">
        <v>531</v>
      </c>
      <c r="B398" s="1"/>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3">
      <c r="A399" s="1" t="s">
        <v>532</v>
      </c>
      <c r="B399" s="1"/>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3">
      <c r="A400" s="1" t="s">
        <v>533</v>
      </c>
      <c r="B400" s="1"/>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3">
      <c r="A401" s="1" t="s">
        <v>534</v>
      </c>
      <c r="B401" s="1"/>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3">
      <c r="A402" s="1" t="s">
        <v>535</v>
      </c>
      <c r="B402" s="1"/>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3">
      <c r="A403" s="1" t="s">
        <v>536</v>
      </c>
      <c r="B403" s="1"/>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3">
      <c r="A404" s="1" t="s">
        <v>537</v>
      </c>
      <c r="B404" s="1"/>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3">
      <c r="A405" s="1" t="s">
        <v>538</v>
      </c>
      <c r="B405" s="1"/>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3">
      <c r="A406" s="1" t="s">
        <v>539</v>
      </c>
      <c r="B406" s="1"/>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3">
      <c r="A407" s="1" t="s">
        <v>540</v>
      </c>
      <c r="B407" s="1"/>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3">
      <c r="A408" s="1" t="s">
        <v>541</v>
      </c>
      <c r="B408" s="1"/>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3">
      <c r="A409" s="1" t="s">
        <v>542</v>
      </c>
      <c r="B409" s="1"/>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3">
      <c r="A410" s="1" t="s">
        <v>543</v>
      </c>
      <c r="B410" s="1"/>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3">
      <c r="A411" s="1" t="s">
        <v>544</v>
      </c>
      <c r="B411" s="1"/>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3">
      <c r="A412" s="1" t="s">
        <v>545</v>
      </c>
      <c r="B412" s="1"/>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3">
      <c r="A413" s="1" t="s">
        <v>546</v>
      </c>
      <c r="B413" s="1"/>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3">
      <c r="A414" s="1" t="s">
        <v>547</v>
      </c>
      <c r="B414" s="1"/>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3">
      <c r="A415" s="1" t="s">
        <v>548</v>
      </c>
      <c r="B415" s="1"/>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3">
      <c r="A416" s="1" t="s">
        <v>549</v>
      </c>
      <c r="B416" s="1"/>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3">
      <c r="A417" s="1" t="s">
        <v>550</v>
      </c>
      <c r="B417" s="1"/>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3">
      <c r="A418" s="1" t="s">
        <v>551</v>
      </c>
      <c r="B418" s="1"/>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3">
      <c r="A419" s="1" t="s">
        <v>552</v>
      </c>
      <c r="B419" s="1"/>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3">
      <c r="A420" s="1" t="s">
        <v>553</v>
      </c>
      <c r="B420" s="1"/>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3">
      <c r="A421" s="1" t="s">
        <v>554</v>
      </c>
      <c r="B421" s="1"/>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3">
      <c r="A422" s="1" t="s">
        <v>555</v>
      </c>
      <c r="B422" s="1"/>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3">
      <c r="A423" s="1" t="s">
        <v>556</v>
      </c>
      <c r="B423" s="1"/>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3">
      <c r="A424" s="1" t="s">
        <v>557</v>
      </c>
      <c r="B424" s="1"/>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3">
      <c r="A425" s="1" t="s">
        <v>558</v>
      </c>
      <c r="B425" s="1"/>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3">
      <c r="A426" s="1" t="s">
        <v>559</v>
      </c>
      <c r="B426" s="1"/>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3">
      <c r="A427" s="1" t="s">
        <v>560</v>
      </c>
      <c r="B427" s="1"/>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3">
      <c r="A428" s="1" t="s">
        <v>561</v>
      </c>
      <c r="B428" s="1"/>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3">
      <c r="A429" s="1" t="s">
        <v>562</v>
      </c>
      <c r="B429" s="1"/>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3">
      <c r="A430" s="1" t="s">
        <v>563</v>
      </c>
      <c r="B430" s="1"/>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3">
      <c r="A431" s="1" t="s">
        <v>564</v>
      </c>
      <c r="B431" s="1"/>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3">
      <c r="A432" s="1" t="s">
        <v>565</v>
      </c>
      <c r="B432" s="1"/>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3">
      <c r="A433" s="1" t="s">
        <v>566</v>
      </c>
      <c r="B433" s="1"/>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3">
      <c r="A434" s="1" t="s">
        <v>567</v>
      </c>
      <c r="B434" s="1"/>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3">
      <c r="A435" s="1" t="s">
        <v>568</v>
      </c>
      <c r="B435" s="1"/>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3">
      <c r="A436" s="1" t="s">
        <v>569</v>
      </c>
      <c r="B436" s="1"/>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3">
      <c r="A437" s="1" t="s">
        <v>570</v>
      </c>
      <c r="B437" s="1"/>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3">
      <c r="A438" s="1" t="s">
        <v>571</v>
      </c>
      <c r="B438" s="1"/>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3">
      <c r="A439" s="1" t="s">
        <v>572</v>
      </c>
      <c r="B439" s="1"/>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3">
      <c r="A440" s="1" t="s">
        <v>573</v>
      </c>
      <c r="B440" s="1"/>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3">
      <c r="A441" s="1" t="s">
        <v>574</v>
      </c>
      <c r="B441" s="1"/>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3">
      <c r="A442" s="1" t="s">
        <v>575</v>
      </c>
      <c r="B442" s="1"/>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3">
      <c r="A443" s="1" t="s">
        <v>576</v>
      </c>
      <c r="B443" s="1"/>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3">
      <c r="A444" s="1" t="s">
        <v>529</v>
      </c>
      <c r="B444" s="1"/>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3">
      <c r="A445" s="1" t="s">
        <v>577</v>
      </c>
      <c r="B445" s="1"/>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3">
      <c r="A446" s="1" t="s">
        <v>578</v>
      </c>
      <c r="B446" s="1"/>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3">
      <c r="A447" s="1" t="s">
        <v>579</v>
      </c>
      <c r="B447" s="1"/>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3">
      <c r="A448" s="1" t="s">
        <v>580</v>
      </c>
      <c r="B448" s="1"/>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3">
      <c r="A449" s="1" t="s">
        <v>581</v>
      </c>
      <c r="B449" s="1"/>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3">
      <c r="A450" s="1" t="s">
        <v>582</v>
      </c>
      <c r="B450" s="1"/>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3">
      <c r="A451" s="1" t="s">
        <v>583</v>
      </c>
      <c r="B451" s="1"/>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3">
      <c r="A452" s="1" t="s">
        <v>584</v>
      </c>
      <c r="B452" s="1"/>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3">
      <c r="A453" s="1" t="s">
        <v>585</v>
      </c>
      <c r="B453" s="1"/>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3">
      <c r="A454" s="1" t="s">
        <v>586</v>
      </c>
      <c r="B454" s="1"/>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3">
      <c r="A455" s="1" t="s">
        <v>587</v>
      </c>
      <c r="B455" s="1"/>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3">
      <c r="A456" s="1" t="s">
        <v>588</v>
      </c>
      <c r="B456" s="1"/>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3">
      <c r="A457" s="1" t="s">
        <v>589</v>
      </c>
      <c r="B457" s="1"/>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3">
      <c r="A458" s="1" t="s">
        <v>590</v>
      </c>
      <c r="B458" s="1"/>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3">
      <c r="A459" s="1" t="s">
        <v>591</v>
      </c>
      <c r="B459" s="1"/>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3">
      <c r="A460" s="1" t="s">
        <v>592</v>
      </c>
      <c r="B460" s="1"/>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3">
      <c r="A461" s="1" t="s">
        <v>593</v>
      </c>
      <c r="B461" s="1"/>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3">
      <c r="A462" s="1" t="s">
        <v>594</v>
      </c>
      <c r="B462" s="1"/>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3">
      <c r="A463" s="1" t="s">
        <v>595</v>
      </c>
      <c r="B463" s="1"/>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3">
      <c r="A464" s="1" t="s">
        <v>596</v>
      </c>
      <c r="B464" s="1"/>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3">
      <c r="A465" s="1" t="s">
        <v>597</v>
      </c>
      <c r="B465" s="1"/>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3">
      <c r="A466" s="1" t="s">
        <v>598</v>
      </c>
      <c r="B466" s="1"/>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3">
      <c r="A467" s="1" t="s">
        <v>599</v>
      </c>
      <c r="B467" s="1"/>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3">
      <c r="A468" s="1" t="s">
        <v>600</v>
      </c>
      <c r="B468" s="1"/>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3">
      <c r="A469" s="1" t="s">
        <v>601</v>
      </c>
      <c r="B469" s="1"/>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3">
      <c r="A470" s="1" t="s">
        <v>602</v>
      </c>
      <c r="B470" s="1"/>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3">
      <c r="A471" s="1" t="s">
        <v>603</v>
      </c>
      <c r="B471" s="1"/>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3">
      <c r="A472" s="1" t="s">
        <v>604</v>
      </c>
      <c r="B472" s="1"/>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3">
      <c r="A473" s="1" t="s">
        <v>605</v>
      </c>
      <c r="B473" s="1"/>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3">
      <c r="A474" s="1" t="s">
        <v>606</v>
      </c>
      <c r="B474" s="1"/>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3">
      <c r="A475" s="1" t="s">
        <v>607</v>
      </c>
      <c r="B475" s="1"/>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3">
      <c r="A476" s="1" t="s">
        <v>608</v>
      </c>
      <c r="B476" s="1"/>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3">
      <c r="A477" s="1" t="s">
        <v>609</v>
      </c>
      <c r="B477" s="1"/>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3">
      <c r="A478" s="1" t="s">
        <v>610</v>
      </c>
      <c r="B478" s="1"/>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3">
      <c r="A479" s="1" t="s">
        <v>611</v>
      </c>
      <c r="B479" s="1"/>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3">
      <c r="A480" s="1" t="s">
        <v>612</v>
      </c>
      <c r="B480" s="1"/>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3">
      <c r="A481" s="1" t="s">
        <v>613</v>
      </c>
      <c r="B481" s="1"/>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3">
      <c r="A482" s="1" t="s">
        <v>614</v>
      </c>
      <c r="B482" s="1"/>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3">
      <c r="A483" s="1" t="s">
        <v>615</v>
      </c>
      <c r="B483" s="1"/>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3">
      <c r="A484" s="1" t="s">
        <v>616</v>
      </c>
      <c r="B484" s="1"/>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3">
      <c r="A485" s="1" t="s">
        <v>617</v>
      </c>
      <c r="B485" s="1"/>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3">
      <c r="A486" s="1" t="s">
        <v>618</v>
      </c>
      <c r="B486" s="1"/>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3">
      <c r="A487" s="1" t="s">
        <v>619</v>
      </c>
      <c r="B487" s="1"/>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3">
      <c r="A488" s="1" t="s">
        <v>620</v>
      </c>
      <c r="B488" s="1"/>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3">
      <c r="A489" s="1" t="s">
        <v>621</v>
      </c>
      <c r="B489" s="1"/>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3">
      <c r="A490" s="1" t="s">
        <v>622</v>
      </c>
      <c r="B490" s="1"/>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3">
      <c r="A491" s="1" t="s">
        <v>623</v>
      </c>
      <c r="B491" s="1"/>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3">
      <c r="A492" s="1" t="s">
        <v>624</v>
      </c>
      <c r="B492" s="1"/>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3">
      <c r="A493" s="1" t="s">
        <v>625</v>
      </c>
      <c r="B493" s="1"/>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3">
      <c r="A494" s="1" t="s">
        <v>626</v>
      </c>
      <c r="B494" s="1"/>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3">
      <c r="A495" s="1" t="s">
        <v>627</v>
      </c>
      <c r="B495" s="1"/>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3">
      <c r="A496" s="1" t="s">
        <v>628</v>
      </c>
      <c r="B496" s="1"/>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3">
      <c r="A497" s="1" t="s">
        <v>629</v>
      </c>
      <c r="B497" s="1"/>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3">
      <c r="A498" s="1" t="s">
        <v>630</v>
      </c>
      <c r="B498" s="1"/>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3">
      <c r="A499" s="1" t="s">
        <v>631</v>
      </c>
      <c r="B499" s="1"/>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3">
      <c r="A500" s="1" t="s">
        <v>632</v>
      </c>
      <c r="B500" s="1"/>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3">
      <c r="A501" s="1" t="s">
        <v>633</v>
      </c>
      <c r="B501" s="1"/>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3">
      <c r="A502" s="1" t="s">
        <v>634</v>
      </c>
      <c r="B502" s="1"/>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3">
      <c r="A503" s="1" t="s">
        <v>635</v>
      </c>
      <c r="B503" s="1"/>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3">
      <c r="A504" s="1" t="s">
        <v>636</v>
      </c>
      <c r="B504" s="1"/>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3">
      <c r="A505" s="1" t="s">
        <v>637</v>
      </c>
      <c r="B505" s="1"/>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3">
      <c r="A506" s="1" t="s">
        <v>638</v>
      </c>
      <c r="B506" s="1"/>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3">
      <c r="A507" s="1" t="s">
        <v>639</v>
      </c>
      <c r="B507" s="1"/>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3">
      <c r="A508" s="1" t="s">
        <v>640</v>
      </c>
      <c r="B508" s="1"/>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3">
      <c r="A509" s="1" t="s">
        <v>641</v>
      </c>
      <c r="B509" s="1"/>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3">
      <c r="A510" s="1" t="s">
        <v>642</v>
      </c>
      <c r="B510" s="1"/>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3">
      <c r="A511" s="1" t="s">
        <v>643</v>
      </c>
      <c r="B511" s="1"/>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3">
      <c r="A512" s="1" t="s">
        <v>644</v>
      </c>
      <c r="B512" s="1"/>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3">
      <c r="A513" s="1" t="s">
        <v>645</v>
      </c>
      <c r="B513" s="1"/>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3">
      <c r="A514" s="1" t="s">
        <v>646</v>
      </c>
      <c r="B514" s="1"/>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3">
      <c r="A515" s="1" t="s">
        <v>647</v>
      </c>
      <c r="B515" s="1"/>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3">
      <c r="A516" s="1" t="s">
        <v>648</v>
      </c>
      <c r="B516" s="1"/>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3">
      <c r="A517" s="1" t="s">
        <v>649</v>
      </c>
      <c r="B517" s="1"/>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3">
      <c r="A518" s="1" t="s">
        <v>650</v>
      </c>
      <c r="B518" s="1"/>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3">
      <c r="A519" s="1" t="s">
        <v>651</v>
      </c>
      <c r="B519" s="1"/>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3">
      <c r="A520" s="1" t="s">
        <v>652</v>
      </c>
      <c r="B520" s="1"/>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3">
      <c r="A521" s="1" t="s">
        <v>653</v>
      </c>
      <c r="B521" s="1"/>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3">
      <c r="A522" s="1" t="s">
        <v>654</v>
      </c>
      <c r="B522" s="1"/>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3">
      <c r="A523" s="1" t="s">
        <v>655</v>
      </c>
      <c r="B523" s="1"/>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3">
      <c r="A524" s="1" t="s">
        <v>656</v>
      </c>
      <c r="B524" s="1"/>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3">
      <c r="A525" s="1" t="s">
        <v>657</v>
      </c>
      <c r="B525" s="1"/>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3">
      <c r="A526" s="1" t="s">
        <v>658</v>
      </c>
      <c r="B526" s="1"/>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3">
      <c r="A527" s="1" t="s">
        <v>659</v>
      </c>
      <c r="B527" s="1"/>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3">
      <c r="A528" s="1" t="s">
        <v>660</v>
      </c>
      <c r="B528" s="1"/>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3">
      <c r="A529" s="1" t="s">
        <v>661</v>
      </c>
      <c r="B529" s="1"/>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3">
      <c r="A530" s="1" t="s">
        <v>662</v>
      </c>
      <c r="B530" s="1"/>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3">
      <c r="A531" s="1" t="s">
        <v>663</v>
      </c>
      <c r="B531" s="1"/>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3">
      <c r="A532" s="1" t="s">
        <v>664</v>
      </c>
      <c r="B532" s="1"/>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3">
      <c r="A533" s="1" t="s">
        <v>665</v>
      </c>
      <c r="B533" s="1"/>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3">
      <c r="A534" s="1" t="s">
        <v>666</v>
      </c>
      <c r="B534" s="1"/>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3">
      <c r="A535" s="1" t="s">
        <v>667</v>
      </c>
      <c r="B535" s="1"/>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3">
      <c r="A536" s="1" t="s">
        <v>668</v>
      </c>
      <c r="B536" s="1"/>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3">
      <c r="A537" s="1" t="s">
        <v>669</v>
      </c>
      <c r="B537" s="1"/>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3">
      <c r="A538" s="1" t="s">
        <v>670</v>
      </c>
      <c r="B538" s="1"/>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3">
      <c r="A539" s="1" t="s">
        <v>671</v>
      </c>
      <c r="B539" s="1"/>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3">
      <c r="A540" s="1" t="s">
        <v>672</v>
      </c>
      <c r="B540" s="1"/>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3">
      <c r="A541" s="1" t="s">
        <v>673</v>
      </c>
      <c r="B541" s="1"/>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3">
      <c r="A542" s="1" t="s">
        <v>674</v>
      </c>
      <c r="B542" s="1"/>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3">
      <c r="A543" s="1" t="s">
        <v>675</v>
      </c>
      <c r="B543" s="1"/>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3">
      <c r="A544" s="1" t="s">
        <v>469</v>
      </c>
      <c r="B544" s="1"/>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3">
      <c r="A545" s="1" t="s">
        <v>676</v>
      </c>
      <c r="B545" s="1"/>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3">
      <c r="A546" s="1" t="s">
        <v>544</v>
      </c>
      <c r="B546" s="1"/>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3">
      <c r="A547" s="1" t="s">
        <v>677</v>
      </c>
      <c r="B547" s="1"/>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3">
      <c r="A548" s="1" t="s">
        <v>678</v>
      </c>
      <c r="B548" s="1"/>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3">
      <c r="A549" s="1" t="s">
        <v>679</v>
      </c>
      <c r="B549" s="1"/>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3">
      <c r="A550" s="1" t="s">
        <v>680</v>
      </c>
      <c r="B550" s="1"/>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3">
      <c r="A551" s="1" t="s">
        <v>681</v>
      </c>
      <c r="B551" s="1"/>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3">
      <c r="A552" s="1" t="s">
        <v>682</v>
      </c>
      <c r="B552" s="1"/>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3">
      <c r="A553" s="1" t="s">
        <v>683</v>
      </c>
      <c r="B553" s="1"/>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3">
      <c r="A554" s="1" t="s">
        <v>684</v>
      </c>
      <c r="B554" s="1"/>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3">
      <c r="A555" s="1" t="s">
        <v>685</v>
      </c>
      <c r="B555" s="1"/>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3">
      <c r="A556" s="1" t="s">
        <v>686</v>
      </c>
      <c r="B556" s="1"/>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3">
      <c r="A557" s="1" t="s">
        <v>687</v>
      </c>
      <c r="B557" s="1"/>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3">
      <c r="A558" s="1" t="s">
        <v>688</v>
      </c>
      <c r="B558" s="1"/>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3">
      <c r="A559" s="1" t="s">
        <v>689</v>
      </c>
      <c r="B559" s="1"/>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3">
      <c r="A560" s="1" t="s">
        <v>690</v>
      </c>
      <c r="B560" s="1"/>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3">
      <c r="A561" s="1" t="s">
        <v>691</v>
      </c>
      <c r="B561" s="1"/>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3">
      <c r="A562" s="1" t="s">
        <v>692</v>
      </c>
      <c r="B562" s="1"/>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3">
      <c r="A563" s="1" t="s">
        <v>693</v>
      </c>
      <c r="B563" s="1"/>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3">
      <c r="A564" s="1" t="s">
        <v>694</v>
      </c>
      <c r="B564" s="1"/>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3">
      <c r="A565" s="1" t="s">
        <v>695</v>
      </c>
      <c r="B565" s="1"/>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3">
      <c r="A566" s="1" t="s">
        <v>696</v>
      </c>
      <c r="B566" s="1"/>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3">
      <c r="A567" s="1" t="s">
        <v>697</v>
      </c>
      <c r="B567" s="1"/>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3">
      <c r="A568" s="1" t="s">
        <v>698</v>
      </c>
      <c r="B568" s="1"/>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3">
      <c r="A569" s="1" t="s">
        <v>699</v>
      </c>
      <c r="B569" s="1"/>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3">
      <c r="A570" s="1" t="s">
        <v>700</v>
      </c>
      <c r="B570" s="1"/>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3">
      <c r="A571" s="1" t="s">
        <v>701</v>
      </c>
      <c r="B571" s="1"/>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3">
      <c r="A572" s="1" t="s">
        <v>702</v>
      </c>
      <c r="B572" s="1"/>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3">
      <c r="A573" s="1" t="s">
        <v>703</v>
      </c>
      <c r="B573" s="1"/>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3">
      <c r="A574" s="1" t="s">
        <v>704</v>
      </c>
      <c r="B574" s="1"/>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3">
      <c r="A575" s="1" t="s">
        <v>705</v>
      </c>
      <c r="B575" s="1"/>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3">
      <c r="A576" s="1" t="s">
        <v>706</v>
      </c>
      <c r="B576" s="1"/>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3">
      <c r="A577" s="1" t="s">
        <v>707</v>
      </c>
      <c r="B577" s="1"/>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3">
      <c r="A578" s="1" t="s">
        <v>708</v>
      </c>
      <c r="B578" s="1"/>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3">
      <c r="A579" s="1" t="s">
        <v>709</v>
      </c>
      <c r="B579" s="1"/>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3">
      <c r="A580" s="1" t="s">
        <v>710</v>
      </c>
      <c r="B580" s="1"/>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3">
      <c r="A581" s="1" t="s">
        <v>711</v>
      </c>
      <c r="B581" s="1"/>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3">
      <c r="A582" s="1" t="s">
        <v>712</v>
      </c>
      <c r="B582" s="1"/>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3">
      <c r="A583" s="1" t="s">
        <v>713</v>
      </c>
      <c r="B583" s="1"/>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3">
      <c r="A584" s="1" t="s">
        <v>714</v>
      </c>
      <c r="B584" s="1"/>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3">
      <c r="A585" s="1" t="s">
        <v>715</v>
      </c>
      <c r="B585" s="1"/>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3">
      <c r="A586" s="1" t="s">
        <v>716</v>
      </c>
      <c r="B586" s="1"/>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3">
      <c r="A587" s="1" t="s">
        <v>717</v>
      </c>
      <c r="B587" s="1"/>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3">
      <c r="A588" s="1" t="s">
        <v>718</v>
      </c>
      <c r="B588" s="1"/>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3">
      <c r="A589" s="1" t="s">
        <v>719</v>
      </c>
      <c r="B589" s="1"/>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3">
      <c r="A590" s="1" t="s">
        <v>720</v>
      </c>
      <c r="B590" s="1"/>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3">
      <c r="A591" s="1" t="s">
        <v>721</v>
      </c>
      <c r="B591" s="1"/>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3">
      <c r="A592" s="1" t="s">
        <v>722</v>
      </c>
      <c r="B592" s="1"/>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3">
      <c r="A593" s="1" t="s">
        <v>723</v>
      </c>
      <c r="B593" s="1"/>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3">
      <c r="A594" s="1" t="s">
        <v>724</v>
      </c>
      <c r="B594" s="1"/>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3">
      <c r="A595" s="1" t="s">
        <v>725</v>
      </c>
      <c r="B595" s="1"/>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3">
      <c r="A596" s="1" t="s">
        <v>726</v>
      </c>
      <c r="B596" s="1"/>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3">
      <c r="A597" s="1" t="s">
        <v>727</v>
      </c>
      <c r="B597" s="1"/>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3">
      <c r="A598" s="1" t="s">
        <v>728</v>
      </c>
      <c r="B598" s="1"/>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3">
      <c r="A599" s="1" t="s">
        <v>729</v>
      </c>
      <c r="B599" s="1"/>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3">
      <c r="A600" s="1" t="s">
        <v>730</v>
      </c>
      <c r="B600" s="1"/>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3">
      <c r="A601" s="1" t="s">
        <v>731</v>
      </c>
      <c r="B601" s="1"/>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3">
      <c r="A602" s="1" t="s">
        <v>732</v>
      </c>
      <c r="B602" s="1"/>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3">
      <c r="A603" s="1" t="s">
        <v>733</v>
      </c>
      <c r="B603" s="1"/>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3">
      <c r="A604" s="1" t="s">
        <v>734</v>
      </c>
      <c r="B604" s="1"/>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3">
      <c r="A605" s="1" t="s">
        <v>735</v>
      </c>
      <c r="B605" s="1"/>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3">
      <c r="A606" s="1" t="s">
        <v>736</v>
      </c>
      <c r="B606" s="1"/>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3">
      <c r="A607" s="1" t="s">
        <v>737</v>
      </c>
      <c r="B607" s="1"/>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3">
      <c r="A608" s="1" t="s">
        <v>738</v>
      </c>
      <c r="B608" s="1"/>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3">
      <c r="A609" s="1" t="s">
        <v>739</v>
      </c>
      <c r="B609" s="1"/>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3">
      <c r="A610" s="1" t="s">
        <v>740</v>
      </c>
      <c r="B610" s="1"/>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3">
      <c r="A611" s="1" t="s">
        <v>741</v>
      </c>
      <c r="B611" s="1"/>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3">
      <c r="A612" s="1" t="s">
        <v>742</v>
      </c>
      <c r="B612" s="1"/>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3">
      <c r="A613" s="1" t="s">
        <v>743</v>
      </c>
      <c r="B613" s="1"/>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3">
      <c r="A614" s="1" t="s">
        <v>744</v>
      </c>
      <c r="B614" s="1"/>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3">
      <c r="A615" s="1" t="s">
        <v>745</v>
      </c>
      <c r="B615" s="1"/>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3">
      <c r="A616" s="1" t="s">
        <v>746</v>
      </c>
      <c r="B616" s="1"/>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3">
      <c r="A617" s="1" t="s">
        <v>747</v>
      </c>
      <c r="B617" s="1"/>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3">
      <c r="A618" s="1" t="s">
        <v>748</v>
      </c>
      <c r="B618" s="1"/>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3">
      <c r="A619" s="1" t="s">
        <v>749</v>
      </c>
      <c r="B619" s="1"/>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3">
      <c r="A620" s="1" t="s">
        <v>750</v>
      </c>
      <c r="B620" s="1"/>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3">
      <c r="A621" s="1" t="s">
        <v>751</v>
      </c>
      <c r="B621" s="1"/>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3">
      <c r="A622" s="1" t="s">
        <v>749</v>
      </c>
      <c r="B622" s="1"/>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3">
      <c r="A623" s="1" t="s">
        <v>752</v>
      </c>
      <c r="B623" s="1"/>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3">
      <c r="A624" s="1" t="s">
        <v>753</v>
      </c>
      <c r="B624" s="1"/>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3">
      <c r="A625" s="1" t="s">
        <v>754</v>
      </c>
      <c r="B625" s="1"/>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3">
      <c r="A626" s="1" t="s">
        <v>755</v>
      </c>
      <c r="B626" s="1"/>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3">
      <c r="A627" s="1" t="s">
        <v>756</v>
      </c>
      <c r="B627" s="1"/>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3">
      <c r="A628" s="1" t="s">
        <v>757</v>
      </c>
      <c r="B628" s="1"/>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3">
      <c r="A629" s="1" t="s">
        <v>758</v>
      </c>
      <c r="B629" s="1"/>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3">
      <c r="A630" s="1" t="s">
        <v>759</v>
      </c>
      <c r="B630" s="1"/>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3">
      <c r="A631" s="1" t="s">
        <v>760</v>
      </c>
      <c r="B631" s="1"/>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3">
      <c r="A632" s="1" t="s">
        <v>761</v>
      </c>
      <c r="B632" s="1"/>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3">
      <c r="A633" s="1" t="s">
        <v>762</v>
      </c>
      <c r="B633" s="1"/>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3">
      <c r="A634" s="1" t="s">
        <v>763</v>
      </c>
      <c r="B634" s="1"/>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3">
      <c r="A635" s="1" t="s">
        <v>764</v>
      </c>
      <c r="B635" s="1"/>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3">
      <c r="A636" s="1" t="s">
        <v>765</v>
      </c>
      <c r="B636" s="1"/>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3">
      <c r="A637" s="1" t="s">
        <v>766</v>
      </c>
      <c r="B637" s="1"/>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3">
      <c r="A638" s="1" t="s">
        <v>563</v>
      </c>
      <c r="B638" s="1"/>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3">
      <c r="A639" s="1" t="s">
        <v>767</v>
      </c>
      <c r="B639" s="1"/>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3">
      <c r="A640" s="1" t="s">
        <v>768</v>
      </c>
      <c r="B640" s="1"/>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3">
      <c r="A641" s="1" t="s">
        <v>769</v>
      </c>
      <c r="B641" s="1"/>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3">
      <c r="A642" s="1" t="s">
        <v>770</v>
      </c>
      <c r="B642" s="1"/>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3">
      <c r="A643" s="1" t="s">
        <v>771</v>
      </c>
      <c r="B643" s="1"/>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3">
      <c r="A644" s="1" t="s">
        <v>772</v>
      </c>
      <c r="B644" s="1"/>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3">
      <c r="A645" s="1" t="s">
        <v>773</v>
      </c>
      <c r="B645" s="1"/>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3">
      <c r="A646" s="1" t="s">
        <v>774</v>
      </c>
      <c r="B646" s="1"/>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3">
      <c r="A647" s="1" t="s">
        <v>775</v>
      </c>
      <c r="B647" s="1"/>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3">
      <c r="A648" s="1" t="s">
        <v>776</v>
      </c>
      <c r="B648" s="1"/>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3">
      <c r="A649" s="1" t="s">
        <v>777</v>
      </c>
      <c r="B649" s="1"/>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3">
      <c r="A650" s="1" t="s">
        <v>778</v>
      </c>
      <c r="B650" s="1"/>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3">
      <c r="A651" s="1" t="s">
        <v>779</v>
      </c>
      <c r="B651" s="1"/>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3">
      <c r="A652" s="1" t="s">
        <v>780</v>
      </c>
      <c r="B652" s="1"/>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3">
      <c r="A653" s="1" t="s">
        <v>781</v>
      </c>
      <c r="B653" s="1"/>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3">
      <c r="A654" s="1" t="s">
        <v>782</v>
      </c>
      <c r="B654" s="1"/>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3">
      <c r="A655" s="1" t="s">
        <v>783</v>
      </c>
      <c r="B655" s="1"/>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3">
      <c r="A656" s="1" t="s">
        <v>784</v>
      </c>
      <c r="B656" s="1"/>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3">
      <c r="A657" s="1" t="s">
        <v>785</v>
      </c>
      <c r="B657" s="1"/>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3">
      <c r="A658" s="1" t="s">
        <v>786</v>
      </c>
      <c r="B658" s="1"/>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3">
      <c r="A659" s="1" t="s">
        <v>787</v>
      </c>
      <c r="B659" s="1"/>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3">
      <c r="A660" s="1" t="s">
        <v>788</v>
      </c>
      <c r="B660" s="1"/>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3">
      <c r="A661" s="1" t="s">
        <v>789</v>
      </c>
      <c r="B661" s="1"/>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3">
      <c r="A662" s="1" t="s">
        <v>790</v>
      </c>
      <c r="B662" s="1"/>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3">
      <c r="A663" s="1" t="s">
        <v>791</v>
      </c>
      <c r="B663" s="1"/>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3">
      <c r="A664" s="1" t="s">
        <v>792</v>
      </c>
      <c r="B664" s="1"/>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3">
      <c r="A665" s="1" t="s">
        <v>793</v>
      </c>
      <c r="B665" s="1"/>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3">
      <c r="A666" s="1" t="s">
        <v>794</v>
      </c>
      <c r="B666" s="1"/>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3">
      <c r="A667" s="1" t="s">
        <v>795</v>
      </c>
      <c r="B667" s="1"/>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3">
      <c r="A668" s="1" t="s">
        <v>796</v>
      </c>
      <c r="B668" s="1"/>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3">
      <c r="A669" s="1" t="s">
        <v>797</v>
      </c>
      <c r="B669" s="1"/>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3">
      <c r="A670" s="1" t="s">
        <v>798</v>
      </c>
      <c r="B670" s="1"/>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3">
      <c r="A671" s="1" t="s">
        <v>799</v>
      </c>
      <c r="B671" s="1"/>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3">
      <c r="A672" s="1" t="s">
        <v>800</v>
      </c>
      <c r="B672" s="1"/>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3">
      <c r="A673" s="1" t="s">
        <v>801</v>
      </c>
      <c r="B673" s="1"/>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3">
      <c r="A674" s="1" t="s">
        <v>802</v>
      </c>
      <c r="B674" s="1"/>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3">
      <c r="A675" s="1" t="s">
        <v>674</v>
      </c>
      <c r="B675" s="1"/>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3">
      <c r="A676" s="1" t="s">
        <v>803</v>
      </c>
      <c r="B676" s="1"/>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3">
      <c r="A677" s="1" t="s">
        <v>804</v>
      </c>
      <c r="B677" s="1"/>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3">
      <c r="A678" s="1" t="s">
        <v>805</v>
      </c>
      <c r="B678" s="1"/>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3">
      <c r="A679" s="1" t="s">
        <v>806</v>
      </c>
      <c r="B679" s="1"/>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3">
      <c r="A680" s="1" t="s">
        <v>807</v>
      </c>
      <c r="B680" s="1"/>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3">
      <c r="A681" s="1" t="s">
        <v>808</v>
      </c>
      <c r="B681" s="1"/>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3">
      <c r="A682" s="1" t="s">
        <v>809</v>
      </c>
      <c r="B682" s="1"/>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3">
      <c r="A683" s="1" t="s">
        <v>810</v>
      </c>
      <c r="B683" s="1"/>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3">
      <c r="A684" s="1" t="s">
        <v>811</v>
      </c>
      <c r="B684" s="1"/>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3">
      <c r="A685" s="1" t="s">
        <v>812</v>
      </c>
      <c r="B685" s="1"/>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3">
      <c r="A686" s="1" t="s">
        <v>813</v>
      </c>
      <c r="B686" s="1"/>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3">
      <c r="A687" s="1" t="s">
        <v>814</v>
      </c>
      <c r="B687" s="1"/>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3">
      <c r="A688" s="1" t="s">
        <v>815</v>
      </c>
      <c r="B688" s="1"/>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3">
      <c r="A689" s="1" t="s">
        <v>816</v>
      </c>
      <c r="B689" s="1"/>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3">
      <c r="A690" s="1" t="s">
        <v>817</v>
      </c>
      <c r="B690" s="1"/>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3">
      <c r="A691" s="1" t="s">
        <v>818</v>
      </c>
      <c r="B691" s="1"/>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3">
      <c r="A692" s="1" t="s">
        <v>819</v>
      </c>
      <c r="B692" s="1"/>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3">
      <c r="A693" s="1" t="s">
        <v>820</v>
      </c>
      <c r="B693" s="1"/>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3">
      <c r="A694" s="1" t="s">
        <v>821</v>
      </c>
      <c r="B694" s="1"/>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3">
      <c r="A695" s="1" t="s">
        <v>822</v>
      </c>
      <c r="B695" s="1"/>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3">
      <c r="A696" s="1" t="s">
        <v>823</v>
      </c>
      <c r="B696" s="1"/>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3">
      <c r="A697" s="1" t="s">
        <v>824</v>
      </c>
      <c r="B697" s="1"/>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3">
      <c r="A698" s="1" t="s">
        <v>825</v>
      </c>
      <c r="B698" s="1"/>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3">
      <c r="A699" s="1" t="s">
        <v>826</v>
      </c>
      <c r="B699" s="1"/>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3">
      <c r="A700" s="1" t="s">
        <v>827</v>
      </c>
      <c r="B700" s="1"/>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3">
      <c r="A701" s="1" t="s">
        <v>828</v>
      </c>
      <c r="B701" s="1"/>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3">
      <c r="A702" s="1" t="s">
        <v>829</v>
      </c>
      <c r="B702" s="1"/>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3">
      <c r="A703" s="1" t="s">
        <v>830</v>
      </c>
      <c r="B703" s="1"/>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3">
      <c r="A704" s="1" t="s">
        <v>831</v>
      </c>
      <c r="B704" s="1"/>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3">
      <c r="A705" s="1" t="s">
        <v>832</v>
      </c>
      <c r="B705" s="1"/>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3">
      <c r="A706" s="1" t="s">
        <v>833</v>
      </c>
      <c r="B706" s="1"/>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3">
      <c r="A707" s="1" t="s">
        <v>834</v>
      </c>
      <c r="B707" s="1"/>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3">
      <c r="A708" s="1" t="s">
        <v>835</v>
      </c>
      <c r="B708" s="1"/>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3">
      <c r="A709" s="1" t="s">
        <v>836</v>
      </c>
      <c r="B709" s="1"/>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3">
      <c r="A710" s="1" t="s">
        <v>837</v>
      </c>
      <c r="B710" s="1"/>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3">
      <c r="A711" s="1" t="s">
        <v>838</v>
      </c>
      <c r="B711" s="1"/>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3">
      <c r="A712" s="1" t="s">
        <v>839</v>
      </c>
      <c r="B712" s="1"/>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3">
      <c r="A713" s="1" t="s">
        <v>840</v>
      </c>
      <c r="B713" s="1"/>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3">
      <c r="A714" s="1" t="s">
        <v>841</v>
      </c>
      <c r="B714" s="1"/>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3">
      <c r="A715" s="1" t="s">
        <v>842</v>
      </c>
      <c r="B715" s="1"/>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3">
      <c r="A716" s="1" t="s">
        <v>843</v>
      </c>
      <c r="B716" s="1"/>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3">
      <c r="A717" s="1" t="s">
        <v>844</v>
      </c>
      <c r="B717" s="1"/>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3">
      <c r="A718" s="1" t="s">
        <v>845</v>
      </c>
      <c r="B718" s="1"/>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3">
      <c r="A719" s="1" t="s">
        <v>846</v>
      </c>
      <c r="B719" s="1"/>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3">
      <c r="A720" s="1" t="s">
        <v>847</v>
      </c>
      <c r="B720" s="1"/>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3">
      <c r="A721" s="1" t="s">
        <v>848</v>
      </c>
      <c r="B721" s="1"/>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3">
      <c r="A722" s="1" t="s">
        <v>849</v>
      </c>
      <c r="B722" s="1"/>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3">
      <c r="A723" s="1" t="s">
        <v>850</v>
      </c>
      <c r="B723" s="1"/>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3">
      <c r="A724" s="1" t="s">
        <v>851</v>
      </c>
      <c r="B724" s="1"/>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3">
      <c r="A725" s="1" t="s">
        <v>852</v>
      </c>
      <c r="B725" s="1"/>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3">
      <c r="A726" s="1" t="s">
        <v>853</v>
      </c>
      <c r="B726" s="1"/>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3">
      <c r="A727" s="1" t="s">
        <v>854</v>
      </c>
      <c r="B727" s="1"/>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3">
      <c r="A728" s="1" t="s">
        <v>855</v>
      </c>
      <c r="B728" s="1"/>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3">
      <c r="A729" s="1" t="s">
        <v>856</v>
      </c>
      <c r="B729" s="1"/>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3">
      <c r="A730" s="1" t="s">
        <v>857</v>
      </c>
      <c r="B730" s="1"/>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3">
      <c r="A731" s="1" t="s">
        <v>858</v>
      </c>
      <c r="B731" s="1"/>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3">
      <c r="A732" s="1" t="s">
        <v>859</v>
      </c>
      <c r="B732" s="1"/>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3">
      <c r="A733" s="1" t="s">
        <v>860</v>
      </c>
      <c r="B733" s="1"/>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3">
      <c r="A734" s="1" t="s">
        <v>861</v>
      </c>
      <c r="B734" s="1"/>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3">
      <c r="A735" s="1" t="s">
        <v>862</v>
      </c>
      <c r="B735" s="1"/>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3">
      <c r="A736" s="1" t="s">
        <v>863</v>
      </c>
      <c r="B736" s="1"/>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3">
      <c r="A737" s="1" t="s">
        <v>864</v>
      </c>
      <c r="B737" s="1"/>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3">
      <c r="A738" s="1" t="s">
        <v>865</v>
      </c>
      <c r="B738" s="1"/>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3">
      <c r="A739" s="1" t="s">
        <v>866</v>
      </c>
      <c r="B739" s="1"/>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3">
      <c r="A740" s="1" t="s">
        <v>867</v>
      </c>
      <c r="B740" s="1"/>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3">
      <c r="A741" s="1" t="s">
        <v>868</v>
      </c>
      <c r="B741" s="1"/>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3">
      <c r="A742" s="1" t="s">
        <v>869</v>
      </c>
      <c r="B742" s="1"/>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3">
      <c r="A743" s="1" t="s">
        <v>870</v>
      </c>
      <c r="B743" s="1"/>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3">
      <c r="A744" s="1" t="s">
        <v>871</v>
      </c>
      <c r="B744" s="1"/>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3">
      <c r="A745" s="1" t="s">
        <v>872</v>
      </c>
      <c r="B745" s="1"/>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3">
      <c r="A746" s="1" t="s">
        <v>873</v>
      </c>
      <c r="B746" s="1"/>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3">
      <c r="A747" s="1" t="s">
        <v>874</v>
      </c>
      <c r="B747" s="1"/>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3">
      <c r="A748" s="1" t="s">
        <v>875</v>
      </c>
      <c r="B748" s="1"/>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3">
      <c r="A749" s="1" t="s">
        <v>876</v>
      </c>
      <c r="B749" s="1"/>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3">
      <c r="A750" s="1" t="s">
        <v>877</v>
      </c>
      <c r="B750" s="1"/>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3">
      <c r="A751" s="1" t="s">
        <v>878</v>
      </c>
      <c r="B751" s="1"/>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3">
      <c r="A752" s="1" t="s">
        <v>879</v>
      </c>
      <c r="B752" s="1"/>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3">
      <c r="A753" s="1" t="s">
        <v>880</v>
      </c>
      <c r="B753" s="1"/>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3">
      <c r="A754" s="1" t="s">
        <v>881</v>
      </c>
      <c r="B754" s="1"/>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3">
      <c r="A755" s="1" t="s">
        <v>882</v>
      </c>
      <c r="B755" s="1"/>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3">
      <c r="A756" s="1" t="s">
        <v>883</v>
      </c>
      <c r="B756" s="1"/>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3">
      <c r="A757" s="1" t="s">
        <v>884</v>
      </c>
      <c r="B757" s="1"/>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3">
      <c r="A758" s="1" t="s">
        <v>885</v>
      </c>
      <c r="B758" s="1"/>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3">
      <c r="A759" s="1" t="s">
        <v>886</v>
      </c>
      <c r="B759" s="1"/>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3">
      <c r="A760" s="1" t="s">
        <v>887</v>
      </c>
      <c r="B760" s="1"/>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3">
      <c r="A761" s="1" t="s">
        <v>888</v>
      </c>
      <c r="B761" s="1"/>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3">
      <c r="A762" s="1" t="s">
        <v>889</v>
      </c>
      <c r="B762" s="1"/>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3">
      <c r="A763" s="1" t="s">
        <v>890</v>
      </c>
      <c r="B763" s="1"/>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3">
      <c r="A764" s="1" t="s">
        <v>891</v>
      </c>
      <c r="B764" s="1"/>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3">
      <c r="A765" s="1" t="s">
        <v>892</v>
      </c>
      <c r="B765" s="1"/>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3">
      <c r="A766" s="1" t="s">
        <v>893</v>
      </c>
      <c r="B766" s="1"/>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3">
      <c r="A767" s="1" t="s">
        <v>894</v>
      </c>
      <c r="B767" s="1"/>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3">
      <c r="A768" s="1" t="s">
        <v>895</v>
      </c>
      <c r="B768" s="1"/>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3">
      <c r="A769" s="1" t="s">
        <v>896</v>
      </c>
      <c r="B769" s="1"/>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3">
      <c r="A770" s="1"/>
      <c r="B770" s="1"/>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C1" workbookViewId="0">
      <selection activeCell="C1" sqref="A1:XFD1048576"/>
    </sheetView>
  </sheetViews>
  <sheetFormatPr defaultColWidth="12.6640625" defaultRowHeight="15" customHeight="1" x14ac:dyDescent="0.3"/>
  <cols>
    <col min="1" max="1" width="34" customWidth="1"/>
    <col min="2" max="2" width="3.1640625" customWidth="1"/>
    <col min="3" max="3" width="17.4140625" customWidth="1"/>
    <col min="4" max="4" width="7.6640625" customWidth="1"/>
    <col min="5" max="6" width="4.25" customWidth="1"/>
    <col min="7" max="7" width="24.1640625" customWidth="1"/>
    <col min="8" max="9" width="14.9140625" customWidth="1"/>
    <col min="10" max="10" width="30.4140625" customWidth="1"/>
    <col min="11" max="14" width="9.4140625" customWidth="1"/>
    <col min="15" max="26" width="7.6640625" customWidth="1"/>
  </cols>
  <sheetData>
    <row r="1" spans="1:26" ht="31.5" customHeight="1" x14ac:dyDescent="0.3">
      <c r="A1" s="4" t="s">
        <v>0</v>
      </c>
      <c r="B1" s="4" t="s">
        <v>17</v>
      </c>
      <c r="C1" s="4" t="s">
        <v>20</v>
      </c>
      <c r="D1" s="4" t="s">
        <v>22</v>
      </c>
      <c r="E1" s="4" t="s">
        <v>24</v>
      </c>
      <c r="F1" s="4" t="s">
        <v>27</v>
      </c>
      <c r="G1" s="4" t="s">
        <v>30</v>
      </c>
      <c r="H1" s="4"/>
      <c r="I1" s="5"/>
      <c r="J1" s="6"/>
      <c r="K1" s="4"/>
      <c r="L1" s="4"/>
      <c r="M1" s="4"/>
      <c r="N1" s="4"/>
      <c r="O1" s="4"/>
      <c r="P1" s="4"/>
      <c r="Q1" s="4"/>
      <c r="R1" s="4"/>
      <c r="S1" s="4"/>
      <c r="T1" s="4"/>
      <c r="U1" s="4"/>
      <c r="V1" s="4"/>
      <c r="W1" s="4"/>
      <c r="X1" s="4"/>
      <c r="Y1" s="4"/>
      <c r="Z1" s="4"/>
    </row>
    <row r="2" spans="1:26" ht="17.25" customHeight="1" x14ac:dyDescent="0.3">
      <c r="A2" s="7" t="s">
        <v>11</v>
      </c>
      <c r="B2" s="7"/>
      <c r="C2" s="8"/>
      <c r="D2" s="8"/>
      <c r="E2" s="7"/>
      <c r="F2" s="7"/>
      <c r="G2" s="8"/>
      <c r="H2" s="7"/>
      <c r="I2" s="7"/>
      <c r="J2" s="7"/>
      <c r="K2" s="7"/>
      <c r="L2" s="7"/>
      <c r="M2" s="7"/>
      <c r="N2" s="7"/>
      <c r="O2" s="7"/>
      <c r="P2" s="7"/>
      <c r="Q2" s="7"/>
      <c r="R2" s="7"/>
      <c r="S2" s="7"/>
      <c r="T2" s="7"/>
      <c r="U2" s="7"/>
      <c r="V2" s="7"/>
      <c r="W2" s="7"/>
      <c r="X2" s="7"/>
      <c r="Y2" s="7"/>
      <c r="Z2" s="7"/>
    </row>
    <row r="3" spans="1:26" ht="17.25" customHeight="1" x14ac:dyDescent="0.3">
      <c r="A3" s="7" t="s">
        <v>28</v>
      </c>
      <c r="B3" s="7"/>
      <c r="C3" s="8"/>
      <c r="D3" s="8"/>
      <c r="E3" s="7"/>
      <c r="F3" s="7"/>
      <c r="G3" s="8"/>
      <c r="H3" s="7"/>
      <c r="I3" s="7"/>
      <c r="J3" s="7"/>
      <c r="K3" s="7"/>
      <c r="L3" s="7"/>
      <c r="M3" s="7"/>
      <c r="N3" s="7"/>
      <c r="O3" s="7"/>
      <c r="P3" s="7"/>
      <c r="Q3" s="7"/>
      <c r="R3" s="7"/>
      <c r="S3" s="7"/>
      <c r="T3" s="7"/>
      <c r="U3" s="7"/>
      <c r="V3" s="7"/>
      <c r="W3" s="7"/>
      <c r="X3" s="7"/>
      <c r="Y3" s="7"/>
      <c r="Z3" s="7"/>
    </row>
    <row r="4" spans="1:26" ht="17.25" customHeight="1" x14ac:dyDescent="0.3">
      <c r="A4" s="9" t="s">
        <v>136</v>
      </c>
      <c r="B4" s="10">
        <f t="shared" ref="B4:B896" si="0">FIND("(",A4)</f>
        <v>44</v>
      </c>
      <c r="C4" s="8" t="str">
        <f t="shared" ref="C4:C896" si="1">LEFT(A4,B4-1)</f>
        <v xml:space="preserve">Pereira R.C.S., Dinis M.A.P., Gouveia L.B. </v>
      </c>
      <c r="D4" s="8" t="str">
        <f t="shared" ref="D4:D896" si="2">MID(A4,B4+1,4)</f>
        <v>2020</v>
      </c>
      <c r="E4" s="10">
        <f t="shared" ref="E4:E896" si="3">FIND(").",A4)</f>
        <v>49</v>
      </c>
      <c r="F4" s="10">
        <f t="shared" ref="F4:F896" si="4">FIND(".",A4,E4+2)</f>
        <v>104</v>
      </c>
      <c r="G4" s="8" t="str">
        <f t="shared" ref="G4:G896" si="5">MID(A4,E4+2,F4-E4)</f>
        <v xml:space="preserve"> The Use of Mobile Devices in Environmental Education. </v>
      </c>
      <c r="H4" s="10" t="str">
        <f t="shared" ref="H4:H896" si="6">SUBSTITUTE(C4,"and",";")</f>
        <v xml:space="preserve">Pereira R.C.S., Dinis M.A.P., Gouveia L.B. </v>
      </c>
      <c r="I4" s="10" t="str">
        <f t="shared" ref="I4:I896" si="7">SUBSTITUTE(H4,".,",".;")</f>
        <v xml:space="preserve">Pereira R.C.S.; Dinis M.A.P.; Gouveia L.B. </v>
      </c>
      <c r="J4" s="10" t="str">
        <f t="shared" ref="J4:J896" si="8">SUBSTITUTE(I4," e ",";")</f>
        <v xml:space="preserve">Pereira R.C.S.; Dinis M.A.P.; Gouveia L.B. </v>
      </c>
      <c r="K4" s="11" t="str">
        <f ca="1">IFERROR(__xludf.DUMMYFUNCTION("SPLIT(J4,"";"")"),"Pereira R.C.S.")</f>
        <v>Pereira R.C.S.</v>
      </c>
      <c r="L4" s="10" t="str">
        <f ca="1">IFERROR(__xludf.DUMMYFUNCTION("""COMPUTED_VALUE""")," Dinis M.A.P.")</f>
        <v xml:space="preserve"> Dinis M.A.P.</v>
      </c>
      <c r="M4" s="10" t="str">
        <f ca="1">IFERROR(__xludf.DUMMYFUNCTION("""COMPUTED_VALUE""")," Gouveia L.B. ")</f>
        <v xml:space="preserve"> Gouveia L.B. </v>
      </c>
      <c r="N4" s="10"/>
      <c r="O4" s="10"/>
      <c r="P4" s="10"/>
      <c r="Q4" s="10"/>
      <c r="R4" s="10"/>
      <c r="S4" s="10"/>
      <c r="T4" s="10"/>
      <c r="U4" s="10"/>
      <c r="V4" s="10"/>
      <c r="W4" s="10"/>
      <c r="X4" s="10"/>
      <c r="Y4" s="10"/>
      <c r="Z4" s="10"/>
    </row>
    <row r="5" spans="1:26" ht="17.25" customHeight="1" x14ac:dyDescent="0.3">
      <c r="A5" s="10" t="s">
        <v>46</v>
      </c>
      <c r="B5" s="10">
        <f t="shared" si="0"/>
        <v>56</v>
      </c>
      <c r="C5" s="8" t="str">
        <f t="shared" si="1"/>
        <v xml:space="preserve">Martins, E.; Geraldes, B.; Afonseca, R.; e Gouveia, L. </v>
      </c>
      <c r="D5" s="8" t="str">
        <f t="shared" si="2"/>
        <v>2019</v>
      </c>
      <c r="E5" s="10">
        <f t="shared" si="3"/>
        <v>61</v>
      </c>
      <c r="F5" s="10">
        <f t="shared" si="4"/>
        <v>95</v>
      </c>
      <c r="G5" s="8" t="str">
        <f t="shared" si="5"/>
        <v xml:space="preserve"> Using Kahoot as a Learning Tool. </v>
      </c>
      <c r="H5" s="10" t="str">
        <f t="shared" si="6"/>
        <v xml:space="preserve">Martins, E.; Geraldes, B.; Afonseca, R.; e Gouveia, L. </v>
      </c>
      <c r="I5" s="10" t="str">
        <f t="shared" si="7"/>
        <v xml:space="preserve">Martins, E.; Geraldes, B.; Afonseca, R.; e Gouveia, L. </v>
      </c>
      <c r="J5" s="10" t="str">
        <f t="shared" si="8"/>
        <v xml:space="preserve">Martins, E.; Geraldes, B.; Afonseca, R.;;Gouveia, L. </v>
      </c>
      <c r="K5" s="11" t="str">
        <f ca="1">IFERROR(__xludf.DUMMYFUNCTION("SPLIT(J5,"";"")"),"Martins, E.")</f>
        <v>Martins, E.</v>
      </c>
      <c r="L5" s="10" t="str">
        <f ca="1">IFERROR(__xludf.DUMMYFUNCTION("""COMPUTED_VALUE""")," Geraldes, B.")</f>
        <v xml:space="preserve"> Geraldes, B.</v>
      </c>
      <c r="M5" s="10" t="str">
        <f ca="1">IFERROR(__xludf.DUMMYFUNCTION("""COMPUTED_VALUE""")," Afonseca, R.")</f>
        <v xml:space="preserve"> Afonseca, R.</v>
      </c>
      <c r="N5" s="10" t="str">
        <f ca="1">IFERROR(__xludf.DUMMYFUNCTION("""COMPUTED_VALUE"""),"Gouveia, L. ")</f>
        <v xml:space="preserve">Gouveia, L. </v>
      </c>
      <c r="O5" s="10"/>
      <c r="P5" s="10"/>
      <c r="Q5" s="10"/>
      <c r="R5" s="10"/>
      <c r="S5" s="10"/>
      <c r="T5" s="10"/>
      <c r="U5" s="10"/>
      <c r="V5" s="10"/>
      <c r="W5" s="10"/>
      <c r="X5" s="10"/>
      <c r="Y5" s="10"/>
      <c r="Z5" s="10"/>
    </row>
    <row r="6" spans="1:26" ht="17.25" customHeight="1" x14ac:dyDescent="0.3">
      <c r="A6" s="10" t="s">
        <v>57</v>
      </c>
      <c r="B6" s="10">
        <f t="shared" si="0"/>
        <v>29</v>
      </c>
      <c r="C6" s="8" t="str">
        <f t="shared" si="1"/>
        <v xml:space="preserve">Quental, C. and Gouveia, L. </v>
      </c>
      <c r="D6" s="8" t="str">
        <f t="shared" si="2"/>
        <v>2018</v>
      </c>
      <c r="E6" s="10">
        <f t="shared" si="3"/>
        <v>34</v>
      </c>
      <c r="F6" s="10">
        <f t="shared" si="4"/>
        <v>127</v>
      </c>
      <c r="G6" s="8" t="str">
        <f t="shared" si="5"/>
        <v xml:space="preserve"> Participation Sphere: A Model and a Framework for Fostering Participation in Organizations. </v>
      </c>
      <c r="H6" s="10" t="str">
        <f t="shared" si="6"/>
        <v xml:space="preserve">Quental, C. ; Gouveia, L. </v>
      </c>
      <c r="I6" s="10" t="str">
        <f t="shared" si="7"/>
        <v xml:space="preserve">Quental, C. ; Gouveia, L. </v>
      </c>
      <c r="J6" s="10" t="str">
        <f t="shared" si="8"/>
        <v xml:space="preserve">Quental, C. ; Gouveia, L. </v>
      </c>
      <c r="K6" s="11" t="str">
        <f ca="1">IFERROR(__xludf.DUMMYFUNCTION("SPLIT(J6,"";"")"),"Quental, C. ")</f>
        <v xml:space="preserve">Quental, C. </v>
      </c>
      <c r="L6" s="10" t="str">
        <f ca="1">IFERROR(__xludf.DUMMYFUNCTION("""COMPUTED_VALUE""")," Gouveia, L. ")</f>
        <v xml:space="preserve"> Gouveia, L. </v>
      </c>
      <c r="M6" s="10"/>
      <c r="N6" s="10"/>
      <c r="O6" s="10"/>
      <c r="P6" s="10"/>
      <c r="Q6" s="10"/>
      <c r="R6" s="10"/>
      <c r="S6" s="10"/>
      <c r="T6" s="10"/>
      <c r="U6" s="10"/>
      <c r="V6" s="10"/>
      <c r="W6" s="10"/>
      <c r="X6" s="10"/>
      <c r="Y6" s="10"/>
      <c r="Z6" s="10"/>
    </row>
    <row r="7" spans="1:26" ht="17.25" customHeight="1" x14ac:dyDescent="0.3">
      <c r="A7" s="10" t="s">
        <v>68</v>
      </c>
      <c r="B7" s="10">
        <f t="shared" si="0"/>
        <v>29</v>
      </c>
      <c r="C7" s="8" t="str">
        <f t="shared" si="1"/>
        <v xml:space="preserve">Quental, C. and Gouveia, L. </v>
      </c>
      <c r="D7" s="8" t="str">
        <f t="shared" si="2"/>
        <v>2018</v>
      </c>
      <c r="E7" s="10">
        <f t="shared" si="3"/>
        <v>34</v>
      </c>
      <c r="F7" s="10">
        <f t="shared" si="4"/>
        <v>99</v>
      </c>
      <c r="G7" s="8" t="str">
        <f t="shared" si="5"/>
        <v xml:space="preserve"> E-consultation as a Tool for Participation in teachers' Unions. </v>
      </c>
      <c r="H7" s="10" t="str">
        <f t="shared" si="6"/>
        <v xml:space="preserve">Quental, C. ; Gouveia, L. </v>
      </c>
      <c r="I7" s="10" t="str">
        <f t="shared" si="7"/>
        <v xml:space="preserve">Quental, C. ; Gouveia, L. </v>
      </c>
      <c r="J7" s="10" t="str">
        <f t="shared" si="8"/>
        <v xml:space="preserve">Quental, C. ; Gouveia, L. </v>
      </c>
      <c r="K7" s="11" t="str">
        <f ca="1">IFERROR(__xludf.DUMMYFUNCTION("SPLIT(J7,"";"")"),"Quental, C. ")</f>
        <v xml:space="preserve">Quental, C. </v>
      </c>
      <c r="L7" s="10" t="str">
        <f ca="1">IFERROR(__xludf.DUMMYFUNCTION("""COMPUTED_VALUE""")," Gouveia, L. ")</f>
        <v xml:space="preserve"> Gouveia, L. </v>
      </c>
      <c r="M7" s="10"/>
      <c r="N7" s="10"/>
      <c r="O7" s="10"/>
      <c r="P7" s="10"/>
      <c r="Q7" s="10"/>
      <c r="R7" s="10"/>
      <c r="S7" s="10"/>
      <c r="T7" s="10"/>
      <c r="U7" s="10"/>
      <c r="V7" s="10"/>
      <c r="W7" s="10"/>
      <c r="X7" s="10"/>
      <c r="Y7" s="10"/>
      <c r="Z7" s="10"/>
    </row>
    <row r="8" spans="1:26" ht="17.25" customHeight="1" x14ac:dyDescent="0.3">
      <c r="A8" s="10" t="s">
        <v>79</v>
      </c>
      <c r="B8" s="10">
        <f t="shared" si="0"/>
        <v>27</v>
      </c>
      <c r="C8" s="8" t="str">
        <f t="shared" si="1"/>
        <v xml:space="preserve">Abrantes, S.; Gouveia, L. </v>
      </c>
      <c r="D8" s="8" t="str">
        <f t="shared" si="2"/>
        <v>2014</v>
      </c>
      <c r="E8" s="10">
        <f t="shared" si="3"/>
        <v>32</v>
      </c>
      <c r="F8" s="10">
        <f t="shared" si="4"/>
        <v>111</v>
      </c>
      <c r="G8" s="8" t="str">
        <f t="shared" si="5"/>
        <v xml:space="preserve"> A adopção e difusão de práticas de m-learning no contexto do ensino superior. </v>
      </c>
      <c r="H8" s="10" t="str">
        <f t="shared" si="6"/>
        <v xml:space="preserve">Abrantes, S.; Gouveia, L. </v>
      </c>
      <c r="I8" s="10" t="str">
        <f t="shared" si="7"/>
        <v xml:space="preserve">Abrantes, S.; Gouveia, L. </v>
      </c>
      <c r="J8" s="10" t="str">
        <f t="shared" si="8"/>
        <v xml:space="preserve">Abrantes, S.; Gouveia, L. </v>
      </c>
      <c r="K8" s="11" t="str">
        <f ca="1">IFERROR(__xludf.DUMMYFUNCTION("SPLIT(J8,"";"")"),"Abrantes, S.")</f>
        <v>Abrantes, S.</v>
      </c>
      <c r="L8" s="10" t="str">
        <f ca="1">IFERROR(__xludf.DUMMYFUNCTION("""COMPUTED_VALUE""")," Gouveia, L. ")</f>
        <v xml:space="preserve"> Gouveia, L. </v>
      </c>
      <c r="M8" s="10"/>
      <c r="N8" s="10"/>
      <c r="O8" s="10"/>
      <c r="P8" s="10"/>
      <c r="Q8" s="10"/>
      <c r="R8" s="10"/>
      <c r="S8" s="10"/>
      <c r="T8" s="10"/>
      <c r="U8" s="10"/>
      <c r="V8" s="10"/>
      <c r="W8" s="10"/>
      <c r="X8" s="10"/>
      <c r="Y8" s="10"/>
      <c r="Z8" s="10"/>
    </row>
    <row r="9" spans="1:26" ht="17.25" customHeight="1" x14ac:dyDescent="0.3">
      <c r="A9" s="10" t="s">
        <v>92</v>
      </c>
      <c r="B9" s="10">
        <f t="shared" si="0"/>
        <v>25</v>
      </c>
      <c r="C9" s="8" t="str">
        <f t="shared" si="1"/>
        <v xml:space="preserve">Simões, L.; Gouveia, L. </v>
      </c>
      <c r="D9" s="8" t="str">
        <f t="shared" si="2"/>
        <v>2014</v>
      </c>
      <c r="E9" s="10">
        <f t="shared" si="3"/>
        <v>30</v>
      </c>
      <c r="F9" s="10">
        <f t="shared" si="4"/>
        <v>80</v>
      </c>
      <c r="G9" s="8" t="str">
        <f t="shared" si="5"/>
        <v xml:space="preserve"> Estudo exploratório sobre a utilização de Web 2.0</v>
      </c>
      <c r="H9" s="10" t="str">
        <f t="shared" si="6"/>
        <v xml:space="preserve">Simões, L.; Gouveia, L. </v>
      </c>
      <c r="I9" s="10" t="str">
        <f t="shared" si="7"/>
        <v xml:space="preserve">Simões, L.; Gouveia, L. </v>
      </c>
      <c r="J9" s="10" t="str">
        <f t="shared" si="8"/>
        <v xml:space="preserve">Simões, L.; Gouveia, L. </v>
      </c>
      <c r="K9" s="11" t="str">
        <f ca="1">IFERROR(__xludf.DUMMYFUNCTION("SPLIT(J9,"";"")"),"Simões, L.")</f>
        <v>Simões, L.</v>
      </c>
      <c r="L9" s="10" t="str">
        <f ca="1">IFERROR(__xludf.DUMMYFUNCTION("""COMPUTED_VALUE""")," Gouveia, L. ")</f>
        <v xml:space="preserve"> Gouveia, L. </v>
      </c>
      <c r="M9" s="10"/>
      <c r="N9" s="10"/>
      <c r="O9" s="10"/>
      <c r="P9" s="10"/>
      <c r="Q9" s="10"/>
      <c r="R9" s="10"/>
      <c r="S9" s="10"/>
      <c r="T9" s="10"/>
      <c r="U9" s="10"/>
      <c r="V9" s="10"/>
      <c r="W9" s="10"/>
      <c r="X9" s="10"/>
      <c r="Y9" s="10"/>
      <c r="Z9" s="10"/>
    </row>
    <row r="10" spans="1:26" ht="17.25" customHeight="1" x14ac:dyDescent="0.3">
      <c r="A10" s="10" t="s">
        <v>102</v>
      </c>
      <c r="B10" s="10">
        <f t="shared" si="0"/>
        <v>24</v>
      </c>
      <c r="C10" s="8" t="str">
        <f t="shared" si="1"/>
        <v xml:space="preserve">Peres, P.; Gouveia, L. </v>
      </c>
      <c r="D10" s="8" t="str">
        <f t="shared" si="2"/>
        <v>2014</v>
      </c>
      <c r="E10" s="10">
        <f t="shared" si="3"/>
        <v>29</v>
      </c>
      <c r="F10" s="10">
        <f t="shared" si="4"/>
        <v>130</v>
      </c>
      <c r="G10" s="8" t="str">
        <f t="shared" si="5"/>
        <v xml:space="preserve"> Desenhando Percursos de Aprendizagem: contributos para a estruturação de iniciativas de b-learning. </v>
      </c>
      <c r="H10" s="10" t="str">
        <f t="shared" si="6"/>
        <v xml:space="preserve">Peres, P.; Gouveia, L. </v>
      </c>
      <c r="I10" s="10" t="str">
        <f t="shared" si="7"/>
        <v xml:space="preserve">Peres, P.; Gouveia, L. </v>
      </c>
      <c r="J10" s="10" t="str">
        <f t="shared" si="8"/>
        <v xml:space="preserve">Peres, P.; Gouveia, L. </v>
      </c>
      <c r="K10" s="11" t="str">
        <f ca="1">IFERROR(__xludf.DUMMYFUNCTION("SPLIT(J10,"";"")"),"Peres, P.")</f>
        <v>Peres, P.</v>
      </c>
      <c r="L10" s="10" t="str">
        <f ca="1">IFERROR(__xludf.DUMMYFUNCTION("""COMPUTED_VALUE""")," Gouveia, L. ")</f>
        <v xml:space="preserve"> Gouveia, L. </v>
      </c>
      <c r="M10" s="10"/>
      <c r="N10" s="10"/>
      <c r="O10" s="10"/>
      <c r="P10" s="10"/>
      <c r="Q10" s="10"/>
      <c r="R10" s="10"/>
      <c r="S10" s="10"/>
      <c r="T10" s="10"/>
      <c r="U10" s="10"/>
      <c r="V10" s="10"/>
      <c r="W10" s="10"/>
      <c r="X10" s="10"/>
      <c r="Y10" s="10"/>
      <c r="Z10" s="10"/>
    </row>
    <row r="11" spans="1:26" ht="17.25" customHeight="1" x14ac:dyDescent="0.3">
      <c r="A11" s="10" t="s">
        <v>111</v>
      </c>
      <c r="B11" s="10">
        <f t="shared" si="0"/>
        <v>39</v>
      </c>
      <c r="C11" s="8" t="str">
        <f t="shared" si="1"/>
        <v xml:space="preserve">Sousa, A.; Agante, P. and Gouveia, L. </v>
      </c>
      <c r="D11" s="8" t="str">
        <f t="shared" si="2"/>
        <v>2014</v>
      </c>
      <c r="E11" s="10">
        <f t="shared" si="3"/>
        <v>44</v>
      </c>
      <c r="F11" s="10">
        <f t="shared" si="4"/>
        <v>145</v>
      </c>
      <c r="G11" s="8" t="str">
        <f t="shared" si="5"/>
        <v xml:space="preserve"> Proposal for the Use of Digital Mediation for Public Direct Participation during Electoral Periods. </v>
      </c>
      <c r="H11" s="10" t="str">
        <f t="shared" si="6"/>
        <v xml:space="preserve">Sousa, A.; Agante, P. ; Gouveia, L. </v>
      </c>
      <c r="I11" s="10" t="str">
        <f t="shared" si="7"/>
        <v xml:space="preserve">Sousa, A.; Agante, P. ; Gouveia, L. </v>
      </c>
      <c r="J11" s="10" t="str">
        <f t="shared" si="8"/>
        <v xml:space="preserve">Sousa, A.; Agante, P. ; Gouveia, L. </v>
      </c>
      <c r="K11" s="11" t="str">
        <f ca="1">IFERROR(__xludf.DUMMYFUNCTION("SPLIT(J11,"";"")"),"Sousa, A.")</f>
        <v>Sousa, A.</v>
      </c>
      <c r="L11" s="10" t="str">
        <f ca="1">IFERROR(__xludf.DUMMYFUNCTION("""COMPUTED_VALUE""")," Agante, P. ")</f>
        <v xml:space="preserve"> Agante, P. </v>
      </c>
      <c r="M11" s="10" t="str">
        <f ca="1">IFERROR(__xludf.DUMMYFUNCTION("""COMPUTED_VALUE""")," Gouveia, L. ")</f>
        <v xml:space="preserve"> Gouveia, L. </v>
      </c>
      <c r="N11" s="10"/>
      <c r="O11" s="10"/>
      <c r="P11" s="10"/>
      <c r="Q11" s="10"/>
      <c r="R11" s="10"/>
      <c r="S11" s="10"/>
      <c r="T11" s="10"/>
      <c r="U11" s="10"/>
      <c r="V11" s="10"/>
      <c r="W11" s="10"/>
      <c r="X11" s="10"/>
      <c r="Y11" s="10"/>
      <c r="Z11" s="10"/>
    </row>
    <row r="12" spans="1:26" ht="17.25" customHeight="1" x14ac:dyDescent="0.3">
      <c r="A12" s="10" t="s">
        <v>122</v>
      </c>
      <c r="B12" s="10">
        <f t="shared" si="0"/>
        <v>35</v>
      </c>
      <c r="C12" s="8" t="str">
        <f t="shared" si="1"/>
        <v xml:space="preserve">Abrantes, S. L., &amp; Gouveia, L. B. </v>
      </c>
      <c r="D12" s="8" t="str">
        <f t="shared" si="2"/>
        <v>2014</v>
      </c>
      <c r="E12" s="10">
        <f t="shared" si="3"/>
        <v>40</v>
      </c>
      <c r="F12" s="10">
        <f t="shared" si="4"/>
        <v>113</v>
      </c>
      <c r="G12" s="8" t="str">
        <f t="shared" si="5"/>
        <v xml:space="preserve"> Using Games for Primary School: Assessing its Use with Flow Experience. </v>
      </c>
      <c r="H12" s="10" t="str">
        <f t="shared" si="6"/>
        <v xml:space="preserve">Abrantes, S. L., &amp; Gouveia, L. B. </v>
      </c>
      <c r="I12" s="10" t="str">
        <f t="shared" si="7"/>
        <v xml:space="preserve">Abrantes, S. L.; &amp; Gouveia, L. B. </v>
      </c>
      <c r="J12" s="10" t="str">
        <f t="shared" si="8"/>
        <v xml:space="preserve">Abrantes, S. L.; &amp; Gouveia, L. B. </v>
      </c>
      <c r="K12" s="11" t="str">
        <f ca="1">IFERROR(__xludf.DUMMYFUNCTION("SPLIT(J12,"";"")"),"Abrantes, S. L.")</f>
        <v>Abrantes, S. L.</v>
      </c>
      <c r="L12" s="10" t="str">
        <f ca="1">IFERROR(__xludf.DUMMYFUNCTION("""COMPUTED_VALUE""")," &amp; Gouveia, L. B. ")</f>
        <v xml:space="preserve"> &amp; Gouveia, L. B. </v>
      </c>
      <c r="M12" s="10"/>
      <c r="N12" s="10"/>
      <c r="O12" s="10"/>
      <c r="P12" s="10"/>
      <c r="Q12" s="10"/>
      <c r="R12" s="10"/>
      <c r="S12" s="10"/>
      <c r="T12" s="10"/>
      <c r="U12" s="10"/>
      <c r="V12" s="10"/>
      <c r="W12" s="10"/>
      <c r="X12" s="10"/>
      <c r="Y12" s="10"/>
      <c r="Z12" s="10"/>
    </row>
    <row r="13" spans="1:26" ht="17.25" customHeight="1" x14ac:dyDescent="0.3">
      <c r="A13" s="10" t="s">
        <v>134</v>
      </c>
      <c r="B13" s="10">
        <f t="shared" si="0"/>
        <v>39</v>
      </c>
      <c r="C13" s="8" t="str">
        <f t="shared" si="1"/>
        <v xml:space="preserve">Sousa, A.; Agante, P. and Gouveia, L. </v>
      </c>
      <c r="D13" s="8" t="str">
        <f t="shared" si="2"/>
        <v>2012</v>
      </c>
      <c r="E13" s="10">
        <f t="shared" si="3"/>
        <v>44</v>
      </c>
      <c r="F13" s="10">
        <f t="shared" si="4"/>
        <v>107</v>
      </c>
      <c r="G13" s="8" t="str">
        <f t="shared" si="5"/>
        <v xml:space="preserve"> A Worked Proposal on eParticipation for State Wide Elections. </v>
      </c>
      <c r="H13" s="10" t="str">
        <f t="shared" si="6"/>
        <v xml:space="preserve">Sousa, A.; Agante, P. ; Gouveia, L. </v>
      </c>
      <c r="I13" s="10" t="str">
        <f t="shared" si="7"/>
        <v xml:space="preserve">Sousa, A.; Agante, P. ; Gouveia, L. </v>
      </c>
      <c r="J13" s="10" t="str">
        <f t="shared" si="8"/>
        <v xml:space="preserve">Sousa, A.; Agante, P. ; Gouveia, L. </v>
      </c>
      <c r="K13" s="11" t="str">
        <f ca="1">IFERROR(__xludf.DUMMYFUNCTION("SPLIT(J13,"";"")"),"Sousa, A.")</f>
        <v>Sousa, A.</v>
      </c>
      <c r="L13" s="10" t="str">
        <f ca="1">IFERROR(__xludf.DUMMYFUNCTION("""COMPUTED_VALUE""")," Agante, P. ")</f>
        <v xml:space="preserve"> Agante, P. </v>
      </c>
      <c r="M13" s="10" t="str">
        <f ca="1">IFERROR(__xludf.DUMMYFUNCTION("""COMPUTED_VALUE""")," Gouveia, L. ")</f>
        <v xml:space="preserve"> Gouveia, L. </v>
      </c>
      <c r="N13" s="10"/>
      <c r="O13" s="10"/>
      <c r="P13" s="10"/>
      <c r="Q13" s="10"/>
      <c r="R13" s="10"/>
      <c r="S13" s="10"/>
      <c r="T13" s="10"/>
      <c r="U13" s="10"/>
      <c r="V13" s="10"/>
      <c r="W13" s="10"/>
      <c r="X13" s="10"/>
      <c r="Y13" s="10"/>
      <c r="Z13" s="10"/>
    </row>
    <row r="14" spans="1:26" ht="17.25" customHeight="1" x14ac:dyDescent="0.3">
      <c r="A14" s="10" t="s">
        <v>148</v>
      </c>
      <c r="B14" s="10">
        <f t="shared" si="0"/>
        <v>30</v>
      </c>
      <c r="C14" s="8" t="str">
        <f t="shared" si="1"/>
        <v xml:space="preserve">Abrantes, S. and Gouveia, L. </v>
      </c>
      <c r="D14" s="8" t="str">
        <f t="shared" si="2"/>
        <v>2012</v>
      </c>
      <c r="E14" s="10">
        <f t="shared" si="3"/>
        <v>35</v>
      </c>
      <c r="F14" s="10">
        <f t="shared" si="4"/>
        <v>108</v>
      </c>
      <c r="G14" s="8" t="str">
        <f t="shared" si="5"/>
        <v xml:space="preserve"> Using Games for Primary School: Assessing its Use with Flow Experience. </v>
      </c>
      <c r="H14" s="10" t="str">
        <f t="shared" si="6"/>
        <v xml:space="preserve">Abrantes, S. ; Gouveia, L. </v>
      </c>
      <c r="I14" s="10" t="str">
        <f t="shared" si="7"/>
        <v xml:space="preserve">Abrantes, S. ; Gouveia, L. </v>
      </c>
      <c r="J14" s="10" t="str">
        <f t="shared" si="8"/>
        <v xml:space="preserve">Abrantes, S. ; Gouveia, L. </v>
      </c>
      <c r="K14" s="11" t="str">
        <f ca="1">IFERROR(__xludf.DUMMYFUNCTION("SPLIT(J14,"";"")"),"Abrantes, S. ")</f>
        <v xml:space="preserve">Abrantes, S. </v>
      </c>
      <c r="L14" s="10" t="str">
        <f ca="1">IFERROR(__xludf.DUMMYFUNCTION("""COMPUTED_VALUE""")," Gouveia, L. ")</f>
        <v xml:space="preserve"> Gouveia, L. </v>
      </c>
      <c r="M14" s="10"/>
      <c r="N14" s="10"/>
      <c r="O14" s="10"/>
      <c r="P14" s="10"/>
      <c r="Q14" s="10"/>
      <c r="R14" s="10"/>
      <c r="S14" s="10"/>
      <c r="T14" s="10"/>
      <c r="U14" s="10"/>
      <c r="V14" s="10"/>
      <c r="W14" s="10"/>
      <c r="X14" s="10"/>
      <c r="Y14" s="10"/>
      <c r="Z14" s="10"/>
    </row>
    <row r="15" spans="1:26" ht="17.25" customHeight="1" x14ac:dyDescent="0.3">
      <c r="A15" s="10" t="s">
        <v>149</v>
      </c>
      <c r="B15" s="10">
        <f t="shared" si="0"/>
        <v>37</v>
      </c>
      <c r="C15" s="8" t="str">
        <f t="shared" si="1"/>
        <v xml:space="preserve">Sousa, A; Agante, P and Gouveia, L. </v>
      </c>
      <c r="D15" s="8" t="str">
        <f t="shared" si="2"/>
        <v>2011</v>
      </c>
      <c r="E15" s="10">
        <f t="shared" si="3"/>
        <v>42</v>
      </c>
      <c r="F15" s="10">
        <f t="shared" si="4"/>
        <v>104</v>
      </c>
      <c r="G15" s="8" t="str">
        <f t="shared" si="5"/>
        <v xml:space="preserve"> iLeger: A Web Based Application for Participative Elections. </v>
      </c>
      <c r="H15" s="10" t="str">
        <f t="shared" si="6"/>
        <v xml:space="preserve">Sousa, A; Agante, P ; Gouveia, L. </v>
      </c>
      <c r="I15" s="10" t="str">
        <f t="shared" si="7"/>
        <v xml:space="preserve">Sousa, A; Agante, P ; Gouveia, L. </v>
      </c>
      <c r="J15" s="10" t="str">
        <f t="shared" si="8"/>
        <v xml:space="preserve">Sousa, A; Agante, P ; Gouveia, L. </v>
      </c>
      <c r="K15" s="11" t="str">
        <f ca="1">IFERROR(__xludf.DUMMYFUNCTION("SPLIT(J15,"";"")"),"Sousa, A")</f>
        <v>Sousa, A</v>
      </c>
      <c r="L15" s="10" t="str">
        <f ca="1">IFERROR(__xludf.DUMMYFUNCTION("""COMPUTED_VALUE""")," Agante, P ")</f>
        <v xml:space="preserve"> Agante, P </v>
      </c>
      <c r="M15" s="10" t="str">
        <f ca="1">IFERROR(__xludf.DUMMYFUNCTION("""COMPUTED_VALUE""")," Gouveia, L. ")</f>
        <v xml:space="preserve"> Gouveia, L. </v>
      </c>
      <c r="N15" s="10"/>
      <c r="O15" s="10"/>
      <c r="P15" s="10"/>
      <c r="Q15" s="10"/>
      <c r="R15" s="10"/>
      <c r="S15" s="10"/>
      <c r="T15" s="10"/>
      <c r="U15" s="10"/>
      <c r="V15" s="10"/>
      <c r="W15" s="10"/>
      <c r="X15" s="10"/>
      <c r="Y15" s="10"/>
      <c r="Z15" s="10"/>
    </row>
    <row r="16" spans="1:26" ht="17.25" customHeight="1" x14ac:dyDescent="0.3">
      <c r="A16" s="10" t="s">
        <v>150</v>
      </c>
      <c r="B16" s="10">
        <f t="shared" si="0"/>
        <v>27</v>
      </c>
      <c r="C16" s="8" t="str">
        <f t="shared" si="1"/>
        <v xml:space="preserve">Quental, C. e Gouveia, L. </v>
      </c>
      <c r="D16" s="8" t="str">
        <f t="shared" si="2"/>
        <v>2011</v>
      </c>
      <c r="E16" s="10">
        <f t="shared" si="3"/>
        <v>32</v>
      </c>
      <c r="F16" s="10">
        <f t="shared" si="4"/>
        <v>112</v>
      </c>
      <c r="G16" s="8" t="str">
        <f t="shared" si="5"/>
        <v xml:space="preserve"> Evaluation of a mobile platform to support collaborative learning: case study. </v>
      </c>
      <c r="H16" s="10" t="str">
        <f t="shared" si="6"/>
        <v xml:space="preserve">Quental, C. e Gouveia, L. </v>
      </c>
      <c r="I16" s="10" t="str">
        <f t="shared" si="7"/>
        <v xml:space="preserve">Quental, C. e Gouveia, L. </v>
      </c>
      <c r="J16" s="10" t="str">
        <f t="shared" si="8"/>
        <v xml:space="preserve">Quental, C.;Gouveia, L. </v>
      </c>
      <c r="K16" s="11" t="str">
        <f ca="1">IFERROR(__xludf.DUMMYFUNCTION("SPLIT(J16,"";"")"),"Quental, C.")</f>
        <v>Quental, C.</v>
      </c>
      <c r="L16" s="10" t="str">
        <f ca="1">IFERROR(__xludf.DUMMYFUNCTION("""COMPUTED_VALUE"""),"Gouveia, L. ")</f>
        <v xml:space="preserve">Gouveia, L. </v>
      </c>
      <c r="M16" s="10"/>
      <c r="N16" s="10"/>
      <c r="O16" s="10"/>
      <c r="P16" s="10"/>
      <c r="Q16" s="10"/>
      <c r="R16" s="10"/>
      <c r="S16" s="10"/>
      <c r="T16" s="10"/>
      <c r="U16" s="10"/>
      <c r="V16" s="10"/>
      <c r="W16" s="10"/>
      <c r="X16" s="10"/>
      <c r="Y16" s="10"/>
      <c r="Z16" s="10"/>
    </row>
    <row r="17" spans="1:26" ht="17.25" customHeight="1" x14ac:dyDescent="0.3">
      <c r="A17" s="10" t="s">
        <v>151</v>
      </c>
      <c r="B17" s="10">
        <f t="shared" si="0"/>
        <v>39</v>
      </c>
      <c r="C17" s="8" t="str">
        <f t="shared" si="1"/>
        <v xml:space="preserve">Sousa, A.; Agante, P. and Gouveia, L. </v>
      </c>
      <c r="D17" s="8" t="str">
        <f t="shared" si="2"/>
        <v>2010</v>
      </c>
      <c r="E17" s="10">
        <f t="shared" si="3"/>
        <v>44</v>
      </c>
      <c r="F17" s="10">
        <f t="shared" si="4"/>
        <v>93</v>
      </c>
      <c r="G17" s="8" t="str">
        <f t="shared" si="5"/>
        <v xml:space="preserve"> Governmeter: monitoring government performance. </v>
      </c>
      <c r="H17" s="10" t="str">
        <f t="shared" si="6"/>
        <v xml:space="preserve">Sousa, A.; Agante, P. ; Gouveia, L. </v>
      </c>
      <c r="I17" s="10" t="str">
        <f t="shared" si="7"/>
        <v xml:space="preserve">Sousa, A.; Agante, P. ; Gouveia, L. </v>
      </c>
      <c r="J17" s="10" t="str">
        <f t="shared" si="8"/>
        <v xml:space="preserve">Sousa, A.; Agante, P. ; Gouveia, L. </v>
      </c>
      <c r="K17" s="11" t="str">
        <f ca="1">IFERROR(__xludf.DUMMYFUNCTION("SPLIT(J17,"";"")"),"Sousa, A.")</f>
        <v>Sousa, A.</v>
      </c>
      <c r="L17" s="10" t="str">
        <f ca="1">IFERROR(__xludf.DUMMYFUNCTION("""COMPUTED_VALUE""")," Agante, P. ")</f>
        <v xml:space="preserve"> Agante, P. </v>
      </c>
      <c r="M17" s="10" t="str">
        <f ca="1">IFERROR(__xludf.DUMMYFUNCTION("""COMPUTED_VALUE""")," Gouveia, L. ")</f>
        <v xml:space="preserve"> Gouveia, L. </v>
      </c>
      <c r="N17" s="10"/>
      <c r="O17" s="10"/>
      <c r="P17" s="10"/>
      <c r="Q17" s="10"/>
      <c r="R17" s="10"/>
      <c r="S17" s="10"/>
      <c r="T17" s="10"/>
      <c r="U17" s="10"/>
      <c r="V17" s="10"/>
      <c r="W17" s="10"/>
      <c r="X17" s="10"/>
      <c r="Y17" s="10"/>
      <c r="Z17" s="10"/>
    </row>
    <row r="18" spans="1:26" ht="17.25" customHeight="1" x14ac:dyDescent="0.3">
      <c r="A18" s="10" t="s">
        <v>152</v>
      </c>
      <c r="B18" s="10">
        <f t="shared" si="0"/>
        <v>44</v>
      </c>
      <c r="C18" s="8" t="str">
        <f t="shared" si="1"/>
        <v xml:space="preserve">Fernandes, N.; Gouveia, F. and Gouveia, L. </v>
      </c>
      <c r="D18" s="8" t="str">
        <f t="shared" si="2"/>
        <v>2009</v>
      </c>
      <c r="E18" s="10">
        <f t="shared" si="3"/>
        <v>119</v>
      </c>
      <c r="F18" s="10">
        <f t="shared" si="4"/>
        <v>149</v>
      </c>
      <c r="G18" s="8" t="str">
        <f t="shared" si="5"/>
        <v xml:space="preserve"> Sakai Courseware Management. </v>
      </c>
      <c r="H18" s="10" t="str">
        <f t="shared" si="6"/>
        <v xml:space="preserve">Fern;es, N.; Gouveia, F. ; Gouveia, L. </v>
      </c>
      <c r="I18" s="10" t="str">
        <f t="shared" si="7"/>
        <v xml:space="preserve">Fern;es, N.; Gouveia, F. ; Gouveia, L. </v>
      </c>
      <c r="J18" s="10" t="str">
        <f t="shared" si="8"/>
        <v xml:space="preserve">Fern;es, N.; Gouveia, F. ; Gouveia, L. </v>
      </c>
      <c r="K18" s="11" t="str">
        <f ca="1">IFERROR(__xludf.DUMMYFUNCTION("SPLIT(J18,"";"")"),"Fern")</f>
        <v>Fern</v>
      </c>
      <c r="L18" s="10" t="str">
        <f ca="1">IFERROR(__xludf.DUMMYFUNCTION("""COMPUTED_VALUE"""),"es, N.")</f>
        <v>es, N.</v>
      </c>
      <c r="M18" s="10" t="str">
        <f ca="1">IFERROR(__xludf.DUMMYFUNCTION("""COMPUTED_VALUE""")," Gouveia, F. ")</f>
        <v xml:space="preserve"> Gouveia, F. </v>
      </c>
      <c r="N18" s="10" t="str">
        <f ca="1">IFERROR(__xludf.DUMMYFUNCTION("""COMPUTED_VALUE""")," Gouveia, L. ")</f>
        <v xml:space="preserve"> Gouveia, L. </v>
      </c>
      <c r="O18" s="10"/>
      <c r="P18" s="10"/>
      <c r="Q18" s="10"/>
      <c r="R18" s="10"/>
      <c r="S18" s="10"/>
      <c r="T18" s="10"/>
      <c r="U18" s="10"/>
      <c r="V18" s="10"/>
      <c r="W18" s="10"/>
      <c r="X18" s="10"/>
      <c r="Y18" s="10"/>
      <c r="Z18" s="10"/>
    </row>
    <row r="19" spans="1:26" ht="17.25" customHeight="1" x14ac:dyDescent="0.3">
      <c r="A19" s="10" t="s">
        <v>153</v>
      </c>
      <c r="B19" s="10">
        <f t="shared" si="0"/>
        <v>13</v>
      </c>
      <c r="C19" s="8" t="str">
        <f t="shared" si="1"/>
        <v xml:space="preserve">Gouveia, L. </v>
      </c>
      <c r="D19" s="8" t="str">
        <f t="shared" si="2"/>
        <v>2005</v>
      </c>
      <c r="E19" s="10">
        <f t="shared" si="3"/>
        <v>18</v>
      </c>
      <c r="F19" s="10">
        <f t="shared" si="4"/>
        <v>102</v>
      </c>
      <c r="G19" s="8" t="str">
        <f t="shared" si="5"/>
        <v xml:space="preserve"> Emergent Skills in Higher Education: The Quest for Emotion and Virtual University. </v>
      </c>
      <c r="H19" s="10" t="str">
        <f t="shared" si="6"/>
        <v xml:space="preserve">Gouveia, L. </v>
      </c>
      <c r="I19" s="10" t="str">
        <f t="shared" si="7"/>
        <v xml:space="preserve">Gouveia, L. </v>
      </c>
      <c r="J19" s="10" t="str">
        <f t="shared" si="8"/>
        <v xml:space="preserve">Gouveia, L. </v>
      </c>
      <c r="K19" s="11" t="str">
        <f ca="1">IFERROR(__xludf.DUMMYFUNCTION("SPLIT(J19,"";"")"),"Gouveia, L. ")</f>
        <v xml:space="preserve">Gouveia, L. </v>
      </c>
      <c r="L19" s="10"/>
      <c r="M19" s="10"/>
      <c r="N19" s="10"/>
      <c r="O19" s="10"/>
      <c r="P19" s="10"/>
      <c r="Q19" s="10"/>
      <c r="R19" s="10"/>
      <c r="S19" s="10"/>
      <c r="T19" s="10"/>
      <c r="U19" s="10"/>
      <c r="V19" s="10"/>
      <c r="W19" s="10"/>
      <c r="X19" s="10"/>
      <c r="Y19" s="10"/>
      <c r="Z19" s="10"/>
    </row>
    <row r="20" spans="1:26" ht="17.25" customHeight="1" x14ac:dyDescent="0.3">
      <c r="A20" s="10" t="s">
        <v>154</v>
      </c>
      <c r="B20" s="10">
        <f t="shared" si="0"/>
        <v>13</v>
      </c>
      <c r="C20" s="8" t="str">
        <f t="shared" si="1"/>
        <v xml:space="preserve">Gouveia, L. </v>
      </c>
      <c r="D20" s="8" t="str">
        <f t="shared" si="2"/>
        <v>2004</v>
      </c>
      <c r="E20" s="10">
        <f t="shared" si="3"/>
        <v>18</v>
      </c>
      <c r="F20" s="10">
        <f t="shared" si="4"/>
        <v>102</v>
      </c>
      <c r="G20" s="8" t="str">
        <f t="shared" si="5"/>
        <v xml:space="preserve"> Emergent skills in higher education: the quest for emotion and virtual university. </v>
      </c>
      <c r="H20" s="10" t="str">
        <f t="shared" si="6"/>
        <v xml:space="preserve">Gouveia, L. </v>
      </c>
      <c r="I20" s="10" t="str">
        <f t="shared" si="7"/>
        <v xml:space="preserve">Gouveia, L. </v>
      </c>
      <c r="J20" s="10" t="str">
        <f t="shared" si="8"/>
        <v xml:space="preserve">Gouveia, L. </v>
      </c>
      <c r="K20" s="11" t="str">
        <f ca="1">IFERROR(__xludf.DUMMYFUNCTION("SPLIT(J20,"";"")"),"Gouveia, L. ")</f>
        <v xml:space="preserve">Gouveia, L. </v>
      </c>
      <c r="L20" s="10"/>
      <c r="M20" s="10"/>
      <c r="N20" s="10"/>
      <c r="O20" s="10"/>
      <c r="P20" s="10"/>
      <c r="Q20" s="10"/>
      <c r="R20" s="10"/>
      <c r="S20" s="10"/>
      <c r="T20" s="10"/>
      <c r="U20" s="10"/>
      <c r="V20" s="10"/>
      <c r="W20" s="10"/>
      <c r="X20" s="10"/>
      <c r="Y20" s="10"/>
      <c r="Z20" s="10"/>
    </row>
    <row r="21" spans="1:26" ht="17.25" customHeight="1" x14ac:dyDescent="0.3">
      <c r="A21" s="10" t="s">
        <v>155</v>
      </c>
      <c r="B21" s="10">
        <f t="shared" si="0"/>
        <v>29</v>
      </c>
      <c r="C21" s="8" t="str">
        <f t="shared" si="1"/>
        <v xml:space="preserve">Gouveia, L. and Gouveia, J. </v>
      </c>
      <c r="D21" s="8" t="str">
        <f t="shared" si="2"/>
        <v>2003</v>
      </c>
      <c r="E21" s="10">
        <f t="shared" si="3"/>
        <v>34</v>
      </c>
      <c r="F21" s="10">
        <f t="shared" si="4"/>
        <v>116</v>
      </c>
      <c r="G21" s="8" t="str">
        <f t="shared" si="5"/>
        <v xml:space="preserve"> EFTWeb: A Model for the Enhanced Use of Educational Materials, in Albalooshi, F. </v>
      </c>
      <c r="H21" s="10" t="str">
        <f t="shared" si="6"/>
        <v xml:space="preserve">Gouveia, L. ; Gouveia, J. </v>
      </c>
      <c r="I21" s="10" t="str">
        <f t="shared" si="7"/>
        <v xml:space="preserve">Gouveia, L. ; Gouveia, J. </v>
      </c>
      <c r="J21" s="10" t="str">
        <f t="shared" si="8"/>
        <v xml:space="preserve">Gouveia, L. ; Gouveia, J. </v>
      </c>
      <c r="K21" s="11" t="str">
        <f ca="1">IFERROR(__xludf.DUMMYFUNCTION("SPLIT(J21,"";"")"),"Gouveia, L. ")</f>
        <v xml:space="preserve">Gouveia, L. </v>
      </c>
      <c r="L21" s="10" t="str">
        <f ca="1">IFERROR(__xludf.DUMMYFUNCTION("""COMPUTED_VALUE""")," Gouveia, J. ")</f>
        <v xml:space="preserve"> Gouveia, J. </v>
      </c>
      <c r="M21" s="10"/>
      <c r="N21" s="10"/>
      <c r="O21" s="10"/>
      <c r="P21" s="10"/>
      <c r="Q21" s="10"/>
      <c r="R21" s="10"/>
      <c r="S21" s="10"/>
      <c r="T21" s="10"/>
      <c r="U21" s="10"/>
      <c r="V21" s="10"/>
      <c r="W21" s="10"/>
      <c r="X21" s="10"/>
      <c r="Y21" s="10"/>
      <c r="Z21" s="10"/>
    </row>
    <row r="22" spans="1:26" ht="17.25" customHeight="1" x14ac:dyDescent="0.3">
      <c r="A22" s="10" t="s">
        <v>156</v>
      </c>
      <c r="B22" s="10">
        <f t="shared" si="0"/>
        <v>41</v>
      </c>
      <c r="C22" s="8" t="str">
        <f t="shared" si="1"/>
        <v xml:space="preserve">Rurato, P.; Gouveia, L. and Gouveia, J. </v>
      </c>
      <c r="D22" s="8" t="str">
        <f t="shared" si="2"/>
        <v>2002</v>
      </c>
      <c r="E22" s="10">
        <f t="shared" si="3"/>
        <v>46</v>
      </c>
      <c r="F22" s="10">
        <f t="shared" si="4"/>
        <v>97</v>
      </c>
      <c r="G22" s="8" t="str">
        <f t="shared" si="5"/>
        <v xml:space="preserve"> A Study on Adult Education and Distance Learning. </v>
      </c>
      <c r="H22" s="10" t="str">
        <f t="shared" si="6"/>
        <v xml:space="preserve">Rurato, P.; Gouveia, L. ; Gouveia, J. </v>
      </c>
      <c r="I22" s="10" t="str">
        <f t="shared" si="7"/>
        <v xml:space="preserve">Rurato, P.; Gouveia, L. ; Gouveia, J. </v>
      </c>
      <c r="J22" s="10" t="str">
        <f t="shared" si="8"/>
        <v xml:space="preserve">Rurato, P.; Gouveia, L. ; Gouveia, J. </v>
      </c>
      <c r="K22" s="11" t="str">
        <f ca="1">IFERROR(__xludf.DUMMYFUNCTION("SPLIT(J22,"";"")"),"Rurato, P.")</f>
        <v>Rurato, P.</v>
      </c>
      <c r="L22" s="10" t="str">
        <f ca="1">IFERROR(__xludf.DUMMYFUNCTION("""COMPUTED_VALUE""")," Gouveia, L. ")</f>
        <v xml:space="preserve"> Gouveia, L. </v>
      </c>
      <c r="M22" s="10" t="str">
        <f ca="1">IFERROR(__xludf.DUMMYFUNCTION("""COMPUTED_VALUE""")," Gouveia, J. ")</f>
        <v xml:space="preserve"> Gouveia, J. </v>
      </c>
      <c r="N22" s="10"/>
      <c r="O22" s="10"/>
      <c r="P22" s="10"/>
      <c r="Q22" s="10"/>
      <c r="R22" s="10"/>
      <c r="S22" s="10"/>
      <c r="T22" s="10"/>
      <c r="U22" s="10"/>
      <c r="V22" s="10"/>
      <c r="W22" s="10"/>
      <c r="X22" s="10"/>
      <c r="Y22" s="10"/>
      <c r="Z22" s="10"/>
    </row>
    <row r="23" spans="1:26" ht="17.25" customHeight="1" x14ac:dyDescent="0.3">
      <c r="A23" s="10" t="s">
        <v>157</v>
      </c>
      <c r="B23" s="10">
        <f t="shared" si="0"/>
        <v>13</v>
      </c>
      <c r="C23" s="8" t="str">
        <f t="shared" si="1"/>
        <v xml:space="preserve">Gouveia, L. </v>
      </c>
      <c r="D23" s="8" t="str">
        <f t="shared" si="2"/>
        <v>2002</v>
      </c>
      <c r="E23" s="10">
        <f t="shared" si="3"/>
        <v>18</v>
      </c>
      <c r="F23" s="10">
        <f t="shared" si="4"/>
        <v>101</v>
      </c>
      <c r="G23" s="8" t="str">
        <f t="shared" si="5"/>
        <v xml:space="preserve"> A Proposal to Support Collaborative Learning: using a structure to share context. </v>
      </c>
      <c r="H23" s="10" t="str">
        <f t="shared" si="6"/>
        <v xml:space="preserve">Gouveia, L. </v>
      </c>
      <c r="I23" s="10" t="str">
        <f t="shared" si="7"/>
        <v xml:space="preserve">Gouveia, L. </v>
      </c>
      <c r="J23" s="10" t="str">
        <f t="shared" si="8"/>
        <v xml:space="preserve">Gouveia, L. </v>
      </c>
      <c r="K23" s="11" t="str">
        <f ca="1">IFERROR(__xludf.DUMMYFUNCTION("SPLIT(J23,"";"")"),"Gouveia, L. ")</f>
        <v xml:space="preserve">Gouveia, L. </v>
      </c>
      <c r="L23" s="10"/>
      <c r="M23" s="10"/>
      <c r="N23" s="10"/>
      <c r="O23" s="10"/>
      <c r="P23" s="10"/>
      <c r="Q23" s="10"/>
      <c r="R23" s="10"/>
      <c r="S23" s="10"/>
      <c r="T23" s="10"/>
      <c r="U23" s="10"/>
      <c r="V23" s="10"/>
      <c r="W23" s="10"/>
      <c r="X23" s="10"/>
      <c r="Y23" s="10"/>
      <c r="Z23" s="10"/>
    </row>
    <row r="24" spans="1:26" ht="17.25" customHeight="1" x14ac:dyDescent="0.3">
      <c r="A24" s="10" t="s">
        <v>158</v>
      </c>
      <c r="B24" s="10">
        <f t="shared" si="0"/>
        <v>29</v>
      </c>
      <c r="C24" s="8" t="str">
        <f t="shared" si="1"/>
        <v xml:space="preserve">Gouveia, L. and Gouveia, F. </v>
      </c>
      <c r="D24" s="8" t="str">
        <f t="shared" si="2"/>
        <v>2002</v>
      </c>
      <c r="E24" s="10">
        <f t="shared" si="3"/>
        <v>34</v>
      </c>
      <c r="F24" s="10">
        <f t="shared" si="4"/>
        <v>121</v>
      </c>
      <c r="G24" s="8" t="str">
        <f t="shared" si="5"/>
        <v xml:space="preserve"> Evaluation of a visualisation design for knowledge sharing and information discovery. </v>
      </c>
      <c r="H24" s="10" t="str">
        <f t="shared" si="6"/>
        <v xml:space="preserve">Gouveia, L. ; Gouveia, F. </v>
      </c>
      <c r="I24" s="10" t="str">
        <f t="shared" si="7"/>
        <v xml:space="preserve">Gouveia, L. ; Gouveia, F. </v>
      </c>
      <c r="J24" s="10" t="str">
        <f t="shared" si="8"/>
        <v xml:space="preserve">Gouveia, L. ; Gouveia, F. </v>
      </c>
      <c r="K24" s="11" t="str">
        <f ca="1">IFERROR(__xludf.DUMMYFUNCTION("SPLIT(J24,"";"")"),"Gouveia, L. ")</f>
        <v xml:space="preserve">Gouveia, L. </v>
      </c>
      <c r="L24" s="10" t="str">
        <f ca="1">IFERROR(__xludf.DUMMYFUNCTION("""COMPUTED_VALUE""")," Gouveia, F. ")</f>
        <v xml:space="preserve"> Gouveia, F. </v>
      </c>
      <c r="M24" s="10"/>
      <c r="N24" s="10"/>
      <c r="O24" s="10"/>
      <c r="P24" s="10"/>
      <c r="Q24" s="10"/>
      <c r="R24" s="10"/>
      <c r="S24" s="10"/>
      <c r="T24" s="10"/>
      <c r="U24" s="10"/>
      <c r="V24" s="10"/>
      <c r="W24" s="10"/>
      <c r="X24" s="10"/>
      <c r="Y24" s="10"/>
      <c r="Z24" s="10"/>
    </row>
    <row r="25" spans="1:26" ht="17.25" customHeight="1" x14ac:dyDescent="0.3">
      <c r="A25" s="10" t="s">
        <v>159</v>
      </c>
      <c r="B25" s="10">
        <f t="shared" si="0"/>
        <v>13</v>
      </c>
      <c r="C25" s="8" t="str">
        <f t="shared" si="1"/>
        <v xml:space="preserve">Gouveia, L. </v>
      </c>
      <c r="D25" s="8" t="str">
        <f t="shared" si="2"/>
        <v>2001</v>
      </c>
      <c r="E25" s="10">
        <f t="shared" si="3"/>
        <v>18</v>
      </c>
      <c r="F25" s="10">
        <f t="shared" si="4"/>
        <v>118</v>
      </c>
      <c r="G25" s="8" t="str">
        <f t="shared" si="5"/>
        <v xml:space="preserve"> A technological related discussion on the potential of change in education, learning and training. </v>
      </c>
      <c r="H25" s="10" t="str">
        <f t="shared" si="6"/>
        <v xml:space="preserve">Gouveia, L. </v>
      </c>
      <c r="I25" s="10" t="str">
        <f t="shared" si="7"/>
        <v xml:space="preserve">Gouveia, L. </v>
      </c>
      <c r="J25" s="10" t="str">
        <f t="shared" si="8"/>
        <v xml:space="preserve">Gouveia, L. </v>
      </c>
      <c r="K25" s="11" t="str">
        <f ca="1">IFERROR(__xludf.DUMMYFUNCTION("SPLIT(J25,"";"")"),"Gouveia, L. ")</f>
        <v xml:space="preserve">Gouveia, L. </v>
      </c>
      <c r="L25" s="10"/>
      <c r="M25" s="10"/>
      <c r="N25" s="10"/>
      <c r="O25" s="10"/>
      <c r="P25" s="10"/>
      <c r="Q25" s="10"/>
      <c r="R25" s="10"/>
      <c r="S25" s="10"/>
      <c r="T25" s="10"/>
      <c r="U25" s="10"/>
      <c r="V25" s="10"/>
      <c r="W25" s="10"/>
      <c r="X25" s="10"/>
      <c r="Y25" s="10"/>
      <c r="Z25" s="10"/>
    </row>
    <row r="26" spans="1:26" ht="17.25" customHeight="1" x14ac:dyDescent="0.3">
      <c r="A26" s="10" t="s">
        <v>160</v>
      </c>
      <c r="B26" s="10" t="e">
        <f t="shared" si="0"/>
        <v>#VALUE!</v>
      </c>
      <c r="C26" s="8" t="e">
        <f t="shared" si="1"/>
        <v>#VALUE!</v>
      </c>
      <c r="D26" s="8" t="e">
        <f t="shared" si="2"/>
        <v>#VALUE!</v>
      </c>
      <c r="E26" s="10" t="e">
        <f t="shared" si="3"/>
        <v>#VALUE!</v>
      </c>
      <c r="F26" s="10" t="e">
        <f t="shared" si="4"/>
        <v>#VALUE!</v>
      </c>
      <c r="G26" s="8" t="e">
        <f t="shared" si="5"/>
        <v>#VALUE!</v>
      </c>
      <c r="H26" s="10" t="e">
        <f t="shared" si="6"/>
        <v>#VALUE!</v>
      </c>
      <c r="I26" s="10" t="e">
        <f t="shared" si="7"/>
        <v>#VALUE!</v>
      </c>
      <c r="J26" s="10" t="e">
        <f t="shared" si="8"/>
        <v>#VALUE!</v>
      </c>
      <c r="K26" s="11" t="str">
        <f ca="1">IFERROR(__xludf.DUMMYFUNCTION("SPLIT(J26,"";"")"),"#VALUE!")</f>
        <v>#VALUE!</v>
      </c>
      <c r="L26" s="10"/>
      <c r="M26" s="10"/>
      <c r="N26" s="10"/>
      <c r="O26" s="10"/>
      <c r="P26" s="10"/>
      <c r="Q26" s="10"/>
      <c r="R26" s="10"/>
      <c r="S26" s="10"/>
      <c r="T26" s="10"/>
      <c r="U26" s="10"/>
      <c r="V26" s="10"/>
      <c r="W26" s="10"/>
      <c r="X26" s="10"/>
      <c r="Y26" s="10"/>
      <c r="Z26" s="10"/>
    </row>
    <row r="27" spans="1:26" ht="17.25" customHeight="1" x14ac:dyDescent="0.3">
      <c r="A27" s="10" t="s">
        <v>161</v>
      </c>
      <c r="B27" s="10">
        <f t="shared" si="0"/>
        <v>28</v>
      </c>
      <c r="C27" s="8" t="str">
        <f t="shared" si="1"/>
        <v xml:space="preserve">Carvalho, E. e Gouveia, L. </v>
      </c>
      <c r="D27" s="8" t="str">
        <f t="shared" si="2"/>
        <v>2019</v>
      </c>
      <c r="E27" s="10">
        <f t="shared" si="3"/>
        <v>33</v>
      </c>
      <c r="F27" s="10">
        <f t="shared" si="4"/>
        <v>77</v>
      </c>
      <c r="G27" s="8" t="str">
        <f t="shared" si="5"/>
        <v xml:space="preserve"> Transparência e Acesso ao Controle Social. </v>
      </c>
      <c r="H27" s="10" t="str">
        <f t="shared" si="6"/>
        <v xml:space="preserve">Carvalho, E. e Gouveia, L. </v>
      </c>
      <c r="I27" s="10" t="str">
        <f t="shared" si="7"/>
        <v xml:space="preserve">Carvalho, E. e Gouveia, L. </v>
      </c>
      <c r="J27" s="10" t="str">
        <f t="shared" si="8"/>
        <v xml:space="preserve">Carvalho, E.;Gouveia, L. </v>
      </c>
      <c r="K27" s="11" t="str">
        <f ca="1">IFERROR(__xludf.DUMMYFUNCTION("SPLIT(J27,"";"")"),"Carvalho, E.")</f>
        <v>Carvalho, E.</v>
      </c>
      <c r="L27" s="10" t="str">
        <f ca="1">IFERROR(__xludf.DUMMYFUNCTION("""COMPUTED_VALUE"""),"Gouveia, L. ")</f>
        <v xml:space="preserve">Gouveia, L. </v>
      </c>
      <c r="M27" s="10"/>
      <c r="N27" s="10"/>
      <c r="O27" s="10"/>
      <c r="P27" s="10"/>
      <c r="Q27" s="10"/>
      <c r="R27" s="10"/>
      <c r="S27" s="10"/>
      <c r="T27" s="10"/>
      <c r="U27" s="10"/>
      <c r="V27" s="10"/>
      <c r="W27" s="10"/>
      <c r="X27" s="10"/>
      <c r="Y27" s="10"/>
      <c r="Z27" s="10"/>
    </row>
    <row r="28" spans="1:26" ht="17.25" customHeight="1" x14ac:dyDescent="0.3">
      <c r="A28" s="10" t="s">
        <v>162</v>
      </c>
      <c r="B28" s="10">
        <f t="shared" si="0"/>
        <v>39</v>
      </c>
      <c r="C28" s="8" t="str">
        <f t="shared" si="1"/>
        <v xml:space="preserve">Mançu, R.; Gouveia, L. e Cordeiro, S. </v>
      </c>
      <c r="D28" s="8" t="str">
        <f t="shared" si="2"/>
        <v>2019</v>
      </c>
      <c r="E28" s="10">
        <f t="shared" si="3"/>
        <v>44</v>
      </c>
      <c r="F28" s="10">
        <f t="shared" si="4"/>
        <v>202</v>
      </c>
      <c r="G28" s="8" t="str">
        <f t="shared" si="5"/>
        <v xml:space="preserve"> Modelo de Matriz de Diagnóstico e Avaliação de Desempenho de Sistemas de Gestão Integrados (SGI) da Qualidade, Meio Ambiente, Segurança e Saúde no Trabalho. </v>
      </c>
      <c r="H28" s="10" t="str">
        <f t="shared" si="6"/>
        <v xml:space="preserve">Mançu, R.; Gouveia, L. e Cordeiro, S. </v>
      </c>
      <c r="I28" s="10" t="str">
        <f t="shared" si="7"/>
        <v xml:space="preserve">Mançu, R.; Gouveia, L. e Cordeiro, S. </v>
      </c>
      <c r="J28" s="10" t="str">
        <f t="shared" si="8"/>
        <v xml:space="preserve">Mançu, R.; Gouveia, L.;Cordeiro, S. </v>
      </c>
      <c r="K28" s="11" t="str">
        <f ca="1">IFERROR(__xludf.DUMMYFUNCTION("SPLIT(J28,"";"")"),"Mançu, R.")</f>
        <v>Mançu, R.</v>
      </c>
      <c r="L28" s="10" t="str">
        <f ca="1">IFERROR(__xludf.DUMMYFUNCTION("""COMPUTED_VALUE""")," Gouveia, L.")</f>
        <v xml:space="preserve"> Gouveia, L.</v>
      </c>
      <c r="M28" s="10" t="str">
        <f ca="1">IFERROR(__xludf.DUMMYFUNCTION("""COMPUTED_VALUE"""),"Cordeiro, S. ")</f>
        <v xml:space="preserve">Cordeiro, S. </v>
      </c>
      <c r="N28" s="10"/>
      <c r="O28" s="10"/>
      <c r="P28" s="10"/>
      <c r="Q28" s="10"/>
      <c r="R28" s="10"/>
      <c r="S28" s="10"/>
      <c r="T28" s="10"/>
      <c r="U28" s="10"/>
      <c r="V28" s="10"/>
      <c r="W28" s="10"/>
      <c r="X28" s="10"/>
      <c r="Y28" s="10"/>
      <c r="Z28" s="10"/>
    </row>
    <row r="29" spans="1:26" ht="17.25" customHeight="1" x14ac:dyDescent="0.3">
      <c r="A29" s="10" t="s">
        <v>163</v>
      </c>
      <c r="B29" s="10">
        <f t="shared" si="0"/>
        <v>27</v>
      </c>
      <c r="C29" s="8" t="str">
        <f t="shared" si="1"/>
        <v xml:space="preserve">Martins, E. e Gouveia, L. </v>
      </c>
      <c r="D29" s="8" t="str">
        <f t="shared" si="2"/>
        <v>2019</v>
      </c>
      <c r="E29" s="10">
        <f t="shared" si="3"/>
        <v>32</v>
      </c>
      <c r="F29" s="10">
        <f t="shared" si="4"/>
        <v>149</v>
      </c>
      <c r="G29" s="8" t="str">
        <f t="shared" si="5"/>
        <v xml:space="preserve"> Revisão Sistemática sobre Sala de Aula Invertida na Produção Científica Indexada ao Scopus nos Anos de 2016 e 2017. </v>
      </c>
      <c r="H29" s="10" t="str">
        <f t="shared" si="6"/>
        <v xml:space="preserve">Martins, E. e Gouveia, L. </v>
      </c>
      <c r="I29" s="10" t="str">
        <f t="shared" si="7"/>
        <v xml:space="preserve">Martins, E. e Gouveia, L. </v>
      </c>
      <c r="J29" s="10" t="str">
        <f t="shared" si="8"/>
        <v xml:space="preserve">Martins, E.;Gouveia, L. </v>
      </c>
      <c r="K29" s="11" t="str">
        <f ca="1">IFERROR(__xludf.DUMMYFUNCTION("SPLIT(J29,"";"")"),"Martins, E.")</f>
        <v>Martins, E.</v>
      </c>
      <c r="L29" s="10" t="str">
        <f ca="1">IFERROR(__xludf.DUMMYFUNCTION("""COMPUTED_VALUE"""),"Gouveia, L. ")</f>
        <v xml:space="preserve">Gouveia, L. </v>
      </c>
      <c r="M29" s="10"/>
      <c r="N29" s="10"/>
      <c r="O29" s="10"/>
      <c r="P29" s="10"/>
      <c r="Q29" s="10"/>
      <c r="R29" s="10"/>
      <c r="S29" s="10"/>
      <c r="T29" s="10"/>
      <c r="U29" s="10"/>
      <c r="V29" s="10"/>
      <c r="W29" s="10"/>
      <c r="X29" s="10"/>
      <c r="Y29" s="10"/>
      <c r="Z29" s="10"/>
    </row>
    <row r="30" spans="1:26" ht="17.25" customHeight="1" x14ac:dyDescent="0.3">
      <c r="A30" s="10" t="s">
        <v>164</v>
      </c>
      <c r="B30" s="10">
        <f t="shared" si="0"/>
        <v>27</v>
      </c>
      <c r="C30" s="8" t="str">
        <f t="shared" si="1"/>
        <v xml:space="preserve">Martins, E. e Gouveia, L. </v>
      </c>
      <c r="D30" s="8" t="str">
        <f t="shared" si="2"/>
        <v>2019</v>
      </c>
      <c r="E30" s="10">
        <f t="shared" si="3"/>
        <v>32</v>
      </c>
      <c r="F30" s="10">
        <f t="shared" si="4"/>
        <v>115</v>
      </c>
      <c r="G30" s="8" t="str">
        <f t="shared" si="5"/>
        <v xml:space="preserve"> M-Learning e Sala de Aula Invertida: Construção de um Modelo Pedagógico (ML-SAI). </v>
      </c>
      <c r="H30" s="10" t="str">
        <f t="shared" si="6"/>
        <v xml:space="preserve">Martins, E. e Gouveia, L. </v>
      </c>
      <c r="I30" s="10" t="str">
        <f t="shared" si="7"/>
        <v xml:space="preserve">Martins, E. e Gouveia, L. </v>
      </c>
      <c r="J30" s="10" t="str">
        <f t="shared" si="8"/>
        <v xml:space="preserve">Martins, E.;Gouveia, L. </v>
      </c>
      <c r="K30" s="11" t="str">
        <f ca="1">IFERROR(__xludf.DUMMYFUNCTION("SPLIT(J30,"";"")"),"Martins, E.")</f>
        <v>Martins, E.</v>
      </c>
      <c r="L30" s="10" t="str">
        <f ca="1">IFERROR(__xludf.DUMMYFUNCTION("""COMPUTED_VALUE"""),"Gouveia, L. ")</f>
        <v xml:space="preserve">Gouveia, L. </v>
      </c>
      <c r="M30" s="10"/>
      <c r="N30" s="10"/>
      <c r="O30" s="10"/>
      <c r="P30" s="10"/>
      <c r="Q30" s="10"/>
      <c r="R30" s="10"/>
      <c r="S30" s="10"/>
      <c r="T30" s="10"/>
      <c r="U30" s="10"/>
      <c r="V30" s="10"/>
      <c r="W30" s="10"/>
      <c r="X30" s="10"/>
      <c r="Y30" s="10"/>
      <c r="Z30" s="10"/>
    </row>
    <row r="31" spans="1:26" ht="17.25" customHeight="1" x14ac:dyDescent="0.3">
      <c r="A31" s="10" t="s">
        <v>165</v>
      </c>
      <c r="B31" s="10">
        <f t="shared" si="0"/>
        <v>26</v>
      </c>
      <c r="C31" s="8" t="str">
        <f t="shared" si="1"/>
        <v xml:space="preserve">Araújo, P. e Gouveia, L. </v>
      </c>
      <c r="D31" s="8" t="str">
        <f t="shared" si="2"/>
        <v>2019</v>
      </c>
      <c r="E31" s="10">
        <f t="shared" si="3"/>
        <v>31</v>
      </c>
      <c r="F31" s="10">
        <f t="shared" si="4"/>
        <v>160</v>
      </c>
      <c r="G31" s="8" t="str">
        <f t="shared" si="5"/>
        <v xml:space="preserve"> Gestão da Informação via Sistema Digital para a Educação Especial do Centro de Referência e Apoio a Educação Inclusiva - CRAEI. </v>
      </c>
      <c r="H31" s="10" t="str">
        <f t="shared" si="6"/>
        <v xml:space="preserve">Araújo, P. e Gouveia, L. </v>
      </c>
      <c r="I31" s="10" t="str">
        <f t="shared" si="7"/>
        <v xml:space="preserve">Araújo, P. e Gouveia, L. </v>
      </c>
      <c r="J31" s="10" t="str">
        <f t="shared" si="8"/>
        <v xml:space="preserve">Araújo, P.;Gouveia, L. </v>
      </c>
      <c r="K31" s="11" t="str">
        <f ca="1">IFERROR(__xludf.DUMMYFUNCTION("SPLIT(J31,"";"")"),"Araújo, P.")</f>
        <v>Araújo, P.</v>
      </c>
      <c r="L31" s="10" t="str">
        <f ca="1">IFERROR(__xludf.DUMMYFUNCTION("""COMPUTED_VALUE"""),"Gouveia, L. ")</f>
        <v xml:space="preserve">Gouveia, L. </v>
      </c>
      <c r="M31" s="10"/>
      <c r="N31" s="10"/>
      <c r="O31" s="10"/>
      <c r="P31" s="10"/>
      <c r="Q31" s="10"/>
      <c r="R31" s="10"/>
      <c r="S31" s="10"/>
      <c r="T31" s="10"/>
      <c r="U31" s="10"/>
      <c r="V31" s="10"/>
      <c r="W31" s="10"/>
      <c r="X31" s="10"/>
      <c r="Y31" s="10"/>
      <c r="Z31" s="10"/>
    </row>
    <row r="32" spans="1:26" ht="17.25" customHeight="1" x14ac:dyDescent="0.3">
      <c r="A32" s="10" t="s">
        <v>166</v>
      </c>
      <c r="B32" s="10">
        <f t="shared" si="0"/>
        <v>29</v>
      </c>
      <c r="C32" s="8" t="str">
        <f t="shared" si="1"/>
        <v xml:space="preserve">Martins, E. R.; Gouveia, L. </v>
      </c>
      <c r="D32" s="8" t="str">
        <f t="shared" si="2"/>
        <v>2019</v>
      </c>
      <c r="E32" s="10">
        <f t="shared" si="3"/>
        <v>34</v>
      </c>
      <c r="F32" s="10">
        <f t="shared" si="4"/>
        <v>78</v>
      </c>
      <c r="G32" s="8" t="str">
        <f t="shared" si="5"/>
        <v xml:space="preserve"> Google Drive na Aprendizagem Colaborativa. </v>
      </c>
      <c r="H32" s="10" t="str">
        <f t="shared" si="6"/>
        <v xml:space="preserve">Martins, E. R.; Gouveia, L. </v>
      </c>
      <c r="I32" s="10" t="str">
        <f t="shared" si="7"/>
        <v xml:space="preserve">Martins, E. R.; Gouveia, L. </v>
      </c>
      <c r="J32" s="10" t="str">
        <f t="shared" si="8"/>
        <v xml:space="preserve">Martins, E. R.; Gouveia, L. </v>
      </c>
      <c r="K32" s="11" t="str">
        <f ca="1">IFERROR(__xludf.DUMMYFUNCTION("SPLIT(J32,"";"")"),"Martins, E. R.")</f>
        <v>Martins, E. R.</v>
      </c>
      <c r="L32" s="10" t="str">
        <f ca="1">IFERROR(__xludf.DUMMYFUNCTION("""COMPUTED_VALUE""")," Gouveia, L. ")</f>
        <v xml:space="preserve"> Gouveia, L. </v>
      </c>
      <c r="M32" s="10"/>
      <c r="N32" s="10"/>
      <c r="O32" s="10"/>
      <c r="P32" s="10"/>
      <c r="Q32" s="10"/>
      <c r="R32" s="10"/>
      <c r="S32" s="10"/>
      <c r="T32" s="10"/>
      <c r="U32" s="10"/>
      <c r="V32" s="10"/>
      <c r="W32" s="10"/>
      <c r="X32" s="10"/>
      <c r="Y32" s="10"/>
      <c r="Z32" s="10"/>
    </row>
    <row r="33" spans="1:26" ht="17.25" customHeight="1" x14ac:dyDescent="0.3">
      <c r="A33" s="10" t="s">
        <v>167</v>
      </c>
      <c r="B33" s="10">
        <f t="shared" si="0"/>
        <v>27</v>
      </c>
      <c r="C33" s="8" t="str">
        <f t="shared" si="1"/>
        <v xml:space="preserve">Martins, E. e Gouveia, L. </v>
      </c>
      <c r="D33" s="8" t="str">
        <f t="shared" si="2"/>
        <v>2019</v>
      </c>
      <c r="E33" s="10">
        <f t="shared" si="3"/>
        <v>32</v>
      </c>
      <c r="F33" s="10">
        <f t="shared" si="4"/>
        <v>70</v>
      </c>
      <c r="G33" s="8" t="str">
        <f t="shared" si="5"/>
        <v xml:space="preserve"> Sala de Aula Invertida com WhatsApp. </v>
      </c>
      <c r="H33" s="10" t="str">
        <f t="shared" si="6"/>
        <v xml:space="preserve">Martins, E. e Gouveia, L. </v>
      </c>
      <c r="I33" s="10" t="str">
        <f t="shared" si="7"/>
        <v xml:space="preserve">Martins, E. e Gouveia, L. </v>
      </c>
      <c r="J33" s="10" t="str">
        <f t="shared" si="8"/>
        <v xml:space="preserve">Martins, E.;Gouveia, L. </v>
      </c>
      <c r="K33" s="11" t="str">
        <f ca="1">IFERROR(__xludf.DUMMYFUNCTION("SPLIT(J33,"";"")"),"Martins, E.")</f>
        <v>Martins, E.</v>
      </c>
      <c r="L33" s="10" t="str">
        <f ca="1">IFERROR(__xludf.DUMMYFUNCTION("""COMPUTED_VALUE"""),"Gouveia, L. ")</f>
        <v xml:space="preserve">Gouveia, L. </v>
      </c>
      <c r="M33" s="10"/>
      <c r="N33" s="10"/>
      <c r="O33" s="10"/>
      <c r="P33" s="10"/>
      <c r="Q33" s="10"/>
      <c r="R33" s="10"/>
      <c r="S33" s="10"/>
      <c r="T33" s="10"/>
      <c r="U33" s="10"/>
      <c r="V33" s="10"/>
      <c r="W33" s="10"/>
      <c r="X33" s="10"/>
      <c r="Y33" s="10"/>
      <c r="Z33" s="10"/>
    </row>
    <row r="34" spans="1:26" ht="17.25" customHeight="1" x14ac:dyDescent="0.3">
      <c r="A34" s="10" t="s">
        <v>168</v>
      </c>
      <c r="B34" s="10">
        <f t="shared" si="0"/>
        <v>27</v>
      </c>
      <c r="C34" s="8" t="str">
        <f t="shared" si="1"/>
        <v xml:space="preserve">Martins, E. e Gouveia, L. </v>
      </c>
      <c r="D34" s="8" t="str">
        <f t="shared" si="2"/>
        <v>2018</v>
      </c>
      <c r="E34" s="10">
        <f t="shared" si="3"/>
        <v>32</v>
      </c>
      <c r="F34" s="10">
        <f t="shared" si="4"/>
        <v>62</v>
      </c>
      <c r="G34" s="8" t="str">
        <f t="shared" si="5"/>
        <v xml:space="preserve"> O Uso do WhatsApp no Ensino. </v>
      </c>
      <c r="H34" s="10" t="str">
        <f t="shared" si="6"/>
        <v xml:space="preserve">Martins, E. e Gouveia, L. </v>
      </c>
      <c r="I34" s="10" t="str">
        <f t="shared" si="7"/>
        <v xml:space="preserve">Martins, E. e Gouveia, L. </v>
      </c>
      <c r="J34" s="10" t="str">
        <f t="shared" si="8"/>
        <v xml:space="preserve">Martins, E.;Gouveia, L. </v>
      </c>
      <c r="K34" s="11" t="str">
        <f ca="1">IFERROR(__xludf.DUMMYFUNCTION("SPLIT(J34,"";"")"),"Martins, E.")</f>
        <v>Martins, E.</v>
      </c>
      <c r="L34" s="10" t="str">
        <f ca="1">IFERROR(__xludf.DUMMYFUNCTION("""COMPUTED_VALUE"""),"Gouveia, L. ")</f>
        <v xml:space="preserve">Gouveia, L. </v>
      </c>
      <c r="M34" s="10"/>
      <c r="N34" s="10"/>
      <c r="O34" s="10"/>
      <c r="P34" s="10"/>
      <c r="Q34" s="10"/>
      <c r="R34" s="10"/>
      <c r="S34" s="10"/>
      <c r="T34" s="10"/>
      <c r="U34" s="10"/>
      <c r="V34" s="10"/>
      <c r="W34" s="10"/>
      <c r="X34" s="10"/>
      <c r="Y34" s="10"/>
      <c r="Z34" s="10"/>
    </row>
    <row r="35" spans="1:26" ht="17.25" customHeight="1" x14ac:dyDescent="0.3">
      <c r="A35" s="10" t="s">
        <v>169</v>
      </c>
      <c r="B35" s="10">
        <f t="shared" si="0"/>
        <v>54</v>
      </c>
      <c r="C35" s="8" t="str">
        <f t="shared" si="1"/>
        <v xml:space="preserve">Martins, E.; Geraldes, W.; Afonseca, U.; Gouveia, L. </v>
      </c>
      <c r="D35" s="8" t="str">
        <f t="shared" si="2"/>
        <v>2018</v>
      </c>
      <c r="E35" s="10">
        <f t="shared" si="3"/>
        <v>59</v>
      </c>
      <c r="F35" s="10">
        <f t="shared" si="4"/>
        <v>107</v>
      </c>
      <c r="G35" s="8" t="str">
        <f t="shared" si="5"/>
        <v xml:space="preserve"> Uso do Kahoot como Ferramenta de Aprendizagem. </v>
      </c>
      <c r="H35" s="10" t="str">
        <f t="shared" si="6"/>
        <v xml:space="preserve">Martins, E.; Geraldes, W.; Afonseca, U.; Gouveia, L. </v>
      </c>
      <c r="I35" s="10" t="str">
        <f t="shared" si="7"/>
        <v xml:space="preserve">Martins, E.; Geraldes, W.; Afonseca, U.; Gouveia, L. </v>
      </c>
      <c r="J35" s="10" t="str">
        <f t="shared" si="8"/>
        <v xml:space="preserve">Martins, E.; Geraldes, W.; Afonseca, U.; Gouveia, L. </v>
      </c>
      <c r="K35" s="11" t="str">
        <f ca="1">IFERROR(__xludf.DUMMYFUNCTION("SPLIT(J35,"";"")"),"Martins, E.")</f>
        <v>Martins, E.</v>
      </c>
      <c r="L35" s="10" t="str">
        <f ca="1">IFERROR(__xludf.DUMMYFUNCTION("""COMPUTED_VALUE""")," Geraldes, W.")</f>
        <v xml:space="preserve"> Geraldes, W.</v>
      </c>
      <c r="M35" s="10" t="str">
        <f ca="1">IFERROR(__xludf.DUMMYFUNCTION("""COMPUTED_VALUE""")," Afonseca, U.")</f>
        <v xml:space="preserve"> Afonseca, U.</v>
      </c>
      <c r="N35" s="10" t="str">
        <f ca="1">IFERROR(__xludf.DUMMYFUNCTION("""COMPUTED_VALUE""")," Gouveia, L. ")</f>
        <v xml:space="preserve"> Gouveia, L. </v>
      </c>
      <c r="O35" s="10"/>
      <c r="P35" s="10"/>
      <c r="Q35" s="10"/>
      <c r="R35" s="10"/>
      <c r="S35" s="10"/>
      <c r="T35" s="10"/>
      <c r="U35" s="10"/>
      <c r="V35" s="10"/>
      <c r="W35" s="10"/>
      <c r="X35" s="10"/>
      <c r="Y35" s="10"/>
      <c r="Z35" s="10"/>
    </row>
    <row r="36" spans="1:26" ht="17.25" customHeight="1" x14ac:dyDescent="0.3">
      <c r="A36" s="10" t="s">
        <v>170</v>
      </c>
      <c r="B36" s="10">
        <f t="shared" si="0"/>
        <v>63</v>
      </c>
      <c r="C36" s="8" t="str">
        <f t="shared" si="1"/>
        <v xml:space="preserve">Martins, E. R.; Geraldes, W. B.; Afonseca, U. R.; Gouveia, L. </v>
      </c>
      <c r="D36" s="8" t="str">
        <f t="shared" si="2"/>
        <v>2018</v>
      </c>
      <c r="E36" s="10">
        <f t="shared" si="3"/>
        <v>68</v>
      </c>
      <c r="F36" s="10">
        <f t="shared" si="4"/>
        <v>111</v>
      </c>
      <c r="G36" s="8" t="str">
        <f t="shared" si="5"/>
        <v xml:space="preserve"> Tecnologias Móveis em Contexto Educativo. </v>
      </c>
      <c r="H36" s="10" t="str">
        <f t="shared" si="6"/>
        <v xml:space="preserve">Martins, E. R.; Geraldes, W. B.; Afonseca, U. R.; Gouveia, L. </v>
      </c>
      <c r="I36" s="10" t="str">
        <f t="shared" si="7"/>
        <v xml:space="preserve">Martins, E. R.; Geraldes, W. B.; Afonseca, U. R.; Gouveia, L. </v>
      </c>
      <c r="J36" s="10" t="str">
        <f t="shared" si="8"/>
        <v xml:space="preserve">Martins, E. R.; Geraldes, W. B.; Afonseca, U. R.; Gouveia, L. </v>
      </c>
      <c r="K36" s="11" t="str">
        <f ca="1">IFERROR(__xludf.DUMMYFUNCTION("SPLIT(J36,"";"")"),"Martins, E. R.")</f>
        <v>Martins, E. R.</v>
      </c>
      <c r="L36" s="10" t="str">
        <f ca="1">IFERROR(__xludf.DUMMYFUNCTION("""COMPUTED_VALUE""")," Geraldes, W. B.")</f>
        <v xml:space="preserve"> Geraldes, W. B.</v>
      </c>
      <c r="M36" s="10" t="str">
        <f ca="1">IFERROR(__xludf.DUMMYFUNCTION("""COMPUTED_VALUE""")," Afonseca, U. R.")</f>
        <v xml:space="preserve"> Afonseca, U. R.</v>
      </c>
      <c r="N36" s="10" t="str">
        <f ca="1">IFERROR(__xludf.DUMMYFUNCTION("""COMPUTED_VALUE""")," Gouveia, L. ")</f>
        <v xml:space="preserve"> Gouveia, L. </v>
      </c>
      <c r="O36" s="10"/>
      <c r="P36" s="10"/>
      <c r="Q36" s="10"/>
      <c r="R36" s="10"/>
      <c r="S36" s="10"/>
      <c r="T36" s="10"/>
      <c r="U36" s="10"/>
      <c r="V36" s="10"/>
      <c r="W36" s="10"/>
      <c r="X36" s="10"/>
      <c r="Y36" s="10"/>
      <c r="Z36" s="10"/>
    </row>
    <row r="37" spans="1:26" ht="17.25" customHeight="1" x14ac:dyDescent="0.3">
      <c r="A37" s="10" t="s">
        <v>171</v>
      </c>
      <c r="B37" s="10">
        <f t="shared" si="0"/>
        <v>25</v>
      </c>
      <c r="C37" s="8" t="str">
        <f t="shared" si="1"/>
        <v xml:space="preserve">Silva, C. e Gouveia, L. </v>
      </c>
      <c r="D37" s="8" t="str">
        <f t="shared" si="2"/>
        <v>2017</v>
      </c>
      <c r="E37" s="10">
        <f t="shared" si="3"/>
        <v>30</v>
      </c>
      <c r="F37" s="10">
        <f t="shared" si="4"/>
        <v>126</v>
      </c>
      <c r="G37" s="8" t="str">
        <f t="shared" si="5"/>
        <v xml:space="preserve"> A Transparência e o e-government: um componente essencial para a democratização da informação. </v>
      </c>
      <c r="H37" s="10" t="str">
        <f t="shared" si="6"/>
        <v xml:space="preserve">Silva, C. e Gouveia, L. </v>
      </c>
      <c r="I37" s="10" t="str">
        <f t="shared" si="7"/>
        <v xml:space="preserve">Silva, C. e Gouveia, L. </v>
      </c>
      <c r="J37" s="10" t="str">
        <f t="shared" si="8"/>
        <v xml:space="preserve">Silva, C.;Gouveia, L. </v>
      </c>
      <c r="K37" s="11" t="str">
        <f ca="1">IFERROR(__xludf.DUMMYFUNCTION("SPLIT(J37,"";"")"),"Silva, C.")</f>
        <v>Silva, C.</v>
      </c>
      <c r="L37" s="10" t="str">
        <f ca="1">IFERROR(__xludf.DUMMYFUNCTION("""COMPUTED_VALUE"""),"Gouveia, L. ")</f>
        <v xml:space="preserve">Gouveia, L. </v>
      </c>
      <c r="M37" s="10"/>
      <c r="N37" s="10"/>
      <c r="O37" s="10"/>
      <c r="P37" s="10"/>
      <c r="Q37" s="10"/>
      <c r="R37" s="10"/>
      <c r="S37" s="10"/>
      <c r="T37" s="10"/>
      <c r="U37" s="10"/>
      <c r="V37" s="10"/>
      <c r="W37" s="10"/>
      <c r="X37" s="10"/>
      <c r="Y37" s="10"/>
      <c r="Z37" s="10"/>
    </row>
    <row r="38" spans="1:26" ht="17.25" customHeight="1" x14ac:dyDescent="0.3">
      <c r="A38" s="10" t="s">
        <v>172</v>
      </c>
      <c r="B38" s="10">
        <f t="shared" si="0"/>
        <v>26</v>
      </c>
      <c r="C38" s="8" t="str">
        <f t="shared" si="1"/>
        <v xml:space="preserve">Khan, S. and Gouveia, L. </v>
      </c>
      <c r="D38" s="8" t="str">
        <f t="shared" si="2"/>
        <v>2017</v>
      </c>
      <c r="E38" s="10">
        <f t="shared" si="3"/>
        <v>31</v>
      </c>
      <c r="F38" s="10">
        <f t="shared" si="4"/>
        <v>109</v>
      </c>
      <c r="G38" s="8" t="str">
        <f t="shared" si="5"/>
        <v xml:space="preserve"> Requirement for a Minimum Service Level Model for Cloud Providers and Users. </v>
      </c>
      <c r="H38" s="10" t="str">
        <f t="shared" si="6"/>
        <v xml:space="preserve">Khan, S. ; Gouveia, L. </v>
      </c>
      <c r="I38" s="10" t="str">
        <f t="shared" si="7"/>
        <v xml:space="preserve">Khan, S. ; Gouveia, L. </v>
      </c>
      <c r="J38" s="10" t="str">
        <f t="shared" si="8"/>
        <v xml:space="preserve">Khan, S. ; Gouveia, L. </v>
      </c>
      <c r="K38" s="11" t="str">
        <f ca="1">IFERROR(__xludf.DUMMYFUNCTION("SPLIT(J38,"";"")"),"Khan, S. ")</f>
        <v xml:space="preserve">Khan, S. </v>
      </c>
      <c r="L38" s="10" t="str">
        <f ca="1">IFERROR(__xludf.DUMMYFUNCTION("""COMPUTED_VALUE""")," Gouveia, L. ")</f>
        <v xml:space="preserve"> Gouveia, L. </v>
      </c>
      <c r="M38" s="10"/>
      <c r="N38" s="10"/>
      <c r="O38" s="10"/>
      <c r="P38" s="10"/>
      <c r="Q38" s="10"/>
      <c r="R38" s="10"/>
      <c r="S38" s="10"/>
      <c r="T38" s="10"/>
      <c r="U38" s="10"/>
      <c r="V38" s="10"/>
      <c r="W38" s="10"/>
      <c r="X38" s="10"/>
      <c r="Y38" s="10"/>
      <c r="Z38" s="10"/>
    </row>
    <row r="39" spans="1:26" ht="17.25" customHeight="1" x14ac:dyDescent="0.3">
      <c r="A39" s="10" t="s">
        <v>173</v>
      </c>
      <c r="B39" s="10">
        <f t="shared" si="0"/>
        <v>27</v>
      </c>
      <c r="C39" s="8" t="str">
        <f t="shared" si="1"/>
        <v xml:space="preserve">Erdem, M. and Gouveia, L. </v>
      </c>
      <c r="D39" s="8" t="str">
        <f t="shared" si="2"/>
        <v>2017</v>
      </c>
      <c r="E39" s="10">
        <f t="shared" si="3"/>
        <v>32</v>
      </c>
      <c r="F39" s="10">
        <f t="shared" si="4"/>
        <v>106</v>
      </c>
      <c r="G39" s="8" t="str">
        <f t="shared" si="5"/>
        <v xml:space="preserve"> The Concept of Tourism Security and Importance of ICT Usage in Portugal. </v>
      </c>
      <c r="H39" s="10" t="str">
        <f t="shared" si="6"/>
        <v xml:space="preserve">Erdem, M. ; Gouveia, L. </v>
      </c>
      <c r="I39" s="10" t="str">
        <f t="shared" si="7"/>
        <v xml:space="preserve">Erdem, M. ; Gouveia, L. </v>
      </c>
      <c r="J39" s="10" t="str">
        <f t="shared" si="8"/>
        <v xml:space="preserve">Erdem, M. ; Gouveia, L. </v>
      </c>
      <c r="K39" s="11" t="str">
        <f ca="1">IFERROR(__xludf.DUMMYFUNCTION("SPLIT(J39,"";"")"),"Erdem, M. ")</f>
        <v xml:space="preserve">Erdem, M. </v>
      </c>
      <c r="L39" s="10" t="str">
        <f ca="1">IFERROR(__xludf.DUMMYFUNCTION("""COMPUTED_VALUE""")," Gouveia, L. ")</f>
        <v xml:space="preserve"> Gouveia, L. </v>
      </c>
      <c r="M39" s="10"/>
      <c r="N39" s="10"/>
      <c r="O39" s="10"/>
      <c r="P39" s="10"/>
      <c r="Q39" s="10"/>
      <c r="R39" s="10"/>
      <c r="S39" s="10"/>
      <c r="T39" s="10"/>
      <c r="U39" s="10"/>
      <c r="V39" s="10"/>
      <c r="W39" s="10"/>
      <c r="X39" s="10"/>
      <c r="Y39" s="10"/>
      <c r="Z39" s="10"/>
    </row>
    <row r="40" spans="1:26" ht="17.25" customHeight="1" x14ac:dyDescent="0.3">
      <c r="A40" s="10" t="s">
        <v>174</v>
      </c>
      <c r="B40" s="10">
        <f t="shared" si="0"/>
        <v>38</v>
      </c>
      <c r="C40" s="8" t="str">
        <f t="shared" si="1"/>
        <v xml:space="preserve">Alvre, P.; Gouveia, L. and Sousa, S. </v>
      </c>
      <c r="D40" s="8" t="str">
        <f t="shared" si="2"/>
        <v>2017</v>
      </c>
      <c r="E40" s="10">
        <f t="shared" si="3"/>
        <v>43</v>
      </c>
      <c r="F40" s="10">
        <f t="shared" si="4"/>
        <v>160</v>
      </c>
      <c r="G40" s="8" t="str">
        <f t="shared" si="5"/>
        <v xml:space="preserve"> The impact of interface animations on the user experience: directing customer’s attention in online shopping sites. </v>
      </c>
      <c r="H40" s="10" t="str">
        <f t="shared" si="6"/>
        <v xml:space="preserve">Alvre, P.; Gouveia, L. ; Sousa, S. </v>
      </c>
      <c r="I40" s="10" t="str">
        <f t="shared" si="7"/>
        <v xml:space="preserve">Alvre, P.; Gouveia, L. ; Sousa, S. </v>
      </c>
      <c r="J40" s="10" t="str">
        <f t="shared" si="8"/>
        <v xml:space="preserve">Alvre, P.; Gouveia, L. ; Sousa, S. </v>
      </c>
      <c r="K40" s="11" t="str">
        <f ca="1">IFERROR(__xludf.DUMMYFUNCTION("SPLIT(J40,"";"")"),"Alvre, P.")</f>
        <v>Alvre, P.</v>
      </c>
      <c r="L40" s="10" t="str">
        <f ca="1">IFERROR(__xludf.DUMMYFUNCTION("""COMPUTED_VALUE""")," Gouveia, L. ")</f>
        <v xml:space="preserve"> Gouveia, L. </v>
      </c>
      <c r="M40" s="10" t="str">
        <f ca="1">IFERROR(__xludf.DUMMYFUNCTION("""COMPUTED_VALUE""")," Sousa, S. ")</f>
        <v xml:space="preserve"> Sousa, S. </v>
      </c>
      <c r="N40" s="10"/>
      <c r="O40" s="10"/>
      <c r="P40" s="10"/>
      <c r="Q40" s="10"/>
      <c r="R40" s="10"/>
      <c r="S40" s="10"/>
      <c r="T40" s="10"/>
      <c r="U40" s="10"/>
      <c r="V40" s="10"/>
      <c r="W40" s="10"/>
      <c r="X40" s="10"/>
      <c r="Y40" s="10"/>
      <c r="Z40" s="10"/>
    </row>
    <row r="41" spans="1:26" ht="17.25" customHeight="1" x14ac:dyDescent="0.3">
      <c r="A41" s="10" t="s">
        <v>175</v>
      </c>
      <c r="B41" s="10">
        <f t="shared" si="0"/>
        <v>40</v>
      </c>
      <c r="C41" s="8" t="str">
        <f t="shared" si="1"/>
        <v xml:space="preserve">Lourenço, M.; Rurato, P. e Gouveia, L. </v>
      </c>
      <c r="D41" s="8" t="str">
        <f t="shared" si="2"/>
        <v>2017</v>
      </c>
      <c r="E41" s="10">
        <f t="shared" si="3"/>
        <v>45</v>
      </c>
      <c r="F41" s="10">
        <f t="shared" si="4"/>
        <v>172</v>
      </c>
      <c r="G41" s="8" t="str">
        <f t="shared" si="5"/>
        <v xml:space="preserve"> (Re)aprendizagem do professor do ensino superior face ao triângulo educação, tecnologia e aprendizagem no Ensino a Distância. </v>
      </c>
      <c r="H41" s="10" t="str">
        <f t="shared" si="6"/>
        <v xml:space="preserve">Lourenço, M.; Rurato, P. e Gouveia, L. </v>
      </c>
      <c r="I41" s="10" t="str">
        <f t="shared" si="7"/>
        <v xml:space="preserve">Lourenço, M.; Rurato, P. e Gouveia, L. </v>
      </c>
      <c r="J41" s="10" t="str">
        <f t="shared" si="8"/>
        <v xml:space="preserve">Lourenço, M.; Rurato, P.;Gouveia, L. </v>
      </c>
      <c r="K41" s="11" t="str">
        <f ca="1">IFERROR(__xludf.DUMMYFUNCTION("SPLIT(J41,"";"")"),"Lourenço, M.")</f>
        <v>Lourenço, M.</v>
      </c>
      <c r="L41" s="10" t="str">
        <f ca="1">IFERROR(__xludf.DUMMYFUNCTION("""COMPUTED_VALUE""")," Rurato, P.")</f>
        <v xml:space="preserve"> Rurato, P.</v>
      </c>
      <c r="M41" s="10" t="str">
        <f ca="1">IFERROR(__xludf.DUMMYFUNCTION("""COMPUTED_VALUE"""),"Gouveia, L. ")</f>
        <v xml:space="preserve">Gouveia, L. </v>
      </c>
      <c r="N41" s="10"/>
      <c r="O41" s="10"/>
      <c r="P41" s="10"/>
      <c r="Q41" s="10"/>
      <c r="R41" s="10"/>
      <c r="S41" s="10"/>
      <c r="T41" s="10"/>
      <c r="U41" s="10"/>
      <c r="V41" s="10"/>
      <c r="W41" s="10"/>
      <c r="X41" s="10"/>
      <c r="Y41" s="10"/>
      <c r="Z41" s="10"/>
    </row>
    <row r="42" spans="1:26" ht="17.25" customHeight="1" x14ac:dyDescent="0.3">
      <c r="A42" s="10" t="s">
        <v>176</v>
      </c>
      <c r="B42" s="10">
        <f t="shared" si="0"/>
        <v>41</v>
      </c>
      <c r="C42" s="8" t="str">
        <f t="shared" si="1"/>
        <v xml:space="preserve">Cordeiro, I.; Gouveia, L. e Cardoso, P. </v>
      </c>
      <c r="D42" s="8" t="str">
        <f t="shared" si="2"/>
        <v>2017</v>
      </c>
      <c r="E42" s="10">
        <f t="shared" si="3"/>
        <v>46</v>
      </c>
      <c r="F42" s="10">
        <f t="shared" si="4"/>
        <v>152</v>
      </c>
      <c r="G42" s="8" t="str">
        <f t="shared" si="5"/>
        <v xml:space="preserve"> A atração dos consumidores para o comércio tradicional em um contexto digital: requisitos e expetativas. </v>
      </c>
      <c r="H42" s="10" t="str">
        <f t="shared" si="6"/>
        <v xml:space="preserve">Cordeiro, I.; Gouveia, L. e Cardoso, P. </v>
      </c>
      <c r="I42" s="10" t="str">
        <f t="shared" si="7"/>
        <v xml:space="preserve">Cordeiro, I.; Gouveia, L. e Cardoso, P. </v>
      </c>
      <c r="J42" s="10" t="str">
        <f t="shared" si="8"/>
        <v xml:space="preserve">Cordeiro, I.; Gouveia, L.;Cardoso, P. </v>
      </c>
      <c r="K42" s="11" t="str">
        <f ca="1">IFERROR(__xludf.DUMMYFUNCTION("SPLIT(J42,"";"")"),"Cordeiro, I.")</f>
        <v>Cordeiro, I.</v>
      </c>
      <c r="L42" s="10" t="str">
        <f ca="1">IFERROR(__xludf.DUMMYFUNCTION("""COMPUTED_VALUE""")," Gouveia, L.")</f>
        <v xml:space="preserve"> Gouveia, L.</v>
      </c>
      <c r="M42" s="10" t="str">
        <f ca="1">IFERROR(__xludf.DUMMYFUNCTION("""COMPUTED_VALUE"""),"Cardoso, P. ")</f>
        <v xml:space="preserve">Cardoso, P. </v>
      </c>
      <c r="N42" s="10"/>
      <c r="O42" s="10"/>
      <c r="P42" s="10"/>
      <c r="Q42" s="10"/>
      <c r="R42" s="10"/>
      <c r="S42" s="10"/>
      <c r="T42" s="10"/>
      <c r="U42" s="10"/>
      <c r="V42" s="10"/>
      <c r="W42" s="10"/>
      <c r="X42" s="10"/>
      <c r="Y42" s="10"/>
      <c r="Z42" s="10"/>
    </row>
    <row r="43" spans="1:26" ht="17.25" customHeight="1" x14ac:dyDescent="0.3">
      <c r="A43" s="10" t="s">
        <v>177</v>
      </c>
      <c r="B43" s="10">
        <f t="shared" si="0"/>
        <v>26</v>
      </c>
      <c r="C43" s="8" t="str">
        <f t="shared" si="1"/>
        <v xml:space="preserve">Stenio, R. e Gouveia, L. </v>
      </c>
      <c r="D43" s="8" t="str">
        <f t="shared" si="2"/>
        <v>2017</v>
      </c>
      <c r="E43" s="10">
        <f t="shared" si="3"/>
        <v>31</v>
      </c>
      <c r="F43" s="10">
        <f t="shared" si="4"/>
        <v>155</v>
      </c>
      <c r="G43" s="8" t="str">
        <f t="shared" si="5"/>
        <v xml:space="preserve"> Uso de modelos matemáticos interpretados em plataforma digital como estratégia para o ensino e aprendizagem da matemática. </v>
      </c>
      <c r="H43" s="10" t="str">
        <f t="shared" si="6"/>
        <v xml:space="preserve">Stenio, R. e Gouveia, L. </v>
      </c>
      <c r="I43" s="10" t="str">
        <f t="shared" si="7"/>
        <v xml:space="preserve">Stenio, R. e Gouveia, L. </v>
      </c>
      <c r="J43" s="10" t="str">
        <f t="shared" si="8"/>
        <v xml:space="preserve">Stenio, R.;Gouveia, L. </v>
      </c>
      <c r="K43" s="11" t="str">
        <f ca="1">IFERROR(__xludf.DUMMYFUNCTION("SPLIT(J43,"";"")"),"Stenio, R.")</f>
        <v>Stenio, R.</v>
      </c>
      <c r="L43" s="10" t="str">
        <f ca="1">IFERROR(__xludf.DUMMYFUNCTION("""COMPUTED_VALUE"""),"Gouveia, L. ")</f>
        <v xml:space="preserve">Gouveia, L. </v>
      </c>
      <c r="M43" s="10"/>
      <c r="N43" s="10"/>
      <c r="O43" s="10"/>
      <c r="P43" s="10"/>
      <c r="Q43" s="10"/>
      <c r="R43" s="10"/>
      <c r="S43" s="10"/>
      <c r="T43" s="10"/>
      <c r="U43" s="10"/>
      <c r="V43" s="10"/>
      <c r="W43" s="10"/>
      <c r="X43" s="10"/>
      <c r="Y43" s="10"/>
      <c r="Z43" s="10"/>
    </row>
    <row r="44" spans="1:26" ht="17.25" customHeight="1" x14ac:dyDescent="0.3">
      <c r="A44" s="10" t="s">
        <v>178</v>
      </c>
      <c r="B44" s="10">
        <f t="shared" si="0"/>
        <v>27</v>
      </c>
      <c r="C44" s="8" t="str">
        <f t="shared" si="1"/>
        <v xml:space="preserve">Morgado, R. e Gouveia, L. </v>
      </c>
      <c r="D44" s="8" t="str">
        <f t="shared" si="2"/>
        <v>2017</v>
      </c>
      <c r="E44" s="10">
        <f t="shared" si="3"/>
        <v>32</v>
      </c>
      <c r="F44" s="10">
        <f t="shared" si="4"/>
        <v>75</v>
      </c>
      <c r="G44" s="8" t="str">
        <f t="shared" si="5"/>
        <v xml:space="preserve"> A importância da proteção do ciberespaço. </v>
      </c>
      <c r="H44" s="10" t="str">
        <f t="shared" si="6"/>
        <v xml:space="preserve">Morgado, R. e Gouveia, L. </v>
      </c>
      <c r="I44" s="10" t="str">
        <f t="shared" si="7"/>
        <v xml:space="preserve">Morgado, R. e Gouveia, L. </v>
      </c>
      <c r="J44" s="10" t="str">
        <f t="shared" si="8"/>
        <v xml:space="preserve">Morgado, R.;Gouveia, L. </v>
      </c>
      <c r="K44" s="11" t="str">
        <f ca="1">IFERROR(__xludf.DUMMYFUNCTION("SPLIT(J44,"";"")"),"Morgado, R.")</f>
        <v>Morgado, R.</v>
      </c>
      <c r="L44" s="10" t="str">
        <f ca="1">IFERROR(__xludf.DUMMYFUNCTION("""COMPUTED_VALUE"""),"Gouveia, L. ")</f>
        <v xml:space="preserve">Gouveia, L. </v>
      </c>
      <c r="M44" s="10"/>
      <c r="N44" s="10"/>
      <c r="O44" s="10"/>
      <c r="P44" s="10"/>
      <c r="Q44" s="10"/>
      <c r="R44" s="10"/>
      <c r="S44" s="10"/>
      <c r="T44" s="10"/>
      <c r="U44" s="10"/>
      <c r="V44" s="10"/>
      <c r="W44" s="10"/>
      <c r="X44" s="10"/>
      <c r="Y44" s="10"/>
      <c r="Z44" s="10"/>
    </row>
    <row r="45" spans="1:26" ht="17.25" customHeight="1" x14ac:dyDescent="0.3">
      <c r="A45" s="10" t="s">
        <v>179</v>
      </c>
      <c r="B45" s="10">
        <f t="shared" si="0"/>
        <v>27</v>
      </c>
      <c r="C45" s="8" t="str">
        <f t="shared" si="1"/>
        <v xml:space="preserve">Menezes, N. e Gouveia, L. </v>
      </c>
      <c r="D45" s="8" t="str">
        <f t="shared" si="2"/>
        <v>2017</v>
      </c>
      <c r="E45" s="10">
        <f t="shared" si="3"/>
        <v>32</v>
      </c>
      <c r="F45" s="10">
        <f t="shared" si="4"/>
        <v>152</v>
      </c>
      <c r="G45" s="8" t="str">
        <f t="shared" si="5"/>
        <v xml:space="preserve"> O recurso a tecnologias de informação e comunicação para suporte da atividade em sala de aula: uma proposta de modelo. </v>
      </c>
      <c r="H45" s="10" t="str">
        <f t="shared" si="6"/>
        <v xml:space="preserve">Menezes, N. e Gouveia, L. </v>
      </c>
      <c r="I45" s="10" t="str">
        <f t="shared" si="7"/>
        <v xml:space="preserve">Menezes, N. e Gouveia, L. </v>
      </c>
      <c r="J45" s="10" t="str">
        <f t="shared" si="8"/>
        <v xml:space="preserve">Menezes, N.;Gouveia, L. </v>
      </c>
      <c r="K45" s="11" t="str">
        <f ca="1">IFERROR(__xludf.DUMMYFUNCTION("SPLIT(J45,"";"")"),"Menezes, N.")</f>
        <v>Menezes, N.</v>
      </c>
      <c r="L45" s="10" t="str">
        <f ca="1">IFERROR(__xludf.DUMMYFUNCTION("""COMPUTED_VALUE"""),"Gouveia, L. ")</f>
        <v xml:space="preserve">Gouveia, L. </v>
      </c>
      <c r="M45" s="10"/>
      <c r="N45" s="10"/>
      <c r="O45" s="10"/>
      <c r="P45" s="10"/>
      <c r="Q45" s="10"/>
      <c r="R45" s="10"/>
      <c r="S45" s="10"/>
      <c r="T45" s="10"/>
      <c r="U45" s="10"/>
      <c r="V45" s="10"/>
      <c r="W45" s="10"/>
      <c r="X45" s="10"/>
      <c r="Y45" s="10"/>
      <c r="Z45" s="10"/>
    </row>
    <row r="46" spans="1:26" ht="17.25" customHeight="1" x14ac:dyDescent="0.3">
      <c r="A46" s="10" t="s">
        <v>180</v>
      </c>
      <c r="B46" s="10">
        <f t="shared" si="0"/>
        <v>28</v>
      </c>
      <c r="C46" s="8" t="str">
        <f t="shared" si="1"/>
        <v xml:space="preserve">Oliveira, M. e Gouveia, L. </v>
      </c>
      <c r="D46" s="8" t="str">
        <f t="shared" si="2"/>
        <v>2017</v>
      </c>
      <c r="E46" s="10">
        <f t="shared" si="3"/>
        <v>33</v>
      </c>
      <c r="F46" s="10">
        <f t="shared" si="4"/>
        <v>129</v>
      </c>
      <c r="G46" s="8" t="str">
        <f t="shared" si="5"/>
        <v xml:space="preserve"> Estudo da viabilidade da técnica de densidade radiográfica para mensuração de densidade óssea. </v>
      </c>
      <c r="H46" s="10" t="str">
        <f t="shared" si="6"/>
        <v xml:space="preserve">Oliveira, M. e Gouveia, L. </v>
      </c>
      <c r="I46" s="10" t="str">
        <f t="shared" si="7"/>
        <v xml:space="preserve">Oliveira, M. e Gouveia, L. </v>
      </c>
      <c r="J46" s="10" t="str">
        <f t="shared" si="8"/>
        <v xml:space="preserve">Oliveira, M.;Gouveia, L. </v>
      </c>
      <c r="K46" s="11" t="str">
        <f ca="1">IFERROR(__xludf.DUMMYFUNCTION("SPLIT(J46,"";"")"),"Oliveira, M.")</f>
        <v>Oliveira, M.</v>
      </c>
      <c r="L46" s="10" t="str">
        <f ca="1">IFERROR(__xludf.DUMMYFUNCTION("""COMPUTED_VALUE"""),"Gouveia, L. ")</f>
        <v xml:space="preserve">Gouveia, L. </v>
      </c>
      <c r="M46" s="10"/>
      <c r="N46" s="10"/>
      <c r="O46" s="10"/>
      <c r="P46" s="10"/>
      <c r="Q46" s="10"/>
      <c r="R46" s="10"/>
      <c r="S46" s="10"/>
      <c r="T46" s="10"/>
      <c r="U46" s="10"/>
      <c r="V46" s="10"/>
      <c r="W46" s="10"/>
      <c r="X46" s="10"/>
      <c r="Y46" s="10"/>
      <c r="Z46" s="10"/>
    </row>
    <row r="47" spans="1:26" ht="17.25" customHeight="1" x14ac:dyDescent="0.3">
      <c r="A47" s="10" t="s">
        <v>181</v>
      </c>
      <c r="B47" s="10">
        <f t="shared" si="0"/>
        <v>25</v>
      </c>
      <c r="C47" s="8" t="str">
        <f t="shared" si="1"/>
        <v xml:space="preserve">Rocha, L. e Gouveia, L. </v>
      </c>
      <c r="D47" s="8" t="str">
        <f t="shared" si="2"/>
        <v>2017</v>
      </c>
      <c r="E47" s="10">
        <f t="shared" si="3"/>
        <v>30</v>
      </c>
      <c r="F47" s="10">
        <f t="shared" si="4"/>
        <v>88</v>
      </c>
      <c r="G47" s="8" t="str">
        <f t="shared" si="5"/>
        <v xml:space="preserve"> A Economia compartilhada e os fatores que a influenciam. </v>
      </c>
      <c r="H47" s="10" t="str">
        <f t="shared" si="6"/>
        <v xml:space="preserve">Rocha, L. e Gouveia, L. </v>
      </c>
      <c r="I47" s="10" t="str">
        <f t="shared" si="7"/>
        <v xml:space="preserve">Rocha, L. e Gouveia, L. </v>
      </c>
      <c r="J47" s="10" t="str">
        <f t="shared" si="8"/>
        <v xml:space="preserve">Rocha, L.;Gouveia, L. </v>
      </c>
      <c r="K47" s="11" t="str">
        <f ca="1">IFERROR(__xludf.DUMMYFUNCTION("SPLIT(J47,"";"")"),"Rocha, L.")</f>
        <v>Rocha, L.</v>
      </c>
      <c r="L47" s="10" t="str">
        <f ca="1">IFERROR(__xludf.DUMMYFUNCTION("""COMPUTED_VALUE"""),"Gouveia, L. ")</f>
        <v xml:space="preserve">Gouveia, L. </v>
      </c>
      <c r="M47" s="10"/>
      <c r="N47" s="10"/>
      <c r="O47" s="10"/>
      <c r="P47" s="10"/>
      <c r="Q47" s="10"/>
      <c r="R47" s="10"/>
      <c r="S47" s="10"/>
      <c r="T47" s="10"/>
      <c r="U47" s="10"/>
      <c r="V47" s="10"/>
      <c r="W47" s="10"/>
      <c r="X47" s="10"/>
      <c r="Y47" s="10"/>
      <c r="Z47" s="10"/>
    </row>
    <row r="48" spans="1:26" ht="17.25" customHeight="1" x14ac:dyDescent="0.3">
      <c r="A48" s="10" t="s">
        <v>182</v>
      </c>
      <c r="B48" s="10">
        <f t="shared" si="0"/>
        <v>26</v>
      </c>
      <c r="C48" s="8" t="str">
        <f t="shared" si="1"/>
        <v xml:space="preserve">Santos, F. e Gouveia, L. </v>
      </c>
      <c r="D48" s="8" t="str">
        <f t="shared" si="2"/>
        <v>2017</v>
      </c>
      <c r="E48" s="10">
        <f t="shared" si="3"/>
        <v>31</v>
      </c>
      <c r="F48" s="10">
        <f t="shared" si="4"/>
        <v>174</v>
      </c>
      <c r="G48" s="8" t="str">
        <f t="shared" si="5"/>
        <v xml:space="preserve"> Relação dos fatores críticos de sucesso em gestão do conhecimento para empresas e alunos de Administração de Empresas no contexto brasileiro. </v>
      </c>
      <c r="H48" s="10" t="str">
        <f t="shared" si="6"/>
        <v xml:space="preserve">Santos, F. e Gouveia, L. </v>
      </c>
      <c r="I48" s="10" t="str">
        <f t="shared" si="7"/>
        <v xml:space="preserve">Santos, F. e Gouveia, L. </v>
      </c>
      <c r="J48" s="10" t="str">
        <f t="shared" si="8"/>
        <v xml:space="preserve">Santos, F.;Gouveia, L. </v>
      </c>
      <c r="K48" s="11" t="str">
        <f ca="1">IFERROR(__xludf.DUMMYFUNCTION("SPLIT(J48,"";"")"),"Santos, F.")</f>
        <v>Santos, F.</v>
      </c>
      <c r="L48" s="10" t="str">
        <f ca="1">IFERROR(__xludf.DUMMYFUNCTION("""COMPUTED_VALUE"""),"Gouveia, L. ")</f>
        <v xml:space="preserve">Gouveia, L. </v>
      </c>
      <c r="M48" s="10"/>
      <c r="N48" s="10"/>
      <c r="O48" s="10"/>
      <c r="P48" s="10"/>
      <c r="Q48" s="10"/>
      <c r="R48" s="10"/>
      <c r="S48" s="10"/>
      <c r="T48" s="10"/>
      <c r="U48" s="10"/>
      <c r="V48" s="10"/>
      <c r="W48" s="10"/>
      <c r="X48" s="10"/>
      <c r="Y48" s="10"/>
      <c r="Z48" s="10"/>
    </row>
    <row r="49" spans="1:26" ht="17.25" customHeight="1" x14ac:dyDescent="0.3">
      <c r="A49" s="10" t="s">
        <v>183</v>
      </c>
      <c r="B49" s="10">
        <f t="shared" si="0"/>
        <v>28</v>
      </c>
      <c r="C49" s="8" t="str">
        <f t="shared" si="1"/>
        <v xml:space="preserve">Nogueira, D. e Gouveia, L. </v>
      </c>
      <c r="D49" s="8" t="str">
        <f t="shared" si="2"/>
        <v>2017</v>
      </c>
      <c r="E49" s="10">
        <f t="shared" si="3"/>
        <v>33</v>
      </c>
      <c r="F49" s="10">
        <f t="shared" si="4"/>
        <v>174</v>
      </c>
      <c r="G49" s="8" t="str">
        <f t="shared" si="5"/>
        <v xml:space="preserve"> Estudo preliminar sobre competências nas redes digitais como estratégia de fortalecimento da Rede Nacional de Escolas de Governo do Brasil. </v>
      </c>
      <c r="H49" s="10" t="str">
        <f t="shared" si="6"/>
        <v xml:space="preserve">Nogueira, D. e Gouveia, L. </v>
      </c>
      <c r="I49" s="10" t="str">
        <f t="shared" si="7"/>
        <v xml:space="preserve">Nogueira, D. e Gouveia, L. </v>
      </c>
      <c r="J49" s="10" t="str">
        <f t="shared" si="8"/>
        <v xml:space="preserve">Nogueira, D.;Gouveia, L. </v>
      </c>
      <c r="K49" s="11" t="str">
        <f ca="1">IFERROR(__xludf.DUMMYFUNCTION("SPLIT(J49,"";"")"),"Nogueira, D.")</f>
        <v>Nogueira, D.</v>
      </c>
      <c r="L49" s="10" t="str">
        <f ca="1">IFERROR(__xludf.DUMMYFUNCTION("""COMPUTED_VALUE"""),"Gouveia, L. ")</f>
        <v xml:space="preserve">Gouveia, L. </v>
      </c>
      <c r="M49" s="10"/>
      <c r="N49" s="10"/>
      <c r="O49" s="10"/>
      <c r="P49" s="10"/>
      <c r="Q49" s="10"/>
      <c r="R49" s="10"/>
      <c r="S49" s="10"/>
      <c r="T49" s="10"/>
      <c r="U49" s="10"/>
      <c r="V49" s="10"/>
      <c r="W49" s="10"/>
      <c r="X49" s="10"/>
      <c r="Y49" s="10"/>
      <c r="Z49" s="10"/>
    </row>
    <row r="50" spans="1:26" ht="17.25" customHeight="1" x14ac:dyDescent="0.3">
      <c r="A50" s="10" t="s">
        <v>184</v>
      </c>
      <c r="B50" s="10">
        <f t="shared" si="0"/>
        <v>25</v>
      </c>
      <c r="C50" s="8" t="str">
        <f t="shared" si="1"/>
        <v xml:space="preserve">Silva, C. e Gouveia, L. </v>
      </c>
      <c r="D50" s="8" t="str">
        <f t="shared" si="2"/>
        <v>2017</v>
      </c>
      <c r="E50" s="10">
        <f t="shared" si="3"/>
        <v>30</v>
      </c>
      <c r="F50" s="10">
        <f t="shared" si="4"/>
        <v>156</v>
      </c>
      <c r="G50" s="8" t="str">
        <f t="shared" si="5"/>
        <v xml:space="preserve"> Transparência, ‘e-government’ e segurança da informação: uma contribuição para a sua discussão no contexto do poder público. </v>
      </c>
      <c r="H50" s="10" t="str">
        <f t="shared" si="6"/>
        <v xml:space="preserve">Silva, C. e Gouveia, L. </v>
      </c>
      <c r="I50" s="10" t="str">
        <f t="shared" si="7"/>
        <v xml:space="preserve">Silva, C. e Gouveia, L. </v>
      </c>
      <c r="J50" s="10" t="str">
        <f t="shared" si="8"/>
        <v xml:space="preserve">Silva, C.;Gouveia, L. </v>
      </c>
      <c r="K50" s="11" t="str">
        <f ca="1">IFERROR(__xludf.DUMMYFUNCTION("SPLIT(J50,"";"")"),"Silva, C.")</f>
        <v>Silva, C.</v>
      </c>
      <c r="L50" s="10" t="str">
        <f ca="1">IFERROR(__xludf.DUMMYFUNCTION("""COMPUTED_VALUE"""),"Gouveia, L. ")</f>
        <v xml:space="preserve">Gouveia, L. </v>
      </c>
      <c r="M50" s="10"/>
      <c r="N50" s="10"/>
      <c r="O50" s="10"/>
      <c r="P50" s="10"/>
      <c r="Q50" s="10"/>
      <c r="R50" s="10"/>
      <c r="S50" s="10"/>
      <c r="T50" s="10"/>
      <c r="U50" s="10"/>
      <c r="V50" s="10"/>
      <c r="W50" s="10"/>
      <c r="X50" s="10"/>
      <c r="Y50" s="10"/>
      <c r="Z50" s="10"/>
    </row>
    <row r="51" spans="1:26" ht="17.25" customHeight="1" x14ac:dyDescent="0.3">
      <c r="A51" s="10" t="s">
        <v>185</v>
      </c>
      <c r="B51" s="10">
        <f t="shared" si="0"/>
        <v>27</v>
      </c>
      <c r="C51" s="8" t="str">
        <f t="shared" si="1"/>
        <v xml:space="preserve">Quental, C. e Gouveia, L. </v>
      </c>
      <c r="D51" s="8" t="str">
        <f t="shared" si="2"/>
        <v>2017</v>
      </c>
      <c r="E51" s="10">
        <f t="shared" si="3"/>
        <v>32</v>
      </c>
      <c r="F51" s="10">
        <f t="shared" si="4"/>
        <v>131</v>
      </c>
      <c r="G51" s="8" t="str">
        <f t="shared" si="5"/>
        <v xml:space="preserve"> Mediação digital para participação pública: experiências de utilização em organizações sindicais. </v>
      </c>
      <c r="H51" s="10" t="str">
        <f t="shared" si="6"/>
        <v xml:space="preserve">Quental, C. e Gouveia, L. </v>
      </c>
      <c r="I51" s="10" t="str">
        <f t="shared" si="7"/>
        <v xml:space="preserve">Quental, C. e Gouveia, L. </v>
      </c>
      <c r="J51" s="10" t="str">
        <f t="shared" si="8"/>
        <v xml:space="preserve">Quental, C.;Gouveia, L. </v>
      </c>
      <c r="K51" s="11" t="str">
        <f ca="1">IFERROR(__xludf.DUMMYFUNCTION("SPLIT(J51,"";"")"),"Quental, C.")</f>
        <v>Quental, C.</v>
      </c>
      <c r="L51" s="10" t="str">
        <f ca="1">IFERROR(__xludf.DUMMYFUNCTION("""COMPUTED_VALUE"""),"Gouveia, L. ")</f>
        <v xml:space="preserve">Gouveia, L. </v>
      </c>
      <c r="M51" s="10"/>
      <c r="N51" s="10"/>
      <c r="O51" s="10"/>
      <c r="P51" s="10"/>
      <c r="Q51" s="10"/>
      <c r="R51" s="10"/>
      <c r="S51" s="10"/>
      <c r="T51" s="10"/>
      <c r="U51" s="10"/>
      <c r="V51" s="10"/>
      <c r="W51" s="10"/>
      <c r="X51" s="10"/>
      <c r="Y51" s="10"/>
      <c r="Z51" s="10"/>
    </row>
    <row r="52" spans="1:26" ht="17.25" customHeight="1" x14ac:dyDescent="0.3">
      <c r="A52" s="10" t="s">
        <v>186</v>
      </c>
      <c r="B52" s="10">
        <f t="shared" si="0"/>
        <v>26</v>
      </c>
      <c r="C52" s="8" t="str">
        <f t="shared" si="1"/>
        <v xml:space="preserve">Araújo, A. e Gouveia, L. </v>
      </c>
      <c r="D52" s="8" t="str">
        <f t="shared" si="2"/>
        <v>2017</v>
      </c>
      <c r="E52" s="10">
        <f t="shared" si="3"/>
        <v>31</v>
      </c>
      <c r="F52" s="10">
        <f t="shared" si="4"/>
        <v>164</v>
      </c>
      <c r="G52" s="8" t="str">
        <f t="shared" si="5"/>
        <v xml:space="preserve"> O digital nas instituições de ensino superior: justificação para o diagnóstico sobre a percepção de gestores, professores e alunos. </v>
      </c>
      <c r="H52" s="10" t="str">
        <f t="shared" si="6"/>
        <v xml:space="preserve">Araújo, A. e Gouveia, L. </v>
      </c>
      <c r="I52" s="10" t="str">
        <f t="shared" si="7"/>
        <v xml:space="preserve">Araújo, A. e Gouveia, L. </v>
      </c>
      <c r="J52" s="10" t="str">
        <f t="shared" si="8"/>
        <v xml:space="preserve">Araújo, A.;Gouveia, L. </v>
      </c>
      <c r="K52" s="11" t="str">
        <f ca="1">IFERROR(__xludf.DUMMYFUNCTION("SPLIT(J52,"";"")"),"Araújo, A.")</f>
        <v>Araújo, A.</v>
      </c>
      <c r="L52" s="10" t="str">
        <f ca="1">IFERROR(__xludf.DUMMYFUNCTION("""COMPUTED_VALUE"""),"Gouveia, L. ")</f>
        <v xml:space="preserve">Gouveia, L. </v>
      </c>
      <c r="M52" s="10"/>
      <c r="N52" s="10"/>
      <c r="O52" s="10"/>
      <c r="P52" s="10"/>
      <c r="Q52" s="10"/>
      <c r="R52" s="10"/>
      <c r="S52" s="10"/>
      <c r="T52" s="10"/>
      <c r="U52" s="10"/>
      <c r="V52" s="10"/>
      <c r="W52" s="10"/>
      <c r="X52" s="10"/>
      <c r="Y52" s="10"/>
      <c r="Z52" s="10"/>
    </row>
    <row r="53" spans="1:26" ht="17.25" customHeight="1" x14ac:dyDescent="0.3">
      <c r="A53" s="10" t="s">
        <v>187</v>
      </c>
      <c r="B53" s="10">
        <f t="shared" si="0"/>
        <v>26</v>
      </c>
      <c r="C53" s="8" t="str">
        <f t="shared" si="1"/>
        <v xml:space="preserve">Robalo, A. e Gouveia, L. </v>
      </c>
      <c r="D53" s="8" t="str">
        <f t="shared" si="2"/>
        <v>2017</v>
      </c>
      <c r="E53" s="10">
        <f t="shared" si="3"/>
        <v>31</v>
      </c>
      <c r="F53" s="10">
        <f t="shared" si="4"/>
        <v>163</v>
      </c>
      <c r="G53" s="8" t="str">
        <f t="shared" si="5"/>
        <v xml:space="preserve"> A introdução das TICs em sala de aula no ensino primário: formação de professores na província do Huambo para o projeto Meu Kamba. </v>
      </c>
      <c r="H53" s="10" t="str">
        <f t="shared" si="6"/>
        <v xml:space="preserve">Robalo, A. e Gouveia, L. </v>
      </c>
      <c r="I53" s="10" t="str">
        <f t="shared" si="7"/>
        <v xml:space="preserve">Robalo, A. e Gouveia, L. </v>
      </c>
      <c r="J53" s="10" t="str">
        <f t="shared" si="8"/>
        <v xml:space="preserve">Robalo, A.;Gouveia, L. </v>
      </c>
      <c r="K53" s="11" t="str">
        <f ca="1">IFERROR(__xludf.DUMMYFUNCTION("SPLIT(J53,"";"")"),"Robalo, A.")</f>
        <v>Robalo, A.</v>
      </c>
      <c r="L53" s="10" t="str">
        <f ca="1">IFERROR(__xludf.DUMMYFUNCTION("""COMPUTED_VALUE"""),"Gouveia, L. ")</f>
        <v xml:space="preserve">Gouveia, L. </v>
      </c>
      <c r="M53" s="10"/>
      <c r="N53" s="10"/>
      <c r="O53" s="10"/>
      <c r="P53" s="10"/>
      <c r="Q53" s="10"/>
      <c r="R53" s="10"/>
      <c r="S53" s="10"/>
      <c r="T53" s="10"/>
      <c r="U53" s="10"/>
      <c r="V53" s="10"/>
      <c r="W53" s="10"/>
      <c r="X53" s="10"/>
      <c r="Y53" s="10"/>
      <c r="Z53" s="10"/>
    </row>
    <row r="54" spans="1:26" ht="17.25" customHeight="1" x14ac:dyDescent="0.3">
      <c r="A54" s="10" t="s">
        <v>188</v>
      </c>
      <c r="B54" s="10">
        <f t="shared" si="0"/>
        <v>27</v>
      </c>
      <c r="C54" s="8" t="str">
        <f t="shared" si="1"/>
        <v xml:space="preserve">Correia, A. e Gouveia, L. </v>
      </c>
      <c r="D54" s="8" t="str">
        <f t="shared" si="2"/>
        <v>2017</v>
      </c>
      <c r="E54" s="10">
        <f t="shared" si="3"/>
        <v>32</v>
      </c>
      <c r="F54" s="10">
        <f t="shared" si="4"/>
        <v>102</v>
      </c>
      <c r="G54" s="8" t="str">
        <f t="shared" si="5"/>
        <v xml:space="preserve"> Cidades Digitais: uma perspetiva diferenciada dos espaços na cidade. </v>
      </c>
      <c r="H54" s="10" t="str">
        <f t="shared" si="6"/>
        <v xml:space="preserve">Correia, A. e Gouveia, L. </v>
      </c>
      <c r="I54" s="10" t="str">
        <f t="shared" si="7"/>
        <v xml:space="preserve">Correia, A. e Gouveia, L. </v>
      </c>
      <c r="J54" s="10" t="str">
        <f t="shared" si="8"/>
        <v xml:space="preserve">Correia, A.;Gouveia, L. </v>
      </c>
      <c r="K54" s="11" t="str">
        <f ca="1">IFERROR(__xludf.DUMMYFUNCTION("SPLIT(J54,"";"")"),"Correia, A.")</f>
        <v>Correia, A.</v>
      </c>
      <c r="L54" s="10" t="str">
        <f ca="1">IFERROR(__xludf.DUMMYFUNCTION("""COMPUTED_VALUE"""),"Gouveia, L. ")</f>
        <v xml:space="preserve">Gouveia, L. </v>
      </c>
      <c r="M54" s="10"/>
      <c r="N54" s="10"/>
      <c r="O54" s="10"/>
      <c r="P54" s="10"/>
      <c r="Q54" s="10"/>
      <c r="R54" s="10"/>
      <c r="S54" s="10"/>
      <c r="T54" s="10"/>
      <c r="U54" s="10"/>
      <c r="V54" s="10"/>
      <c r="W54" s="10"/>
      <c r="X54" s="10"/>
      <c r="Y54" s="10"/>
      <c r="Z54" s="10"/>
    </row>
    <row r="55" spans="1:26" ht="17.25" customHeight="1" x14ac:dyDescent="0.3">
      <c r="A55" s="10" t="s">
        <v>189</v>
      </c>
      <c r="B55" s="10">
        <f t="shared" si="0"/>
        <v>30</v>
      </c>
      <c r="C55" s="8" t="str">
        <f t="shared" si="1"/>
        <v xml:space="preserve">Cavalcante, A. e Gouveia, L. </v>
      </c>
      <c r="D55" s="8" t="str">
        <f t="shared" si="2"/>
        <v>2017</v>
      </c>
      <c r="E55" s="10">
        <f t="shared" si="3"/>
        <v>35</v>
      </c>
      <c r="F55" s="10">
        <f t="shared" si="4"/>
        <v>109</v>
      </c>
      <c r="G55" s="8" t="str">
        <f t="shared" si="5"/>
        <v xml:space="preserve"> A influência do digital para a imagem do turismo no nordeste brasileiro. </v>
      </c>
      <c r="H55" s="10" t="str">
        <f t="shared" si="6"/>
        <v xml:space="preserve">Cavalcante, A. e Gouveia, L. </v>
      </c>
      <c r="I55" s="10" t="str">
        <f t="shared" si="7"/>
        <v xml:space="preserve">Cavalcante, A. e Gouveia, L. </v>
      </c>
      <c r="J55" s="10" t="str">
        <f t="shared" si="8"/>
        <v xml:space="preserve">Cavalcante, A.;Gouveia, L. </v>
      </c>
      <c r="K55" s="11" t="str">
        <f ca="1">IFERROR(__xludf.DUMMYFUNCTION("SPLIT(J55,"";"")"),"Cavalcante, A.")</f>
        <v>Cavalcante, A.</v>
      </c>
      <c r="L55" s="10" t="str">
        <f ca="1">IFERROR(__xludf.DUMMYFUNCTION("""COMPUTED_VALUE"""),"Gouveia, L. ")</f>
        <v xml:space="preserve">Gouveia, L. </v>
      </c>
      <c r="M55" s="10"/>
      <c r="N55" s="10"/>
      <c r="O55" s="10"/>
      <c r="P55" s="10"/>
      <c r="Q55" s="10"/>
      <c r="R55" s="10"/>
      <c r="S55" s="10"/>
      <c r="T55" s="10"/>
      <c r="U55" s="10"/>
      <c r="V55" s="10"/>
      <c r="W55" s="10"/>
      <c r="X55" s="10"/>
      <c r="Y55" s="10"/>
      <c r="Z55" s="10"/>
    </row>
    <row r="56" spans="1:26" ht="17.25" customHeight="1" x14ac:dyDescent="0.3">
      <c r="A56" s="10" t="s">
        <v>190</v>
      </c>
      <c r="B56" s="10">
        <f t="shared" si="0"/>
        <v>13</v>
      </c>
      <c r="C56" s="8" t="str">
        <f t="shared" si="1"/>
        <v xml:space="preserve">Gouveia, L. </v>
      </c>
      <c r="D56" s="8" t="str">
        <f t="shared" si="2"/>
        <v>2017</v>
      </c>
      <c r="E56" s="10">
        <f t="shared" si="3"/>
        <v>18</v>
      </c>
      <c r="F56" s="10">
        <f t="shared" si="4"/>
        <v>95</v>
      </c>
      <c r="G56" s="8" t="str">
        <f t="shared" si="5"/>
        <v xml:space="preserve"> Transformação Digital: Desafios e Implicações na Perspectiva da Informação. </v>
      </c>
      <c r="H56" s="10" t="str">
        <f t="shared" si="6"/>
        <v xml:space="preserve">Gouveia, L. </v>
      </c>
      <c r="I56" s="10" t="str">
        <f t="shared" si="7"/>
        <v xml:space="preserve">Gouveia, L. </v>
      </c>
      <c r="J56" s="10" t="str">
        <f t="shared" si="8"/>
        <v xml:space="preserve">Gouveia, L. </v>
      </c>
      <c r="K56" s="11" t="str">
        <f ca="1">IFERROR(__xludf.DUMMYFUNCTION("SPLIT(J56,"";"")"),"Gouveia, L. ")</f>
        <v xml:space="preserve">Gouveia, L. </v>
      </c>
      <c r="L56" s="10"/>
      <c r="M56" s="10"/>
      <c r="N56" s="10"/>
      <c r="O56" s="10"/>
      <c r="P56" s="10"/>
      <c r="Q56" s="10"/>
      <c r="R56" s="10"/>
      <c r="S56" s="10"/>
      <c r="T56" s="10"/>
      <c r="U56" s="10"/>
      <c r="V56" s="10"/>
      <c r="W56" s="10"/>
      <c r="X56" s="10"/>
      <c r="Y56" s="10"/>
      <c r="Z56" s="10"/>
    </row>
    <row r="57" spans="1:26" ht="17.25" customHeight="1" x14ac:dyDescent="0.3">
      <c r="A57" s="10" t="s">
        <v>191</v>
      </c>
      <c r="B57" s="10">
        <f t="shared" si="0"/>
        <v>25</v>
      </c>
      <c r="C57" s="8" t="str">
        <f t="shared" si="1"/>
        <v xml:space="preserve">Silva, C. e Gouveia, L. </v>
      </c>
      <c r="D57" s="8" t="str">
        <f t="shared" si="2"/>
        <v>2017</v>
      </c>
      <c r="E57" s="10">
        <f t="shared" si="3"/>
        <v>30</v>
      </c>
      <c r="F57" s="10">
        <f t="shared" si="4"/>
        <v>87</v>
      </c>
      <c r="G57" s="8" t="str">
        <f t="shared" si="5"/>
        <v xml:space="preserve"> A Transparência e Sua Importância Para o Poder Público. </v>
      </c>
      <c r="H57" s="10" t="str">
        <f t="shared" si="6"/>
        <v xml:space="preserve">Silva, C. e Gouveia, L. </v>
      </c>
      <c r="I57" s="10" t="str">
        <f t="shared" si="7"/>
        <v xml:space="preserve">Silva, C. e Gouveia, L. </v>
      </c>
      <c r="J57" s="10" t="str">
        <f t="shared" si="8"/>
        <v xml:space="preserve">Silva, C.;Gouveia, L. </v>
      </c>
      <c r="K57" s="11" t="str">
        <f ca="1">IFERROR(__xludf.DUMMYFUNCTION("SPLIT(J57,"";"")"),"Silva, C.")</f>
        <v>Silva, C.</v>
      </c>
      <c r="L57" s="10" t="str">
        <f ca="1">IFERROR(__xludf.DUMMYFUNCTION("""COMPUTED_VALUE"""),"Gouveia, L. ")</f>
        <v xml:space="preserve">Gouveia, L. </v>
      </c>
      <c r="M57" s="10"/>
      <c r="N57" s="10"/>
      <c r="O57" s="10"/>
      <c r="P57" s="10"/>
      <c r="Q57" s="10"/>
      <c r="R57" s="10"/>
      <c r="S57" s="10"/>
      <c r="T57" s="10"/>
      <c r="U57" s="10"/>
      <c r="V57" s="10"/>
      <c r="W57" s="10"/>
      <c r="X57" s="10"/>
      <c r="Y57" s="10"/>
      <c r="Z57" s="10"/>
    </row>
    <row r="58" spans="1:26" ht="17.25" customHeight="1" x14ac:dyDescent="0.3">
      <c r="A58" s="10" t="s">
        <v>192</v>
      </c>
      <c r="B58" s="10">
        <f t="shared" si="0"/>
        <v>27</v>
      </c>
      <c r="C58" s="8" t="str">
        <f t="shared" si="1"/>
        <v xml:space="preserve">Morgado, R. e Gouveia, L. </v>
      </c>
      <c r="D58" s="8" t="str">
        <f t="shared" si="2"/>
        <v>2016</v>
      </c>
      <c r="E58" s="10">
        <f t="shared" si="3"/>
        <v>32</v>
      </c>
      <c r="F58" s="10">
        <f t="shared" si="4"/>
        <v>142</v>
      </c>
      <c r="G58" s="8" t="str">
        <f t="shared" si="5"/>
        <v xml:space="preserve"> O recurso e a contribuição potencial da inteligência artificial para a cibersegurança em ambientes digitais. </v>
      </c>
      <c r="H58" s="10" t="str">
        <f t="shared" si="6"/>
        <v xml:space="preserve">Morgado, R. e Gouveia, L. </v>
      </c>
      <c r="I58" s="10" t="str">
        <f t="shared" si="7"/>
        <v xml:space="preserve">Morgado, R. e Gouveia, L. </v>
      </c>
      <c r="J58" s="10" t="str">
        <f t="shared" si="8"/>
        <v xml:space="preserve">Morgado, R.;Gouveia, L. </v>
      </c>
      <c r="K58" s="11" t="str">
        <f ca="1">IFERROR(__xludf.DUMMYFUNCTION("SPLIT(J58,"";"")"),"Morgado, R.")</f>
        <v>Morgado, R.</v>
      </c>
      <c r="L58" s="10" t="str">
        <f ca="1">IFERROR(__xludf.DUMMYFUNCTION("""COMPUTED_VALUE"""),"Gouveia, L. ")</f>
        <v xml:space="preserve">Gouveia, L. </v>
      </c>
      <c r="M58" s="10"/>
      <c r="N58" s="10"/>
      <c r="O58" s="10"/>
      <c r="P58" s="10"/>
      <c r="Q58" s="10"/>
      <c r="R58" s="10"/>
      <c r="S58" s="10"/>
      <c r="T58" s="10"/>
      <c r="U58" s="10"/>
      <c r="V58" s="10"/>
      <c r="W58" s="10"/>
      <c r="X58" s="10"/>
      <c r="Y58" s="10"/>
      <c r="Z58" s="10"/>
    </row>
    <row r="59" spans="1:26" ht="17.25" customHeight="1" x14ac:dyDescent="0.3">
      <c r="A59" s="10" t="s">
        <v>193</v>
      </c>
      <c r="B59" s="10">
        <f t="shared" si="0"/>
        <v>27</v>
      </c>
      <c r="C59" s="8" t="str">
        <f t="shared" si="1"/>
        <v xml:space="preserve">Correia, A. e Gouveia, L. </v>
      </c>
      <c r="D59" s="8" t="str">
        <f t="shared" si="2"/>
        <v>2016</v>
      </c>
      <c r="E59" s="10">
        <f t="shared" si="3"/>
        <v>32</v>
      </c>
      <c r="F59" s="10">
        <f t="shared" si="4"/>
        <v>161</v>
      </c>
      <c r="G59" s="8" t="str">
        <f t="shared" si="5"/>
        <v xml:space="preserve"> A região norte NUT III como valor acrescentado para o desenvolvimento digital da região e o potencial do Porto como Smart City. </v>
      </c>
      <c r="H59" s="10" t="str">
        <f t="shared" si="6"/>
        <v xml:space="preserve">Correia, A. e Gouveia, L. </v>
      </c>
      <c r="I59" s="10" t="str">
        <f t="shared" si="7"/>
        <v xml:space="preserve">Correia, A. e Gouveia, L. </v>
      </c>
      <c r="J59" s="10" t="str">
        <f t="shared" si="8"/>
        <v xml:space="preserve">Correia, A.;Gouveia, L. </v>
      </c>
      <c r="K59" s="11" t="str">
        <f ca="1">IFERROR(__xludf.DUMMYFUNCTION("SPLIT(J59,"";"")"),"Correia, A.")</f>
        <v>Correia, A.</v>
      </c>
      <c r="L59" s="10" t="str">
        <f ca="1">IFERROR(__xludf.DUMMYFUNCTION("""COMPUTED_VALUE"""),"Gouveia, L. ")</f>
        <v xml:space="preserve">Gouveia, L. </v>
      </c>
      <c r="M59" s="10"/>
      <c r="N59" s="10"/>
      <c r="O59" s="10"/>
      <c r="P59" s="10"/>
      <c r="Q59" s="10"/>
      <c r="R59" s="10"/>
      <c r="S59" s="10"/>
      <c r="T59" s="10"/>
      <c r="U59" s="10"/>
      <c r="V59" s="10"/>
      <c r="W59" s="10"/>
      <c r="X59" s="10"/>
      <c r="Y59" s="10"/>
      <c r="Z59" s="10"/>
    </row>
    <row r="60" spans="1:26" ht="17.25" customHeight="1" x14ac:dyDescent="0.3">
      <c r="A60" s="10" t="s">
        <v>194</v>
      </c>
      <c r="B60" s="10">
        <f t="shared" si="0"/>
        <v>37</v>
      </c>
      <c r="C60" s="8" t="str">
        <f t="shared" si="1"/>
        <v xml:space="preserve">Araújo, P.; Gouveia, L. e Toldy, T. </v>
      </c>
      <c r="D60" s="8" t="str">
        <f t="shared" si="2"/>
        <v>2016</v>
      </c>
      <c r="E60" s="10">
        <f t="shared" si="3"/>
        <v>42</v>
      </c>
      <c r="F60" s="10">
        <f t="shared" si="4"/>
        <v>147</v>
      </c>
      <c r="G60" s="8" t="str">
        <f t="shared" si="5"/>
        <v xml:space="preserve"> Esfera Pública Digital: uso de uma plataforma digital para a gestão da informação da Educação Especial. </v>
      </c>
      <c r="H60" s="10" t="str">
        <f t="shared" si="6"/>
        <v xml:space="preserve">Araújo, P.; Gouveia, L. e Toldy, T. </v>
      </c>
      <c r="I60" s="10" t="str">
        <f t="shared" si="7"/>
        <v xml:space="preserve">Araújo, P.; Gouveia, L. e Toldy, T. </v>
      </c>
      <c r="J60" s="10" t="str">
        <f t="shared" si="8"/>
        <v xml:space="preserve">Araújo, P.; Gouveia, L.;Toldy, T. </v>
      </c>
      <c r="K60" s="11" t="str">
        <f ca="1">IFERROR(__xludf.DUMMYFUNCTION("SPLIT(J60,"";"")"),"Araújo, P.")</f>
        <v>Araújo, P.</v>
      </c>
      <c r="L60" s="10" t="str">
        <f ca="1">IFERROR(__xludf.DUMMYFUNCTION("""COMPUTED_VALUE""")," Gouveia, L.")</f>
        <v xml:space="preserve"> Gouveia, L.</v>
      </c>
      <c r="M60" s="10" t="str">
        <f ca="1">IFERROR(__xludf.DUMMYFUNCTION("""COMPUTED_VALUE"""),"Toldy, T. ")</f>
        <v xml:space="preserve">Toldy, T. </v>
      </c>
      <c r="N60" s="10"/>
      <c r="O60" s="10"/>
      <c r="P60" s="10"/>
      <c r="Q60" s="10"/>
      <c r="R60" s="10"/>
      <c r="S60" s="10"/>
      <c r="T60" s="10"/>
      <c r="U60" s="10"/>
      <c r="V60" s="10"/>
      <c r="W60" s="10"/>
      <c r="X60" s="10"/>
      <c r="Y60" s="10"/>
      <c r="Z60" s="10"/>
    </row>
    <row r="61" spans="1:26" ht="17.25" customHeight="1" x14ac:dyDescent="0.3">
      <c r="A61" s="10" t="s">
        <v>195</v>
      </c>
      <c r="B61" s="10">
        <f t="shared" si="0"/>
        <v>27</v>
      </c>
      <c r="C61" s="8" t="str">
        <f t="shared" si="1"/>
        <v xml:space="preserve">Menezes, N. e Gouveia, L. </v>
      </c>
      <c r="D61" s="8" t="str">
        <f t="shared" si="2"/>
        <v>2016</v>
      </c>
      <c r="E61" s="10">
        <f t="shared" si="3"/>
        <v>32</v>
      </c>
      <c r="F61" s="10">
        <f t="shared" si="4"/>
        <v>128</v>
      </c>
      <c r="G61" s="8" t="str">
        <f t="shared" si="5"/>
        <v xml:space="preserve"> O recurso a tecnologias de informação e comunicação para suporte da atividade em sala de aula. </v>
      </c>
      <c r="H61" s="10" t="str">
        <f t="shared" si="6"/>
        <v xml:space="preserve">Menezes, N. e Gouveia, L. </v>
      </c>
      <c r="I61" s="10" t="str">
        <f t="shared" si="7"/>
        <v xml:space="preserve">Menezes, N. e Gouveia, L. </v>
      </c>
      <c r="J61" s="10" t="str">
        <f t="shared" si="8"/>
        <v xml:space="preserve">Menezes, N.;Gouveia, L. </v>
      </c>
      <c r="K61" s="11" t="str">
        <f ca="1">IFERROR(__xludf.DUMMYFUNCTION("SPLIT(J61,"";"")"),"Menezes, N.")</f>
        <v>Menezes, N.</v>
      </c>
      <c r="L61" s="10" t="str">
        <f ca="1">IFERROR(__xludf.DUMMYFUNCTION("""COMPUTED_VALUE"""),"Gouveia, L. ")</f>
        <v xml:space="preserve">Gouveia, L. </v>
      </c>
      <c r="M61" s="10"/>
      <c r="N61" s="10"/>
      <c r="O61" s="10"/>
      <c r="P61" s="10"/>
      <c r="Q61" s="10"/>
      <c r="R61" s="10"/>
      <c r="S61" s="10"/>
      <c r="T61" s="10"/>
      <c r="U61" s="10"/>
      <c r="V61" s="10"/>
      <c r="W61" s="10"/>
      <c r="X61" s="10"/>
      <c r="Y61" s="10"/>
      <c r="Z61" s="10"/>
    </row>
    <row r="62" spans="1:26" ht="17.25" customHeight="1" x14ac:dyDescent="0.3">
      <c r="A62" s="10" t="s">
        <v>196</v>
      </c>
      <c r="B62" s="10">
        <f t="shared" si="0"/>
        <v>40</v>
      </c>
      <c r="C62" s="8" t="str">
        <f t="shared" si="1"/>
        <v xml:space="preserve">Lourenço, M.; Rurato, P. e Gouveia, L. </v>
      </c>
      <c r="D62" s="8" t="str">
        <f t="shared" si="2"/>
        <v>2016</v>
      </c>
      <c r="E62" s="10">
        <f t="shared" si="3"/>
        <v>45</v>
      </c>
      <c r="F62" s="10">
        <f t="shared" si="4"/>
        <v>129</v>
      </c>
      <c r="G62" s="8" t="str">
        <f t="shared" si="5"/>
        <v xml:space="preserve"> Educação, tecnologia, aprendizagem: exaltação à negociação: a busca da Relevância. </v>
      </c>
      <c r="H62" s="10" t="str">
        <f t="shared" si="6"/>
        <v xml:space="preserve">Lourenço, M.; Rurato, P. e Gouveia, L. </v>
      </c>
      <c r="I62" s="10" t="str">
        <f t="shared" si="7"/>
        <v xml:space="preserve">Lourenço, M.; Rurato, P. e Gouveia, L. </v>
      </c>
      <c r="J62" s="10" t="str">
        <f t="shared" si="8"/>
        <v xml:space="preserve">Lourenço, M.; Rurato, P.;Gouveia, L. </v>
      </c>
      <c r="K62" s="11" t="str">
        <f ca="1">IFERROR(__xludf.DUMMYFUNCTION("SPLIT(J62,"";"")"),"Lourenço, M.")</f>
        <v>Lourenço, M.</v>
      </c>
      <c r="L62" s="10" t="str">
        <f ca="1">IFERROR(__xludf.DUMMYFUNCTION("""COMPUTED_VALUE""")," Rurato, P.")</f>
        <v xml:space="preserve"> Rurato, P.</v>
      </c>
      <c r="M62" s="10" t="str">
        <f ca="1">IFERROR(__xludf.DUMMYFUNCTION("""COMPUTED_VALUE"""),"Gouveia, L. ")</f>
        <v xml:space="preserve">Gouveia, L. </v>
      </c>
      <c r="N62" s="10"/>
      <c r="O62" s="10"/>
      <c r="P62" s="10"/>
      <c r="Q62" s="10"/>
      <c r="R62" s="10"/>
      <c r="S62" s="10"/>
      <c r="T62" s="10"/>
      <c r="U62" s="10"/>
      <c r="V62" s="10"/>
      <c r="W62" s="10"/>
      <c r="X62" s="10"/>
      <c r="Y62" s="10"/>
      <c r="Z62" s="10"/>
    </row>
    <row r="63" spans="1:26" ht="17.25" customHeight="1" x14ac:dyDescent="0.3">
      <c r="A63" s="10" t="s">
        <v>197</v>
      </c>
      <c r="B63" s="10">
        <f t="shared" si="0"/>
        <v>35</v>
      </c>
      <c r="C63" s="8" t="str">
        <f t="shared" si="1"/>
        <v xml:space="preserve">Lopes, S.; Gouveia, L. e Reis, P. </v>
      </c>
      <c r="D63" s="8" t="str">
        <f t="shared" si="2"/>
        <v>2016</v>
      </c>
      <c r="E63" s="10">
        <f t="shared" si="3"/>
        <v>40</v>
      </c>
      <c r="F63" s="10">
        <f t="shared" si="4"/>
        <v>138</v>
      </c>
      <c r="G63" s="8" t="str">
        <f t="shared" si="5"/>
        <v xml:space="preserve"> O modelo de ensino do ‘flipped classroom’ (sala de aula invertida) no âmbito do ensino superior. </v>
      </c>
      <c r="H63" s="10" t="str">
        <f t="shared" si="6"/>
        <v xml:space="preserve">Lopes, S.; Gouveia, L. e Reis, P. </v>
      </c>
      <c r="I63" s="10" t="str">
        <f t="shared" si="7"/>
        <v xml:space="preserve">Lopes, S.; Gouveia, L. e Reis, P. </v>
      </c>
      <c r="J63" s="10" t="str">
        <f t="shared" si="8"/>
        <v xml:space="preserve">Lopes, S.; Gouveia, L.;Reis, P. </v>
      </c>
      <c r="K63" s="11" t="str">
        <f ca="1">IFERROR(__xludf.DUMMYFUNCTION("SPLIT(J63,"";"")"),"Lopes, S.")</f>
        <v>Lopes, S.</v>
      </c>
      <c r="L63" s="10" t="str">
        <f ca="1">IFERROR(__xludf.DUMMYFUNCTION("""COMPUTED_VALUE""")," Gouveia, L.")</f>
        <v xml:space="preserve"> Gouveia, L.</v>
      </c>
      <c r="M63" s="10" t="str">
        <f ca="1">IFERROR(__xludf.DUMMYFUNCTION("""COMPUTED_VALUE"""),"Reis, P. ")</f>
        <v xml:space="preserve">Reis, P. </v>
      </c>
      <c r="N63" s="10"/>
      <c r="O63" s="10"/>
      <c r="P63" s="10"/>
      <c r="Q63" s="10"/>
      <c r="R63" s="10"/>
      <c r="S63" s="10"/>
      <c r="T63" s="10"/>
      <c r="U63" s="10"/>
      <c r="V63" s="10"/>
      <c r="W63" s="10"/>
      <c r="X63" s="10"/>
      <c r="Y63" s="10"/>
      <c r="Z63" s="10"/>
    </row>
    <row r="64" spans="1:26" ht="17.25" customHeight="1" x14ac:dyDescent="0.3">
      <c r="A64" s="10" t="s">
        <v>198</v>
      </c>
      <c r="B64" s="10">
        <f t="shared" si="0"/>
        <v>25</v>
      </c>
      <c r="C64" s="8" t="str">
        <f t="shared" si="1"/>
        <v xml:space="preserve">Peres, P. e Gouveia, L. </v>
      </c>
      <c r="D64" s="8" t="str">
        <f t="shared" si="2"/>
        <v>2015</v>
      </c>
      <c r="E64" s="10">
        <f t="shared" si="3"/>
        <v>30</v>
      </c>
      <c r="F64" s="10">
        <f t="shared" si="4"/>
        <v>122</v>
      </c>
      <c r="G64" s="8" t="str">
        <f t="shared" si="5"/>
        <v xml:space="preserve"> Planeamento e Gestão da Mudança nos Processos de Implementação de Sistemas dee/b-learning. </v>
      </c>
      <c r="H64" s="10" t="str">
        <f t="shared" si="6"/>
        <v xml:space="preserve">Peres, P. e Gouveia, L. </v>
      </c>
      <c r="I64" s="10" t="str">
        <f t="shared" si="7"/>
        <v xml:space="preserve">Peres, P. e Gouveia, L. </v>
      </c>
      <c r="J64" s="10" t="str">
        <f t="shared" si="8"/>
        <v xml:space="preserve">Peres, P.;Gouveia, L. </v>
      </c>
      <c r="K64" s="11" t="str">
        <f ca="1">IFERROR(__xludf.DUMMYFUNCTION("SPLIT(J64,"";"")"),"Peres, P.")</f>
        <v>Peres, P.</v>
      </c>
      <c r="L64" s="10" t="str">
        <f ca="1">IFERROR(__xludf.DUMMYFUNCTION("""COMPUTED_VALUE"""),"Gouveia, L. ")</f>
        <v xml:space="preserve">Gouveia, L. </v>
      </c>
      <c r="M64" s="10"/>
      <c r="N64" s="10"/>
      <c r="O64" s="10"/>
      <c r="P64" s="10"/>
      <c r="Q64" s="10"/>
      <c r="R64" s="10"/>
      <c r="S64" s="10"/>
      <c r="T64" s="10"/>
      <c r="U64" s="10"/>
      <c r="V64" s="10"/>
      <c r="W64" s="10"/>
      <c r="X64" s="10"/>
      <c r="Y64" s="10"/>
      <c r="Z64" s="10"/>
    </row>
    <row r="65" spans="1:26" ht="17.25" customHeight="1" x14ac:dyDescent="0.3">
      <c r="A65" s="10" t="s">
        <v>199</v>
      </c>
      <c r="B65" s="10">
        <f t="shared" si="0"/>
        <v>24</v>
      </c>
      <c r="C65" s="8" t="str">
        <f t="shared" si="1"/>
        <v xml:space="preserve">Leal, J. e Gouveia, L. </v>
      </c>
      <c r="D65" s="8" t="str">
        <f t="shared" si="2"/>
        <v>2015</v>
      </c>
      <c r="E65" s="10">
        <f t="shared" si="3"/>
        <v>29</v>
      </c>
      <c r="F65" s="10">
        <f t="shared" si="4"/>
        <v>173</v>
      </c>
      <c r="G65" s="8" t="str">
        <f t="shared" si="5"/>
        <v xml:space="preserve"> MOOC: qual o papel na reconceptualização da Universidade? Gabinete de Relações Internacionais e Apoio ao Desenvolvimento Institucional (2015). </v>
      </c>
      <c r="H65" s="10" t="str">
        <f t="shared" si="6"/>
        <v xml:space="preserve">Leal, J. e Gouveia, L. </v>
      </c>
      <c r="I65" s="10" t="str">
        <f t="shared" si="7"/>
        <v xml:space="preserve">Leal, J. e Gouveia, L. </v>
      </c>
      <c r="J65" s="10" t="str">
        <f t="shared" si="8"/>
        <v xml:space="preserve">Leal, J.;Gouveia, L. </v>
      </c>
      <c r="K65" s="11" t="str">
        <f ca="1">IFERROR(__xludf.DUMMYFUNCTION("SPLIT(J65,"";"")"),"Leal, J.")</f>
        <v>Leal, J.</v>
      </c>
      <c r="L65" s="10" t="str">
        <f ca="1">IFERROR(__xludf.DUMMYFUNCTION("""COMPUTED_VALUE"""),"Gouveia, L. ")</f>
        <v xml:space="preserve">Gouveia, L. </v>
      </c>
      <c r="M65" s="10"/>
      <c r="N65" s="10"/>
      <c r="O65" s="10"/>
      <c r="P65" s="10"/>
      <c r="Q65" s="10"/>
      <c r="R65" s="10"/>
      <c r="S65" s="10"/>
      <c r="T65" s="10"/>
      <c r="U65" s="10"/>
      <c r="V65" s="10"/>
      <c r="W65" s="10"/>
      <c r="X65" s="10"/>
      <c r="Y65" s="10"/>
      <c r="Z65" s="10"/>
    </row>
    <row r="66" spans="1:26" ht="17.25" customHeight="1" x14ac:dyDescent="0.3">
      <c r="A66" s="10" t="s">
        <v>200</v>
      </c>
      <c r="B66" s="10">
        <f t="shared" si="0"/>
        <v>26</v>
      </c>
      <c r="C66" s="8" t="str">
        <f t="shared" si="1"/>
        <v xml:space="preserve">Robalo, A. e Gouveia, L. </v>
      </c>
      <c r="D66" s="8" t="str">
        <f t="shared" si="2"/>
        <v>2015</v>
      </c>
      <c r="E66" s="10">
        <f t="shared" si="3"/>
        <v>31</v>
      </c>
      <c r="F66" s="10">
        <f t="shared" si="4"/>
        <v>118</v>
      </c>
      <c r="G66" s="8" t="str">
        <f t="shared" si="5"/>
        <v xml:space="preserve"> O contributo da Mediateca do Huambo na promoção de competências TIC para professores. </v>
      </c>
      <c r="H66" s="10" t="str">
        <f t="shared" si="6"/>
        <v xml:space="preserve">Robalo, A. e Gouveia, L. </v>
      </c>
      <c r="I66" s="10" t="str">
        <f t="shared" si="7"/>
        <v xml:space="preserve">Robalo, A. e Gouveia, L. </v>
      </c>
      <c r="J66" s="10" t="str">
        <f t="shared" si="8"/>
        <v xml:space="preserve">Robalo, A.;Gouveia, L. </v>
      </c>
      <c r="K66" s="11" t="str">
        <f ca="1">IFERROR(__xludf.DUMMYFUNCTION("SPLIT(J66,"";"")"),"Robalo, A.")</f>
        <v>Robalo, A.</v>
      </c>
      <c r="L66" s="10" t="str">
        <f ca="1">IFERROR(__xludf.DUMMYFUNCTION("""COMPUTED_VALUE"""),"Gouveia, L. ")</f>
        <v xml:space="preserve">Gouveia, L. </v>
      </c>
      <c r="M66" s="10"/>
      <c r="N66" s="10"/>
      <c r="O66" s="10"/>
      <c r="P66" s="10"/>
      <c r="Q66" s="10"/>
      <c r="R66" s="10"/>
      <c r="S66" s="10"/>
      <c r="T66" s="10"/>
      <c r="U66" s="10"/>
      <c r="V66" s="10"/>
      <c r="W66" s="10"/>
      <c r="X66" s="10"/>
      <c r="Y66" s="10"/>
      <c r="Z66" s="10"/>
    </row>
    <row r="67" spans="1:26" ht="17.25" customHeight="1" x14ac:dyDescent="0.3">
      <c r="A67" s="10" t="s">
        <v>201</v>
      </c>
      <c r="B67" s="10">
        <f t="shared" si="0"/>
        <v>27</v>
      </c>
      <c r="C67" s="8" t="str">
        <f t="shared" si="1"/>
        <v xml:space="preserve">Martins, O. e Gouveia, L. </v>
      </c>
      <c r="D67" s="8" t="str">
        <f t="shared" si="2"/>
        <v>2015</v>
      </c>
      <c r="E67" s="10">
        <f t="shared" si="3"/>
        <v>32</v>
      </c>
      <c r="F67" s="10">
        <f t="shared" si="4"/>
        <v>169</v>
      </c>
      <c r="G67" s="8" t="str">
        <f t="shared" si="5"/>
        <v xml:space="preserve"> Bibliotecas académicas, lugar ou ponto de acesso?  Gabinete de Relações Internacionais e Apoio ao Desenvolvimento Institucional (2015). </v>
      </c>
      <c r="H67" s="10" t="str">
        <f t="shared" si="6"/>
        <v xml:space="preserve">Martins, O. e Gouveia, L. </v>
      </c>
      <c r="I67" s="10" t="str">
        <f t="shared" si="7"/>
        <v xml:space="preserve">Martins, O. e Gouveia, L. </v>
      </c>
      <c r="J67" s="10" t="str">
        <f t="shared" si="8"/>
        <v xml:space="preserve">Martins, O.;Gouveia, L. </v>
      </c>
      <c r="K67" s="11" t="str">
        <f ca="1">IFERROR(__xludf.DUMMYFUNCTION("SPLIT(J67,"";"")"),"Martins, O.")</f>
        <v>Martins, O.</v>
      </c>
      <c r="L67" s="10" t="str">
        <f ca="1">IFERROR(__xludf.DUMMYFUNCTION("""COMPUTED_VALUE"""),"Gouveia, L. ")</f>
        <v xml:space="preserve">Gouveia, L. </v>
      </c>
      <c r="M67" s="10"/>
      <c r="N67" s="10"/>
      <c r="O67" s="10"/>
      <c r="P67" s="10"/>
      <c r="Q67" s="10"/>
      <c r="R67" s="10"/>
      <c r="S67" s="10"/>
      <c r="T67" s="10"/>
      <c r="U67" s="10"/>
      <c r="V67" s="10"/>
      <c r="W67" s="10"/>
      <c r="X67" s="10"/>
      <c r="Y67" s="10"/>
      <c r="Z67" s="10"/>
    </row>
    <row r="68" spans="1:26" ht="17.25" customHeight="1" x14ac:dyDescent="0.3">
      <c r="A68" s="10" t="s">
        <v>202</v>
      </c>
      <c r="B68" s="10">
        <f t="shared" si="0"/>
        <v>27</v>
      </c>
      <c r="C68" s="8" t="str">
        <f t="shared" si="1"/>
        <v xml:space="preserve">Alfredo, P. e Gouveia, L. </v>
      </c>
      <c r="D68" s="8" t="str">
        <f t="shared" si="2"/>
        <v>2015</v>
      </c>
      <c r="E68" s="10">
        <f t="shared" si="3"/>
        <v>32</v>
      </c>
      <c r="F68" s="10">
        <f t="shared" si="4"/>
        <v>119</v>
      </c>
      <c r="G68" s="8" t="str">
        <f t="shared" si="5"/>
        <v xml:space="preserve"> Contribuições para a discussão de um modelo de governo electrónico local para Angola. </v>
      </c>
      <c r="H68" s="10" t="str">
        <f t="shared" si="6"/>
        <v xml:space="preserve">Alfredo, P. e Gouveia, L. </v>
      </c>
      <c r="I68" s="10" t="str">
        <f t="shared" si="7"/>
        <v xml:space="preserve">Alfredo, P. e Gouveia, L. </v>
      </c>
      <c r="J68" s="10" t="str">
        <f t="shared" si="8"/>
        <v xml:space="preserve">Alfredo, P.;Gouveia, L. </v>
      </c>
      <c r="K68" s="11" t="str">
        <f ca="1">IFERROR(__xludf.DUMMYFUNCTION("SPLIT(J68,"";"")"),"Alfredo, P.")</f>
        <v>Alfredo, P.</v>
      </c>
      <c r="L68" s="10" t="str">
        <f ca="1">IFERROR(__xludf.DUMMYFUNCTION("""COMPUTED_VALUE"""),"Gouveia, L. ")</f>
        <v xml:space="preserve">Gouveia, L. </v>
      </c>
      <c r="M68" s="10"/>
      <c r="N68" s="10"/>
      <c r="O68" s="10"/>
      <c r="P68" s="10"/>
      <c r="Q68" s="10"/>
      <c r="R68" s="10"/>
      <c r="S68" s="10"/>
      <c r="T68" s="10"/>
      <c r="U68" s="10"/>
      <c r="V68" s="10"/>
      <c r="W68" s="10"/>
      <c r="X68" s="10"/>
      <c r="Y68" s="10"/>
      <c r="Z68" s="10"/>
    </row>
    <row r="69" spans="1:26" ht="17.25" customHeight="1" x14ac:dyDescent="0.3">
      <c r="A69" s="10" t="s">
        <v>203</v>
      </c>
      <c r="B69" s="10">
        <f t="shared" si="0"/>
        <v>28</v>
      </c>
      <c r="C69" s="8" t="str">
        <f t="shared" si="1"/>
        <v xml:space="preserve">Abrantes, S. e Gouveia, L. </v>
      </c>
      <c r="D69" s="8" t="str">
        <f t="shared" si="2"/>
        <v>2015</v>
      </c>
      <c r="E69" s="10">
        <f t="shared" si="3"/>
        <v>33</v>
      </c>
      <c r="F69" s="10">
        <f t="shared" si="4"/>
        <v>129</v>
      </c>
      <c r="G69" s="8" t="str">
        <f t="shared" si="5"/>
        <v xml:space="preserve"> Um estudo empírico sobre a adopção de meios digitais para suporte à aprendizagem colaborativa. </v>
      </c>
      <c r="H69" s="10" t="str">
        <f t="shared" si="6"/>
        <v xml:space="preserve">Abrantes, S. e Gouveia, L. </v>
      </c>
      <c r="I69" s="10" t="str">
        <f t="shared" si="7"/>
        <v xml:space="preserve">Abrantes, S. e Gouveia, L. </v>
      </c>
      <c r="J69" s="10" t="str">
        <f t="shared" si="8"/>
        <v xml:space="preserve">Abrantes, S.;Gouveia, L. </v>
      </c>
      <c r="K69" s="11" t="str">
        <f ca="1">IFERROR(__xludf.DUMMYFUNCTION("SPLIT(J69,"";"")"),"Abrantes, S.")</f>
        <v>Abrantes, S.</v>
      </c>
      <c r="L69" s="10" t="str">
        <f ca="1">IFERROR(__xludf.DUMMYFUNCTION("""COMPUTED_VALUE"""),"Gouveia, L. ")</f>
        <v xml:space="preserve">Gouveia, L. </v>
      </c>
      <c r="M69" s="10"/>
      <c r="N69" s="10"/>
      <c r="O69" s="10"/>
      <c r="P69" s="10"/>
      <c r="Q69" s="10"/>
      <c r="R69" s="10"/>
      <c r="S69" s="10"/>
      <c r="T69" s="10"/>
      <c r="U69" s="10"/>
      <c r="V69" s="10"/>
      <c r="W69" s="10"/>
      <c r="X69" s="10"/>
      <c r="Y69" s="10"/>
      <c r="Z69" s="10"/>
    </row>
    <row r="70" spans="1:26" ht="17.25" customHeight="1" x14ac:dyDescent="0.3">
      <c r="A70" s="10" t="s">
        <v>204</v>
      </c>
      <c r="B70" s="10">
        <f t="shared" si="0"/>
        <v>27</v>
      </c>
      <c r="C70" s="8" t="str">
        <f t="shared" si="1"/>
        <v xml:space="preserve">Silva, P. and Gouveia, L. </v>
      </c>
      <c r="D70" s="8" t="str">
        <f t="shared" si="2"/>
        <v>2015</v>
      </c>
      <c r="E70" s="10">
        <f t="shared" si="3"/>
        <v>32</v>
      </c>
      <c r="F70" s="10">
        <f t="shared" si="4"/>
        <v>139</v>
      </c>
      <c r="G70" s="8" t="str">
        <f t="shared" si="5"/>
        <v xml:space="preserve"> The impact of digital in learning spaces: an analysis on the perspective of teachers in higher education. </v>
      </c>
      <c r="H70" s="10" t="str">
        <f t="shared" si="6"/>
        <v xml:space="preserve">Silva, P. ; Gouveia, L. </v>
      </c>
      <c r="I70" s="10" t="str">
        <f t="shared" si="7"/>
        <v xml:space="preserve">Silva, P. ; Gouveia, L. </v>
      </c>
      <c r="J70" s="10" t="str">
        <f t="shared" si="8"/>
        <v xml:space="preserve">Silva, P. ; Gouveia, L. </v>
      </c>
      <c r="K70" s="11" t="str">
        <f ca="1">IFERROR(__xludf.DUMMYFUNCTION("SPLIT(J70,"";"")"),"Silva, P. ")</f>
        <v xml:space="preserve">Silva, P. </v>
      </c>
      <c r="L70" s="10" t="str">
        <f ca="1">IFERROR(__xludf.DUMMYFUNCTION("""COMPUTED_VALUE""")," Gouveia, L. ")</f>
        <v xml:space="preserve"> Gouveia, L. </v>
      </c>
      <c r="M70" s="10"/>
      <c r="N70" s="10"/>
      <c r="O70" s="10"/>
      <c r="P70" s="10"/>
      <c r="Q70" s="10"/>
      <c r="R70" s="10"/>
      <c r="S70" s="10"/>
      <c r="T70" s="10"/>
      <c r="U70" s="10"/>
      <c r="V70" s="10"/>
      <c r="W70" s="10"/>
      <c r="X70" s="10"/>
      <c r="Y70" s="10"/>
      <c r="Z70" s="10"/>
    </row>
    <row r="71" spans="1:26" ht="17.25" customHeight="1" x14ac:dyDescent="0.3">
      <c r="A71" s="10" t="s">
        <v>205</v>
      </c>
      <c r="B71" s="10">
        <f t="shared" si="0"/>
        <v>28</v>
      </c>
      <c r="C71" s="8" t="str">
        <f t="shared" si="1"/>
        <v xml:space="preserve">Ferreira, A. e Gouveia, L. </v>
      </c>
      <c r="D71" s="8" t="str">
        <f t="shared" si="2"/>
        <v>2015</v>
      </c>
      <c r="E71" s="10">
        <f t="shared" si="3"/>
        <v>33</v>
      </c>
      <c r="F71" s="10">
        <f t="shared" si="4"/>
        <v>78</v>
      </c>
      <c r="G71" s="8" t="str">
        <f t="shared" si="5"/>
        <v xml:space="preserve"> O ensino e os novos sistemas de computação. </v>
      </c>
      <c r="H71" s="10" t="str">
        <f t="shared" si="6"/>
        <v xml:space="preserve">Ferreira, A. e Gouveia, L. </v>
      </c>
      <c r="I71" s="10" t="str">
        <f t="shared" si="7"/>
        <v xml:space="preserve">Ferreira, A. e Gouveia, L. </v>
      </c>
      <c r="J71" s="10" t="str">
        <f t="shared" si="8"/>
        <v xml:space="preserve">Ferreira, A.;Gouveia, L. </v>
      </c>
      <c r="K71" s="11" t="str">
        <f ca="1">IFERROR(__xludf.DUMMYFUNCTION("SPLIT(J71,"";"")"),"Ferreira, A.")</f>
        <v>Ferreira, A.</v>
      </c>
      <c r="L71" s="10" t="str">
        <f ca="1">IFERROR(__xludf.DUMMYFUNCTION("""COMPUTED_VALUE"""),"Gouveia, L. ")</f>
        <v xml:space="preserve">Gouveia, L. </v>
      </c>
      <c r="M71" s="10"/>
      <c r="N71" s="10"/>
      <c r="O71" s="10"/>
      <c r="P71" s="10"/>
      <c r="Q71" s="10"/>
      <c r="R71" s="10"/>
      <c r="S71" s="10"/>
      <c r="T71" s="10"/>
      <c r="U71" s="10"/>
      <c r="V71" s="10"/>
      <c r="W71" s="10"/>
      <c r="X71" s="10"/>
      <c r="Y71" s="10"/>
      <c r="Z71" s="10"/>
    </row>
    <row r="72" spans="1:26" ht="17.25" customHeight="1" x14ac:dyDescent="0.3">
      <c r="A72" s="10" t="s">
        <v>206</v>
      </c>
      <c r="B72" s="10">
        <f t="shared" si="0"/>
        <v>13</v>
      </c>
      <c r="C72" s="8" t="str">
        <f t="shared" si="1"/>
        <v xml:space="preserve">Gouveia, L. </v>
      </c>
      <c r="D72" s="8" t="str">
        <f t="shared" si="2"/>
        <v>2015</v>
      </c>
      <c r="E72" s="10">
        <f t="shared" si="3"/>
        <v>18</v>
      </c>
      <c r="F72" s="10">
        <f t="shared" si="4"/>
        <v>73</v>
      </c>
      <c r="G72" s="8" t="str">
        <f t="shared" si="5"/>
        <v xml:space="preserve"> Uma reflexão sobre o digital e o impacte no trabalho. </v>
      </c>
      <c r="H72" s="10" t="str">
        <f t="shared" si="6"/>
        <v xml:space="preserve">Gouveia, L. </v>
      </c>
      <c r="I72" s="10" t="str">
        <f t="shared" si="7"/>
        <v xml:space="preserve">Gouveia, L. </v>
      </c>
      <c r="J72" s="10" t="str">
        <f t="shared" si="8"/>
        <v xml:space="preserve">Gouveia, L. </v>
      </c>
      <c r="K72" s="11" t="str">
        <f ca="1">IFERROR(__xludf.DUMMYFUNCTION("SPLIT(J72,"";"")"),"Gouveia, L. ")</f>
        <v xml:space="preserve">Gouveia, L. </v>
      </c>
      <c r="L72" s="10"/>
      <c r="M72" s="10"/>
      <c r="N72" s="10"/>
      <c r="O72" s="10"/>
      <c r="P72" s="10"/>
      <c r="Q72" s="10"/>
      <c r="R72" s="10"/>
      <c r="S72" s="10"/>
      <c r="T72" s="10"/>
      <c r="U72" s="10"/>
      <c r="V72" s="10"/>
      <c r="W72" s="10"/>
      <c r="X72" s="10"/>
      <c r="Y72" s="10"/>
      <c r="Z72" s="10"/>
    </row>
    <row r="73" spans="1:26" ht="17.25" customHeight="1" x14ac:dyDescent="0.3">
      <c r="A73" s="10" t="s">
        <v>207</v>
      </c>
      <c r="B73" s="10">
        <f t="shared" si="0"/>
        <v>13</v>
      </c>
      <c r="C73" s="8" t="str">
        <f t="shared" si="1"/>
        <v xml:space="preserve">Gouveia, L. </v>
      </c>
      <c r="D73" s="8" t="str">
        <f t="shared" si="2"/>
        <v>2013</v>
      </c>
      <c r="E73" s="10">
        <f t="shared" si="3"/>
        <v>18</v>
      </c>
      <c r="F73" s="10">
        <f t="shared" si="4"/>
        <v>93</v>
      </c>
      <c r="G73" s="8" t="str">
        <f t="shared" si="5"/>
        <v xml:space="preserve"> O Digital e as Redes como mecanismos de inovação na participação pública. </v>
      </c>
      <c r="H73" s="10" t="str">
        <f t="shared" si="6"/>
        <v xml:space="preserve">Gouveia, L. </v>
      </c>
      <c r="I73" s="10" t="str">
        <f t="shared" si="7"/>
        <v xml:space="preserve">Gouveia, L. </v>
      </c>
      <c r="J73" s="10" t="str">
        <f t="shared" si="8"/>
        <v xml:space="preserve">Gouveia, L. </v>
      </c>
      <c r="K73" s="11" t="str">
        <f ca="1">IFERROR(__xludf.DUMMYFUNCTION("SPLIT(J73,"";"")"),"Gouveia, L. ")</f>
        <v xml:space="preserve">Gouveia, L. </v>
      </c>
      <c r="L73" s="10"/>
      <c r="M73" s="10"/>
      <c r="N73" s="10"/>
      <c r="O73" s="10"/>
      <c r="P73" s="10"/>
      <c r="Q73" s="10"/>
      <c r="R73" s="10"/>
      <c r="S73" s="10"/>
      <c r="T73" s="10"/>
      <c r="U73" s="10"/>
      <c r="V73" s="10"/>
      <c r="W73" s="10"/>
      <c r="X73" s="10"/>
      <c r="Y73" s="10"/>
      <c r="Z73" s="10"/>
    </row>
    <row r="74" spans="1:26" ht="17.25" customHeight="1" x14ac:dyDescent="0.3">
      <c r="A74" s="10" t="s">
        <v>208</v>
      </c>
      <c r="B74" s="10">
        <f t="shared" si="0"/>
        <v>13</v>
      </c>
      <c r="C74" s="8" t="str">
        <f t="shared" si="1"/>
        <v xml:space="preserve">Gouveia, L. </v>
      </c>
      <c r="D74" s="8" t="str">
        <f t="shared" si="2"/>
        <v>2012</v>
      </c>
      <c r="E74" s="10">
        <f t="shared" si="3"/>
        <v>18</v>
      </c>
      <c r="F74" s="10">
        <f t="shared" si="4"/>
        <v>91</v>
      </c>
      <c r="G74" s="8" t="str">
        <f t="shared" si="5"/>
        <v xml:space="preserve"> Tecnologias de Informação Documental: impacte do Digital in Freitas, J.;</v>
      </c>
      <c r="H74" s="10" t="str">
        <f t="shared" si="6"/>
        <v xml:space="preserve">Gouveia, L. </v>
      </c>
      <c r="I74" s="10" t="str">
        <f t="shared" si="7"/>
        <v xml:space="preserve">Gouveia, L. </v>
      </c>
      <c r="J74" s="10" t="str">
        <f t="shared" si="8"/>
        <v xml:space="preserve">Gouveia, L. </v>
      </c>
      <c r="K74" s="11" t="str">
        <f ca="1">IFERROR(__xludf.DUMMYFUNCTION("SPLIT(J74,"";"")"),"Gouveia, L. ")</f>
        <v xml:space="preserve">Gouveia, L. </v>
      </c>
      <c r="L74" s="10"/>
      <c r="M74" s="10"/>
      <c r="N74" s="10"/>
      <c r="O74" s="10"/>
      <c r="P74" s="10"/>
      <c r="Q74" s="10"/>
      <c r="R74" s="10"/>
      <c r="S74" s="10"/>
      <c r="T74" s="10"/>
      <c r="U74" s="10"/>
      <c r="V74" s="10"/>
      <c r="W74" s="10"/>
      <c r="X74" s="10"/>
      <c r="Y74" s="10"/>
      <c r="Z74" s="10"/>
    </row>
    <row r="75" spans="1:26" ht="17.25" customHeight="1" x14ac:dyDescent="0.3">
      <c r="A75" s="10" t="s">
        <v>209</v>
      </c>
      <c r="B75" s="10">
        <f t="shared" si="0"/>
        <v>28</v>
      </c>
      <c r="C75" s="8" t="str">
        <f t="shared" si="1"/>
        <v xml:space="preserve">Abrantes, S. e Gouveia, L. </v>
      </c>
      <c r="D75" s="8" t="str">
        <f t="shared" si="2"/>
        <v>2009</v>
      </c>
      <c r="E75" s="10">
        <f t="shared" si="3"/>
        <v>33</v>
      </c>
      <c r="F75" s="10">
        <f t="shared" si="4"/>
        <v>133</v>
      </c>
      <c r="G75" s="8" t="str">
        <f t="shared" si="5"/>
        <v xml:space="preserve"> A experiência do fluxo no uso de jogos para suporte à aprendizagem de Matemática no Ensino Básico. </v>
      </c>
      <c r="H75" s="10" t="str">
        <f t="shared" si="6"/>
        <v xml:space="preserve">Abrantes, S. e Gouveia, L. </v>
      </c>
      <c r="I75" s="10" t="str">
        <f t="shared" si="7"/>
        <v xml:space="preserve">Abrantes, S. e Gouveia, L. </v>
      </c>
      <c r="J75" s="10" t="str">
        <f t="shared" si="8"/>
        <v xml:space="preserve">Abrantes, S.;Gouveia, L. </v>
      </c>
      <c r="K75" s="11" t="str">
        <f ca="1">IFERROR(__xludf.DUMMYFUNCTION("SPLIT(J75,"";"")"),"Abrantes, S.")</f>
        <v>Abrantes, S.</v>
      </c>
      <c r="L75" s="10" t="str">
        <f ca="1">IFERROR(__xludf.DUMMYFUNCTION("""COMPUTED_VALUE"""),"Gouveia, L. ")</f>
        <v xml:space="preserve">Gouveia, L. </v>
      </c>
      <c r="M75" s="10"/>
      <c r="N75" s="10"/>
      <c r="O75" s="10"/>
      <c r="P75" s="10"/>
      <c r="Q75" s="10"/>
      <c r="R75" s="10"/>
      <c r="S75" s="10"/>
      <c r="T75" s="10"/>
      <c r="U75" s="10"/>
      <c r="V75" s="10"/>
      <c r="W75" s="10"/>
      <c r="X75" s="10"/>
      <c r="Y75" s="10"/>
      <c r="Z75" s="10"/>
    </row>
    <row r="76" spans="1:26" ht="17.25" customHeight="1" x14ac:dyDescent="0.3">
      <c r="A76" s="10" t="s">
        <v>210</v>
      </c>
      <c r="B76" s="10">
        <f t="shared" si="0"/>
        <v>13</v>
      </c>
      <c r="C76" s="8" t="str">
        <f t="shared" si="1"/>
        <v xml:space="preserve">Gouveia, L. </v>
      </c>
      <c r="D76" s="8" t="str">
        <f t="shared" si="2"/>
        <v>2008</v>
      </c>
      <c r="E76" s="10">
        <f t="shared" si="3"/>
        <v>18</v>
      </c>
      <c r="F76" s="10">
        <f t="shared" si="4"/>
        <v>82</v>
      </c>
      <c r="G76" s="8" t="str">
        <f t="shared" si="5"/>
        <v xml:space="preserve"> As TIC e o  E-Business como alavanca dos Processos de Negócio. </v>
      </c>
      <c r="H76" s="10" t="str">
        <f t="shared" si="6"/>
        <v xml:space="preserve">Gouveia, L. </v>
      </c>
      <c r="I76" s="10" t="str">
        <f t="shared" si="7"/>
        <v xml:space="preserve">Gouveia, L. </v>
      </c>
      <c r="J76" s="10" t="str">
        <f t="shared" si="8"/>
        <v xml:space="preserve">Gouveia, L. </v>
      </c>
      <c r="K76" s="11" t="str">
        <f ca="1">IFERROR(__xludf.DUMMYFUNCTION("SPLIT(J76,"";"")"),"Gouveia, L. ")</f>
        <v xml:space="preserve">Gouveia, L. </v>
      </c>
      <c r="L76" s="10"/>
      <c r="M76" s="10"/>
      <c r="N76" s="10"/>
      <c r="O76" s="10"/>
      <c r="P76" s="10"/>
      <c r="Q76" s="10"/>
      <c r="R76" s="10"/>
      <c r="S76" s="10"/>
      <c r="T76" s="10"/>
      <c r="U76" s="10"/>
      <c r="V76" s="10"/>
      <c r="W76" s="10"/>
      <c r="X76" s="10"/>
      <c r="Y76" s="10"/>
      <c r="Z76" s="10"/>
    </row>
    <row r="77" spans="1:26" ht="17.25" customHeight="1" x14ac:dyDescent="0.3">
      <c r="A77" s="10" t="s">
        <v>211</v>
      </c>
      <c r="B77" s="10">
        <f t="shared" si="0"/>
        <v>13</v>
      </c>
      <c r="C77" s="8" t="str">
        <f t="shared" si="1"/>
        <v xml:space="preserve">Gouveia, L. </v>
      </c>
      <c r="D77" s="8" t="str">
        <f t="shared" si="2"/>
        <v>2006</v>
      </c>
      <c r="E77" s="10">
        <f t="shared" si="3"/>
        <v>18</v>
      </c>
      <c r="F77" s="10">
        <f t="shared" si="4"/>
        <v>104</v>
      </c>
      <c r="G77" s="8" t="str">
        <f t="shared" si="5"/>
        <v xml:space="preserve"> A Gestão da Informação: um ensaio sobre a sua relevância no contexto organizacional. </v>
      </c>
      <c r="H77" s="10" t="str">
        <f t="shared" si="6"/>
        <v xml:space="preserve">Gouveia, L. </v>
      </c>
      <c r="I77" s="10" t="str">
        <f t="shared" si="7"/>
        <v xml:space="preserve">Gouveia, L. </v>
      </c>
      <c r="J77" s="10" t="str">
        <f t="shared" si="8"/>
        <v xml:space="preserve">Gouveia, L. </v>
      </c>
      <c r="K77" s="11" t="str">
        <f ca="1">IFERROR(__xludf.DUMMYFUNCTION("SPLIT(J77,"";"")"),"Gouveia, L. ")</f>
        <v xml:space="preserve">Gouveia, L. </v>
      </c>
      <c r="L77" s="10"/>
      <c r="M77" s="10"/>
      <c r="N77" s="10"/>
      <c r="O77" s="10"/>
      <c r="P77" s="10"/>
      <c r="Q77" s="10"/>
      <c r="R77" s="10"/>
      <c r="S77" s="10"/>
      <c r="T77" s="10"/>
      <c r="U77" s="10"/>
      <c r="V77" s="10"/>
      <c r="W77" s="10"/>
      <c r="X77" s="10"/>
      <c r="Y77" s="10"/>
      <c r="Z77" s="10"/>
    </row>
    <row r="78" spans="1:26" ht="17.25" customHeight="1" x14ac:dyDescent="0.3">
      <c r="A78" s="10" t="s">
        <v>212</v>
      </c>
      <c r="B78" s="10">
        <f t="shared" si="0"/>
        <v>40</v>
      </c>
      <c r="C78" s="8" t="str">
        <f t="shared" si="1"/>
        <v xml:space="preserve">Xavier, J. e Gouveia, L. e Gouveia, J. </v>
      </c>
      <c r="D78" s="8" t="str">
        <f t="shared" si="2"/>
        <v>2004</v>
      </c>
      <c r="E78" s="10">
        <f t="shared" si="3"/>
        <v>45</v>
      </c>
      <c r="F78" s="10">
        <f t="shared" si="4"/>
        <v>116</v>
      </c>
      <c r="G78" s="8" t="str">
        <f t="shared" si="5"/>
        <v xml:space="preserve"> Cidades e Regiões Inteligentes – uma reflexão sobre o caso português. </v>
      </c>
      <c r="H78" s="10" t="str">
        <f t="shared" si="6"/>
        <v xml:space="preserve">Xavier, J. e Gouveia, L. e Gouveia, J. </v>
      </c>
      <c r="I78" s="10" t="str">
        <f t="shared" si="7"/>
        <v xml:space="preserve">Xavier, J. e Gouveia, L. e Gouveia, J. </v>
      </c>
      <c r="J78" s="10" t="str">
        <f t="shared" si="8"/>
        <v xml:space="preserve">Xavier, J.;Gouveia, L.;Gouveia, J. </v>
      </c>
      <c r="K78" s="11" t="str">
        <f ca="1">IFERROR(__xludf.DUMMYFUNCTION("SPLIT(J78,"";"")"),"Xavier, J.")</f>
        <v>Xavier, J.</v>
      </c>
      <c r="L78" s="10" t="str">
        <f ca="1">IFERROR(__xludf.DUMMYFUNCTION("""COMPUTED_VALUE"""),"Gouveia, L.")</f>
        <v>Gouveia, L.</v>
      </c>
      <c r="M78" s="10" t="str">
        <f ca="1">IFERROR(__xludf.DUMMYFUNCTION("""COMPUTED_VALUE"""),"Gouveia, J. ")</f>
        <v xml:space="preserve">Gouveia, J. </v>
      </c>
      <c r="N78" s="10"/>
      <c r="O78" s="10"/>
      <c r="P78" s="10"/>
      <c r="Q78" s="10"/>
      <c r="R78" s="10"/>
      <c r="S78" s="10"/>
      <c r="T78" s="10"/>
      <c r="U78" s="10"/>
      <c r="V78" s="10"/>
      <c r="W78" s="10"/>
      <c r="X78" s="10"/>
      <c r="Y78" s="10"/>
      <c r="Z78" s="10"/>
    </row>
    <row r="79" spans="1:26" ht="17.25" customHeight="1" x14ac:dyDescent="0.3">
      <c r="A79" s="10" t="s">
        <v>213</v>
      </c>
      <c r="B79" s="10">
        <f t="shared" si="0"/>
        <v>40</v>
      </c>
      <c r="C79" s="8" t="str">
        <f t="shared" si="1"/>
        <v xml:space="preserve">Rurato, P. e Gouveia, L. e Gouveia, J. </v>
      </c>
      <c r="D79" s="8" t="str">
        <f t="shared" si="2"/>
        <v>2004</v>
      </c>
      <c r="E79" s="10">
        <f t="shared" si="3"/>
        <v>213</v>
      </c>
      <c r="F79" s="10">
        <f t="shared" si="4"/>
        <v>262</v>
      </c>
      <c r="G79" s="8" t="str">
        <f t="shared" si="5"/>
        <v xml:space="preserve"> Sociedade da Informação: balanço e implicações. </v>
      </c>
      <c r="H79" s="10" t="str">
        <f t="shared" si="6"/>
        <v xml:space="preserve">Rurato, P. e Gouveia, L. e Gouveia, J. </v>
      </c>
      <c r="I79" s="10" t="str">
        <f t="shared" si="7"/>
        <v xml:space="preserve">Rurato, P. e Gouveia, L. e Gouveia, J. </v>
      </c>
      <c r="J79" s="10" t="str">
        <f t="shared" si="8"/>
        <v xml:space="preserve">Rurato, P.;Gouveia, L.;Gouveia, J. </v>
      </c>
      <c r="K79" s="11" t="str">
        <f ca="1">IFERROR(__xludf.DUMMYFUNCTION("SPLIT(J79,"";"")"),"Rurato, P.")</f>
        <v>Rurato, P.</v>
      </c>
      <c r="L79" s="10" t="str">
        <f ca="1">IFERROR(__xludf.DUMMYFUNCTION("""COMPUTED_VALUE"""),"Gouveia, L.")</f>
        <v>Gouveia, L.</v>
      </c>
      <c r="M79" s="10" t="str">
        <f ca="1">IFERROR(__xludf.DUMMYFUNCTION("""COMPUTED_VALUE"""),"Gouveia, J. ")</f>
        <v xml:space="preserve">Gouveia, J. </v>
      </c>
      <c r="N79" s="10"/>
      <c r="O79" s="10"/>
      <c r="P79" s="10"/>
      <c r="Q79" s="10"/>
      <c r="R79" s="10"/>
      <c r="S79" s="10"/>
      <c r="T79" s="10"/>
      <c r="U79" s="10"/>
      <c r="V79" s="10"/>
      <c r="W79" s="10"/>
      <c r="X79" s="10"/>
      <c r="Y79" s="10"/>
      <c r="Z79" s="10"/>
    </row>
    <row r="80" spans="1:26" ht="17.25" customHeight="1" x14ac:dyDescent="0.3">
      <c r="A80" s="10" t="s">
        <v>214</v>
      </c>
      <c r="B80" s="10">
        <f t="shared" si="0"/>
        <v>43</v>
      </c>
      <c r="C80" s="8" t="str">
        <f t="shared" si="1"/>
        <v xml:space="preserve">Almeida, R. e Cerqueira, J. e Gouveia, L. </v>
      </c>
      <c r="D80" s="8" t="str">
        <f t="shared" si="2"/>
        <v>2004</v>
      </c>
      <c r="E80" s="10">
        <f t="shared" si="3"/>
        <v>48</v>
      </c>
      <c r="F80" s="10">
        <f t="shared" si="4"/>
        <v>139</v>
      </c>
      <c r="G80" s="8" t="str">
        <f t="shared" si="5"/>
        <v xml:space="preserve"> Gaia Global: Infra-estrutura Digital: Consolidação de Conceitos do Portal para o Cidadão. </v>
      </c>
      <c r="H80" s="10" t="str">
        <f t="shared" si="6"/>
        <v xml:space="preserve">Almeida, R. e Cerqueira, J. e Gouveia, L. </v>
      </c>
      <c r="I80" s="10" t="str">
        <f t="shared" si="7"/>
        <v xml:space="preserve">Almeida, R. e Cerqueira, J. e Gouveia, L. </v>
      </c>
      <c r="J80" s="10" t="str">
        <f t="shared" si="8"/>
        <v xml:space="preserve">Almeida, R.;Cerqueira, J.;Gouveia, L. </v>
      </c>
      <c r="K80" s="11" t="str">
        <f ca="1">IFERROR(__xludf.DUMMYFUNCTION("SPLIT(J80,"";"")"),"Almeida, R.")</f>
        <v>Almeida, R.</v>
      </c>
      <c r="L80" s="10" t="str">
        <f ca="1">IFERROR(__xludf.DUMMYFUNCTION("""COMPUTED_VALUE"""),"Cerqueira, J.")</f>
        <v>Cerqueira, J.</v>
      </c>
      <c r="M80" s="10" t="str">
        <f ca="1">IFERROR(__xludf.DUMMYFUNCTION("""COMPUTED_VALUE"""),"Gouveia, L. ")</f>
        <v xml:space="preserve">Gouveia, L. </v>
      </c>
      <c r="N80" s="10"/>
      <c r="O80" s="10"/>
      <c r="P80" s="10"/>
      <c r="Q80" s="10"/>
      <c r="R80" s="10"/>
      <c r="S80" s="10"/>
      <c r="T80" s="10"/>
      <c r="U80" s="10"/>
      <c r="V80" s="10"/>
      <c r="W80" s="10"/>
      <c r="X80" s="10"/>
      <c r="Y80" s="10"/>
      <c r="Z80" s="10"/>
    </row>
    <row r="81" spans="1:26" ht="17.25" customHeight="1" x14ac:dyDescent="0.3">
      <c r="A81" s="10" t="s">
        <v>215</v>
      </c>
      <c r="B81" s="10">
        <f t="shared" si="0"/>
        <v>24</v>
      </c>
      <c r="C81" s="8" t="str">
        <f t="shared" si="1"/>
        <v xml:space="preserve">Gouveia, L. e Gaio, S. </v>
      </c>
      <c r="D81" s="8" t="str">
        <f t="shared" si="2"/>
        <v>2004</v>
      </c>
      <c r="E81" s="10">
        <f t="shared" si="3"/>
        <v>29</v>
      </c>
      <c r="F81" s="10">
        <f t="shared" si="4"/>
        <v>91</v>
      </c>
      <c r="G81" s="8" t="str">
        <f t="shared" si="5"/>
        <v xml:space="preserve"> Introdução: balanço e implicações e Sociedade da Informação. </v>
      </c>
      <c r="H81" s="10" t="str">
        <f t="shared" si="6"/>
        <v xml:space="preserve">Gouveia, L. e Gaio, S. </v>
      </c>
      <c r="I81" s="10" t="str">
        <f t="shared" si="7"/>
        <v xml:space="preserve">Gouveia, L. e Gaio, S. </v>
      </c>
      <c r="J81" s="10" t="str">
        <f t="shared" si="8"/>
        <v xml:space="preserve">Gouveia, L.;Gaio, S. </v>
      </c>
      <c r="K81" s="11" t="str">
        <f ca="1">IFERROR(__xludf.DUMMYFUNCTION("SPLIT(J81,"";"")"),"Gouveia, L.")</f>
        <v>Gouveia, L.</v>
      </c>
      <c r="L81" s="10" t="str">
        <f ca="1">IFERROR(__xludf.DUMMYFUNCTION("""COMPUTED_VALUE"""),"Gaio, S. ")</f>
        <v xml:space="preserve">Gaio, S. </v>
      </c>
      <c r="M81" s="10"/>
      <c r="N81" s="10"/>
      <c r="O81" s="10"/>
      <c r="P81" s="10"/>
      <c r="Q81" s="10"/>
      <c r="R81" s="10"/>
      <c r="S81" s="10"/>
      <c r="T81" s="10"/>
      <c r="U81" s="10"/>
      <c r="V81" s="10"/>
      <c r="W81" s="10"/>
      <c r="X81" s="10"/>
      <c r="Y81" s="10"/>
      <c r="Z81" s="10"/>
    </row>
    <row r="82" spans="1:26" ht="17.25" customHeight="1" x14ac:dyDescent="0.3">
      <c r="A82" s="10" t="s">
        <v>216</v>
      </c>
      <c r="B82" s="10">
        <f t="shared" si="0"/>
        <v>26</v>
      </c>
      <c r="C82" s="8" t="str">
        <f t="shared" si="1"/>
        <v xml:space="preserve">Gouveia, L. and Gaio, S. </v>
      </c>
      <c r="D82" s="8" t="str">
        <f t="shared" si="2"/>
        <v>2004</v>
      </c>
      <c r="E82" s="10">
        <f t="shared" si="3"/>
        <v>31</v>
      </c>
      <c r="F82" s="10">
        <f t="shared" si="4"/>
        <v>83</v>
      </c>
      <c r="G82" s="8" t="str">
        <f t="shared" si="5"/>
        <v xml:space="preserve"> Introduction to information society in Gouveia, L.a</v>
      </c>
      <c r="H82" s="10" t="str">
        <f t="shared" si="6"/>
        <v xml:space="preserve">Gouveia, L. ; Gaio, S. </v>
      </c>
      <c r="I82" s="10" t="str">
        <f t="shared" si="7"/>
        <v xml:space="preserve">Gouveia, L. ; Gaio, S. </v>
      </c>
      <c r="J82" s="10" t="str">
        <f t="shared" si="8"/>
        <v xml:space="preserve">Gouveia, L. ; Gaio, S. </v>
      </c>
      <c r="K82" s="11" t="str">
        <f ca="1">IFERROR(__xludf.DUMMYFUNCTION("SPLIT(J82,"";"")"),"Gouveia, L. ")</f>
        <v xml:space="preserve">Gouveia, L. </v>
      </c>
      <c r="L82" s="10" t="str">
        <f ca="1">IFERROR(__xludf.DUMMYFUNCTION("""COMPUTED_VALUE""")," Gaio, S. ")</f>
        <v xml:space="preserve"> Gaio, S. </v>
      </c>
      <c r="M82" s="10"/>
      <c r="N82" s="10"/>
      <c r="O82" s="10"/>
      <c r="P82" s="10"/>
      <c r="Q82" s="10"/>
      <c r="R82" s="10"/>
      <c r="S82" s="10"/>
      <c r="T82" s="10"/>
      <c r="U82" s="10"/>
      <c r="V82" s="10"/>
      <c r="W82" s="10"/>
      <c r="X82" s="10"/>
      <c r="Y82" s="10"/>
      <c r="Z82" s="10"/>
    </row>
    <row r="83" spans="1:26" ht="17.25" customHeight="1" x14ac:dyDescent="0.3">
      <c r="A83" s="10" t="s">
        <v>217</v>
      </c>
      <c r="B83" s="10">
        <f t="shared" si="0"/>
        <v>45</v>
      </c>
      <c r="C83" s="8" t="str">
        <f t="shared" si="1"/>
        <v xml:space="preserve">Gouveia, L. and Xavier, J. and Gouveia, J.. </v>
      </c>
      <c r="D83" s="8" t="str">
        <f t="shared" si="2"/>
        <v>2004</v>
      </c>
      <c r="E83" s="10">
        <f t="shared" si="3"/>
        <v>50</v>
      </c>
      <c r="F83" s="10">
        <f t="shared" si="4"/>
        <v>107</v>
      </c>
      <c r="G83" s="8" t="str">
        <f t="shared" si="5"/>
        <v xml:space="preserve"> Gaia Global: a digital cities initiative in Gouveia, L. </v>
      </c>
      <c r="H83" s="10" t="str">
        <f t="shared" si="6"/>
        <v xml:space="preserve">Gouveia, L. ; Xavier, J. ; Gouveia, J.. </v>
      </c>
      <c r="I83" s="10" t="str">
        <f t="shared" si="7"/>
        <v xml:space="preserve">Gouveia, L. ; Xavier, J. ; Gouveia, J.. </v>
      </c>
      <c r="J83" s="10" t="str">
        <f t="shared" si="8"/>
        <v xml:space="preserve">Gouveia, L. ; Xavier, J. ; Gouveia, J.. </v>
      </c>
      <c r="K83" s="11" t="str">
        <f ca="1">IFERROR(__xludf.DUMMYFUNCTION("SPLIT(J83,"";"")"),"Gouveia, L. ")</f>
        <v xml:space="preserve">Gouveia, L. </v>
      </c>
      <c r="L83" s="10" t="str">
        <f ca="1">IFERROR(__xludf.DUMMYFUNCTION("""COMPUTED_VALUE""")," Xavier, J. ")</f>
        <v xml:space="preserve"> Xavier, J. </v>
      </c>
      <c r="M83" s="10" t="str">
        <f ca="1">IFERROR(__xludf.DUMMYFUNCTION("""COMPUTED_VALUE""")," Gouveia, J.. ")</f>
        <v xml:space="preserve"> Gouveia, J.. </v>
      </c>
      <c r="N83" s="10"/>
      <c r="O83" s="10"/>
      <c r="P83" s="10"/>
      <c r="Q83" s="10"/>
      <c r="R83" s="10"/>
      <c r="S83" s="10"/>
      <c r="T83" s="10"/>
      <c r="U83" s="10"/>
      <c r="V83" s="10"/>
      <c r="W83" s="10"/>
      <c r="X83" s="10"/>
      <c r="Y83" s="10"/>
      <c r="Z83" s="10"/>
    </row>
    <row r="84" spans="1:26" ht="17.25" customHeight="1" x14ac:dyDescent="0.3">
      <c r="A84" s="10" t="s">
        <v>218</v>
      </c>
      <c r="B84" s="10">
        <f t="shared" si="0"/>
        <v>13</v>
      </c>
      <c r="C84" s="8" t="str">
        <f t="shared" si="1"/>
        <v xml:space="preserve">Gouveia, L. </v>
      </c>
      <c r="D84" s="8" t="str">
        <f t="shared" si="2"/>
        <v>2004</v>
      </c>
      <c r="E84" s="10">
        <f t="shared" si="3"/>
        <v>18</v>
      </c>
      <c r="F84" s="10">
        <f t="shared" si="4"/>
        <v>82</v>
      </c>
      <c r="G84" s="8" t="str">
        <f t="shared" si="5"/>
        <v xml:space="preserve"> Why physical place for a digital oriented world in Gouveia, L. </v>
      </c>
      <c r="H84" s="10" t="str">
        <f t="shared" si="6"/>
        <v xml:space="preserve">Gouveia, L. </v>
      </c>
      <c r="I84" s="10" t="str">
        <f t="shared" si="7"/>
        <v xml:space="preserve">Gouveia, L. </v>
      </c>
      <c r="J84" s="10" t="str">
        <f t="shared" si="8"/>
        <v xml:space="preserve">Gouveia, L. </v>
      </c>
      <c r="K84" s="11" t="str">
        <f ca="1">IFERROR(__xludf.DUMMYFUNCTION("SPLIT(J84,"";"")"),"Gouveia, L. ")</f>
        <v xml:space="preserve">Gouveia, L. </v>
      </c>
      <c r="L84" s="10"/>
      <c r="M84" s="10"/>
      <c r="N84" s="10"/>
      <c r="O84" s="10"/>
      <c r="P84" s="10"/>
      <c r="Q84" s="10"/>
      <c r="R84" s="10"/>
      <c r="S84" s="10"/>
      <c r="T84" s="10"/>
      <c r="U84" s="10"/>
      <c r="V84" s="10"/>
      <c r="W84" s="10"/>
      <c r="X84" s="10"/>
      <c r="Y84" s="10"/>
      <c r="Z84" s="10"/>
    </row>
    <row r="85" spans="1:26" ht="17.25" customHeight="1" x14ac:dyDescent="0.3">
      <c r="A85" s="10" t="s">
        <v>219</v>
      </c>
      <c r="B85" s="10">
        <f t="shared" si="0"/>
        <v>44</v>
      </c>
      <c r="C85" s="8" t="str">
        <f t="shared" si="1"/>
        <v xml:space="preserve">Rurato, P. and Gouveia, L. and Gouveia, J. </v>
      </c>
      <c r="D85" s="8" t="str">
        <f t="shared" si="2"/>
        <v>2004</v>
      </c>
      <c r="E85" s="10">
        <f t="shared" si="3"/>
        <v>49</v>
      </c>
      <c r="F85" s="10">
        <f t="shared" si="4"/>
        <v>134</v>
      </c>
      <c r="G85" s="8" t="str">
        <f t="shared" si="5"/>
        <v xml:space="preserve"> Adult Education and Distance Learning: Issues, Barriers and Outcomes in Gouveia, L. </v>
      </c>
      <c r="H85" s="10" t="str">
        <f t="shared" si="6"/>
        <v xml:space="preserve">Rurato, P. ; Gouveia, L. ; Gouveia, J. </v>
      </c>
      <c r="I85" s="10" t="str">
        <f t="shared" si="7"/>
        <v xml:space="preserve">Rurato, P. ; Gouveia, L. ; Gouveia, J. </v>
      </c>
      <c r="J85" s="10" t="str">
        <f t="shared" si="8"/>
        <v xml:space="preserve">Rurato, P. ; Gouveia, L. ; Gouveia, J. </v>
      </c>
      <c r="K85" s="11" t="str">
        <f ca="1">IFERROR(__xludf.DUMMYFUNCTION("SPLIT(J85,"";"")"),"Rurato, P. ")</f>
        <v xml:space="preserve">Rurato, P. </v>
      </c>
      <c r="L85" s="10" t="str">
        <f ca="1">IFERROR(__xludf.DUMMYFUNCTION("""COMPUTED_VALUE""")," Gouveia, L. ")</f>
        <v xml:space="preserve"> Gouveia, L. </v>
      </c>
      <c r="M85" s="10" t="str">
        <f ca="1">IFERROR(__xludf.DUMMYFUNCTION("""COMPUTED_VALUE""")," Gouveia, J. ")</f>
        <v xml:space="preserve"> Gouveia, J. </v>
      </c>
      <c r="N85" s="10"/>
      <c r="O85" s="10"/>
      <c r="P85" s="10"/>
      <c r="Q85" s="10"/>
      <c r="R85" s="10"/>
      <c r="S85" s="10"/>
      <c r="T85" s="10"/>
      <c r="U85" s="10"/>
      <c r="V85" s="10"/>
      <c r="W85" s="10"/>
      <c r="X85" s="10"/>
      <c r="Y85" s="10"/>
      <c r="Z85" s="10"/>
    </row>
    <row r="86" spans="1:26" ht="17.25" customHeight="1" x14ac:dyDescent="0.3">
      <c r="A86" s="10" t="s">
        <v>220</v>
      </c>
      <c r="B86" s="10">
        <f t="shared" si="0"/>
        <v>13</v>
      </c>
      <c r="C86" s="8" t="str">
        <f t="shared" si="1"/>
        <v xml:space="preserve">Gouveia, L. </v>
      </c>
      <c r="D86" s="8" t="str">
        <f t="shared" si="2"/>
        <v>2003</v>
      </c>
      <c r="E86" s="10">
        <f t="shared" si="3"/>
        <v>18</v>
      </c>
      <c r="F86" s="10">
        <f t="shared" si="4"/>
        <v>79</v>
      </c>
      <c r="G86" s="8" t="str">
        <f t="shared" si="5"/>
        <v xml:space="preserve"> Cidades e Regiões Digitais: questões e desafios no digital. </v>
      </c>
      <c r="H86" s="10" t="str">
        <f t="shared" si="6"/>
        <v xml:space="preserve">Gouveia, L. </v>
      </c>
      <c r="I86" s="10" t="str">
        <f t="shared" si="7"/>
        <v xml:space="preserve">Gouveia, L. </v>
      </c>
      <c r="J86" s="10" t="str">
        <f t="shared" si="8"/>
        <v xml:space="preserve">Gouveia, L. </v>
      </c>
      <c r="K86" s="11" t="str">
        <f ca="1">IFERROR(__xludf.DUMMYFUNCTION("SPLIT(J86,"";"")"),"Gouveia, L. ")</f>
        <v xml:space="preserve">Gouveia, L. </v>
      </c>
      <c r="L86" s="10"/>
      <c r="M86" s="10"/>
      <c r="N86" s="10"/>
      <c r="O86" s="10"/>
      <c r="P86" s="10"/>
      <c r="Q86" s="10"/>
      <c r="R86" s="10"/>
      <c r="S86" s="10"/>
      <c r="T86" s="10"/>
      <c r="U86" s="10"/>
      <c r="V86" s="10"/>
      <c r="W86" s="10"/>
      <c r="X86" s="10"/>
      <c r="Y86" s="10"/>
      <c r="Z86" s="10"/>
    </row>
    <row r="87" spans="1:26" ht="17.25" customHeight="1" x14ac:dyDescent="0.3">
      <c r="A87" s="10" t="s">
        <v>221</v>
      </c>
      <c r="B87" s="10">
        <f t="shared" si="0"/>
        <v>40</v>
      </c>
      <c r="C87" s="8" t="str">
        <f t="shared" si="1"/>
        <v xml:space="preserve">Xavier, J. e Gouveia, L. e Gouveia, J. </v>
      </c>
      <c r="D87" s="8" t="str">
        <f t="shared" si="2"/>
        <v>2003</v>
      </c>
      <c r="E87" s="10">
        <f t="shared" si="3"/>
        <v>45</v>
      </c>
      <c r="F87" s="10">
        <f t="shared" si="4"/>
        <v>101</v>
      </c>
      <c r="G87" s="8" t="str">
        <f t="shared" si="5"/>
        <v xml:space="preserve"> Gaia Global - O Cidadão como umbigo da Cidade Digital. </v>
      </c>
      <c r="H87" s="10" t="str">
        <f t="shared" si="6"/>
        <v xml:space="preserve">Xavier, J. e Gouveia, L. e Gouveia, J. </v>
      </c>
      <c r="I87" s="10" t="str">
        <f t="shared" si="7"/>
        <v xml:space="preserve">Xavier, J. e Gouveia, L. e Gouveia, J. </v>
      </c>
      <c r="J87" s="10" t="str">
        <f t="shared" si="8"/>
        <v xml:space="preserve">Xavier, J.;Gouveia, L.;Gouveia, J. </v>
      </c>
      <c r="K87" s="11" t="str">
        <f ca="1">IFERROR(__xludf.DUMMYFUNCTION("SPLIT(J87,"";"")"),"Xavier, J.")</f>
        <v>Xavier, J.</v>
      </c>
      <c r="L87" s="10" t="str">
        <f ca="1">IFERROR(__xludf.DUMMYFUNCTION("""COMPUTED_VALUE"""),"Gouveia, L.")</f>
        <v>Gouveia, L.</v>
      </c>
      <c r="M87" s="10" t="str">
        <f ca="1">IFERROR(__xludf.DUMMYFUNCTION("""COMPUTED_VALUE"""),"Gouveia, J. ")</f>
        <v xml:space="preserve">Gouveia, J. </v>
      </c>
      <c r="N87" s="10"/>
      <c r="O87" s="10"/>
      <c r="P87" s="10"/>
      <c r="Q87" s="10"/>
      <c r="R87" s="10"/>
      <c r="S87" s="10"/>
      <c r="T87" s="10"/>
      <c r="U87" s="10"/>
      <c r="V87" s="10"/>
      <c r="W87" s="10"/>
      <c r="X87" s="10"/>
      <c r="Y87" s="10"/>
      <c r="Z87" s="10"/>
    </row>
    <row r="88" spans="1:26" ht="17.25" customHeight="1" x14ac:dyDescent="0.3">
      <c r="A88" s="10" t="s">
        <v>222</v>
      </c>
      <c r="B88" s="10">
        <f t="shared" si="0"/>
        <v>27</v>
      </c>
      <c r="C88" s="8" t="str">
        <f t="shared" si="1"/>
        <v xml:space="preserve">Gouveia, L. e Gouveia, J. </v>
      </c>
      <c r="D88" s="8" t="str">
        <f t="shared" si="2"/>
        <v>2003</v>
      </c>
      <c r="E88" s="10" t="e">
        <f t="shared" si="3"/>
        <v>#VALUE!</v>
      </c>
      <c r="F88" s="10" t="e">
        <f t="shared" si="4"/>
        <v>#VALUE!</v>
      </c>
      <c r="G88" s="8" t="e">
        <f t="shared" si="5"/>
        <v>#VALUE!</v>
      </c>
      <c r="H88" s="10" t="str">
        <f t="shared" si="6"/>
        <v xml:space="preserve">Gouveia, L. e Gouveia, J. </v>
      </c>
      <c r="I88" s="10" t="str">
        <f t="shared" si="7"/>
        <v xml:space="preserve">Gouveia, L. e Gouveia, J. </v>
      </c>
      <c r="J88" s="10" t="str">
        <f t="shared" si="8"/>
        <v xml:space="preserve">Gouveia, L.;Gouveia, J. </v>
      </c>
      <c r="K88" s="11" t="str">
        <f ca="1">IFERROR(__xludf.DUMMYFUNCTION("SPLIT(J88,"";"")"),"Gouveia, L.")</f>
        <v>Gouveia, L.</v>
      </c>
      <c r="L88" s="10" t="str">
        <f ca="1">IFERROR(__xludf.DUMMYFUNCTION("""COMPUTED_VALUE"""),"Gouveia, J. ")</f>
        <v xml:space="preserve">Gouveia, J. </v>
      </c>
      <c r="M88" s="10"/>
      <c r="N88" s="10"/>
      <c r="O88" s="10"/>
      <c r="P88" s="10"/>
      <c r="Q88" s="10"/>
      <c r="R88" s="10"/>
      <c r="S88" s="10"/>
      <c r="T88" s="10"/>
      <c r="U88" s="10"/>
      <c r="V88" s="10"/>
      <c r="W88" s="10"/>
      <c r="X88" s="10"/>
      <c r="Y88" s="10"/>
      <c r="Z88" s="10"/>
    </row>
    <row r="89" spans="1:26" ht="17.25" customHeight="1" x14ac:dyDescent="0.3">
      <c r="A89" s="10" t="s">
        <v>223</v>
      </c>
      <c r="B89" s="10">
        <f t="shared" si="0"/>
        <v>29</v>
      </c>
      <c r="C89" s="8" t="str">
        <f t="shared" si="1"/>
        <v xml:space="preserve">Gouveia, L. and Gouveia, F. </v>
      </c>
      <c r="D89" s="8" t="str">
        <f t="shared" si="2"/>
        <v>2003</v>
      </c>
      <c r="E89" s="10">
        <f t="shared" si="3"/>
        <v>34</v>
      </c>
      <c r="F89" s="10">
        <f t="shared" si="4"/>
        <v>78</v>
      </c>
      <c r="G89" s="8" t="str">
        <f t="shared" si="5"/>
        <v xml:space="preserve"> Virtual Environments and Kowledge Sharing. </v>
      </c>
      <c r="H89" s="10" t="str">
        <f t="shared" si="6"/>
        <v xml:space="preserve">Gouveia, L. ; Gouveia, F. </v>
      </c>
      <c r="I89" s="10" t="str">
        <f t="shared" si="7"/>
        <v xml:space="preserve">Gouveia, L. ; Gouveia, F. </v>
      </c>
      <c r="J89" s="10" t="str">
        <f t="shared" si="8"/>
        <v xml:space="preserve">Gouveia, L. ; Gouveia, F. </v>
      </c>
      <c r="K89" s="11" t="str">
        <f ca="1">IFERROR(__xludf.DUMMYFUNCTION("SPLIT(J89,"";"")"),"Gouveia, L. ")</f>
        <v xml:space="preserve">Gouveia, L. </v>
      </c>
      <c r="L89" s="10" t="str">
        <f ca="1">IFERROR(__xludf.DUMMYFUNCTION("""COMPUTED_VALUE""")," Gouveia, F. ")</f>
        <v xml:space="preserve"> Gouveia, F. </v>
      </c>
      <c r="M89" s="10"/>
      <c r="N89" s="10"/>
      <c r="O89" s="10"/>
      <c r="P89" s="10"/>
      <c r="Q89" s="10"/>
      <c r="R89" s="10"/>
      <c r="S89" s="10"/>
      <c r="T89" s="10"/>
      <c r="U89" s="10"/>
      <c r="V89" s="10"/>
      <c r="W89" s="10"/>
      <c r="X89" s="10"/>
      <c r="Y89" s="10"/>
      <c r="Z89" s="10"/>
    </row>
    <row r="90" spans="1:26" ht="17.25" customHeight="1" x14ac:dyDescent="0.3">
      <c r="A90" s="10" t="s">
        <v>224</v>
      </c>
      <c r="B90" s="10">
        <f t="shared" si="0"/>
        <v>38</v>
      </c>
      <c r="C90" s="8" t="str">
        <f t="shared" si="1"/>
        <v xml:space="preserve">Lamas, D.; Gouveia, F. e Gouveia, L. </v>
      </c>
      <c r="D90" s="8" t="str">
        <f t="shared" si="2"/>
        <v>2001</v>
      </c>
      <c r="E90" s="10">
        <f t="shared" si="3"/>
        <v>43</v>
      </c>
      <c r="F90" s="10">
        <f t="shared" si="4"/>
        <v>98</v>
      </c>
      <c r="G90" s="8" t="str">
        <f t="shared" si="5"/>
        <v xml:space="preserve"> O Símbolo e a Interactividade no uso de computadores. </v>
      </c>
      <c r="H90" s="10" t="str">
        <f t="shared" si="6"/>
        <v xml:space="preserve">Lamas, D.; Gouveia, F. e Gouveia, L. </v>
      </c>
      <c r="I90" s="10" t="str">
        <f t="shared" si="7"/>
        <v xml:space="preserve">Lamas, D.; Gouveia, F. e Gouveia, L. </v>
      </c>
      <c r="J90" s="10" t="str">
        <f t="shared" si="8"/>
        <v xml:space="preserve">Lamas, D.; Gouveia, F.;Gouveia, L. </v>
      </c>
      <c r="K90" s="11" t="str">
        <f ca="1">IFERROR(__xludf.DUMMYFUNCTION("SPLIT(J90,"";"")"),"Lamas, D.")</f>
        <v>Lamas, D.</v>
      </c>
      <c r="L90" s="10" t="str">
        <f ca="1">IFERROR(__xludf.DUMMYFUNCTION("""COMPUTED_VALUE""")," Gouveia, F.")</f>
        <v xml:space="preserve"> Gouveia, F.</v>
      </c>
      <c r="M90" s="10" t="str">
        <f ca="1">IFERROR(__xludf.DUMMYFUNCTION("""COMPUTED_VALUE"""),"Gouveia, L. ")</f>
        <v xml:space="preserve">Gouveia, L. </v>
      </c>
      <c r="N90" s="10"/>
      <c r="O90" s="10"/>
      <c r="P90" s="10"/>
      <c r="Q90" s="10"/>
      <c r="R90" s="10"/>
      <c r="S90" s="10"/>
      <c r="T90" s="10"/>
      <c r="U90" s="10"/>
      <c r="V90" s="10"/>
      <c r="W90" s="10"/>
      <c r="X90" s="10"/>
      <c r="Y90" s="10"/>
      <c r="Z90" s="10"/>
    </row>
    <row r="91" spans="1:26" ht="17.25" customHeight="1" x14ac:dyDescent="0.3">
      <c r="A91" s="10" t="s">
        <v>225</v>
      </c>
      <c r="B91" s="10">
        <f t="shared" si="0"/>
        <v>42</v>
      </c>
      <c r="C91" s="8" t="str">
        <f t="shared" si="1"/>
        <v xml:space="preserve">Gouveia, L.; Gouveia, J. and Restivo, F. </v>
      </c>
      <c r="D91" s="8" t="str">
        <f t="shared" si="2"/>
        <v>2000</v>
      </c>
      <c r="E91" s="10">
        <f t="shared" si="3"/>
        <v>153</v>
      </c>
      <c r="F91" s="10">
        <f t="shared" si="4"/>
        <v>233</v>
      </c>
      <c r="G91" s="8" t="str">
        <f t="shared" si="5"/>
        <v xml:space="preserve"> Nova Economia e Tecnologias de Informação: Desafios para Portugal, pp 400-410. </v>
      </c>
      <c r="H91" s="10" t="str">
        <f t="shared" si="6"/>
        <v xml:space="preserve">Gouveia, L.; Gouveia, J. ; Restivo, F. </v>
      </c>
      <c r="I91" s="10" t="str">
        <f t="shared" si="7"/>
        <v xml:space="preserve">Gouveia, L.; Gouveia, J. ; Restivo, F. </v>
      </c>
      <c r="J91" s="10" t="str">
        <f t="shared" si="8"/>
        <v xml:space="preserve">Gouveia, L.; Gouveia, J. ; Restivo, F. </v>
      </c>
      <c r="K91" s="11" t="str">
        <f ca="1">IFERROR(__xludf.DUMMYFUNCTION("SPLIT(J91,"";"")"),"Gouveia, L.")</f>
        <v>Gouveia, L.</v>
      </c>
      <c r="L91" s="10" t="str">
        <f ca="1">IFERROR(__xludf.DUMMYFUNCTION("""COMPUTED_VALUE""")," Gouveia, J. ")</f>
        <v xml:space="preserve"> Gouveia, J. </v>
      </c>
      <c r="M91" s="10" t="str">
        <f ca="1">IFERROR(__xludf.DUMMYFUNCTION("""COMPUTED_VALUE""")," Restivo, F. ")</f>
        <v xml:space="preserve"> Restivo, F. </v>
      </c>
      <c r="N91" s="10"/>
      <c r="O91" s="10"/>
      <c r="P91" s="10"/>
      <c r="Q91" s="10"/>
      <c r="R91" s="10"/>
      <c r="S91" s="10"/>
      <c r="T91" s="10"/>
      <c r="U91" s="10"/>
      <c r="V91" s="10"/>
      <c r="W91" s="10"/>
      <c r="X91" s="10"/>
      <c r="Y91" s="10"/>
      <c r="Z91" s="10"/>
    </row>
    <row r="92" spans="1:26" ht="17.25" customHeight="1" x14ac:dyDescent="0.3">
      <c r="A92" s="10" t="s">
        <v>226</v>
      </c>
      <c r="B92" s="10">
        <f t="shared" si="0"/>
        <v>40</v>
      </c>
      <c r="C92" s="8" t="str">
        <f t="shared" si="1"/>
        <v xml:space="preserve">Gouveia, L.; Gouveia, F. and Lamas, D. </v>
      </c>
      <c r="D92" s="8" t="str">
        <f t="shared" si="2"/>
        <v>2000</v>
      </c>
      <c r="E92" s="10">
        <f t="shared" si="3"/>
        <v>45</v>
      </c>
      <c r="F92" s="10">
        <f t="shared" si="4"/>
        <v>106</v>
      </c>
      <c r="G92" s="8" t="str">
        <f t="shared" si="5"/>
        <v xml:space="preserve"> Innovation in Business Processes: An experiment using CAIN. </v>
      </c>
      <c r="H92" s="10" t="str">
        <f t="shared" si="6"/>
        <v xml:space="preserve">Gouveia, L.; Gouveia, F. ; Lamas, D. </v>
      </c>
      <c r="I92" s="10" t="str">
        <f t="shared" si="7"/>
        <v xml:space="preserve">Gouveia, L.; Gouveia, F. ; Lamas, D. </v>
      </c>
      <c r="J92" s="10" t="str">
        <f t="shared" si="8"/>
        <v xml:space="preserve">Gouveia, L.; Gouveia, F. ; Lamas, D. </v>
      </c>
      <c r="K92" s="11" t="str">
        <f ca="1">IFERROR(__xludf.DUMMYFUNCTION("SPLIT(J92,"";"")"),"Gouveia, L.")</f>
        <v>Gouveia, L.</v>
      </c>
      <c r="L92" s="10" t="str">
        <f ca="1">IFERROR(__xludf.DUMMYFUNCTION("""COMPUTED_VALUE""")," Gouveia, F. ")</f>
        <v xml:space="preserve"> Gouveia, F. </v>
      </c>
      <c r="M92" s="10" t="str">
        <f ca="1">IFERROR(__xludf.DUMMYFUNCTION("""COMPUTED_VALUE""")," Lamas, D. ")</f>
        <v xml:space="preserve"> Lamas, D. </v>
      </c>
      <c r="N92" s="10"/>
      <c r="O92" s="10"/>
      <c r="P92" s="10"/>
      <c r="Q92" s="10"/>
      <c r="R92" s="10"/>
      <c r="S92" s="10"/>
      <c r="T92" s="10"/>
      <c r="U92" s="10"/>
      <c r="V92" s="10"/>
      <c r="W92" s="10"/>
      <c r="X92" s="10"/>
      <c r="Y92" s="10"/>
      <c r="Z92" s="10"/>
    </row>
    <row r="93" spans="1:26" ht="17.25" customHeight="1" x14ac:dyDescent="0.3">
      <c r="A93" s="10" t="s">
        <v>227</v>
      </c>
      <c r="B93" s="10">
        <f t="shared" si="0"/>
        <v>13</v>
      </c>
      <c r="C93" s="8" t="str">
        <f t="shared" si="1"/>
        <v xml:space="preserve">Gouveia, L. </v>
      </c>
      <c r="D93" s="8" t="str">
        <f t="shared" si="2"/>
        <v>1998</v>
      </c>
      <c r="E93" s="10">
        <f t="shared" si="3"/>
        <v>18</v>
      </c>
      <c r="F93" s="10">
        <f t="shared" si="4"/>
        <v>58</v>
      </c>
      <c r="G93" s="8" t="str">
        <f t="shared" si="5"/>
        <v xml:space="preserve"> Sociedade Digital: que oportunidades?. </v>
      </c>
      <c r="H93" s="10" t="str">
        <f t="shared" si="6"/>
        <v xml:space="preserve">Gouveia, L. </v>
      </c>
      <c r="I93" s="10" t="str">
        <f t="shared" si="7"/>
        <v xml:space="preserve">Gouveia, L. </v>
      </c>
      <c r="J93" s="10" t="str">
        <f t="shared" si="8"/>
        <v xml:space="preserve">Gouveia, L. </v>
      </c>
      <c r="K93" s="11" t="str">
        <f ca="1">IFERROR(__xludf.DUMMYFUNCTION("SPLIT(J93,"";"")"),"Gouveia, L. ")</f>
        <v xml:space="preserve">Gouveia, L. </v>
      </c>
      <c r="L93" s="10"/>
      <c r="M93" s="10"/>
      <c r="N93" s="10"/>
      <c r="O93" s="10"/>
      <c r="P93" s="10"/>
      <c r="Q93" s="10"/>
      <c r="R93" s="10"/>
      <c r="S93" s="10"/>
      <c r="T93" s="10"/>
      <c r="U93" s="10"/>
      <c r="V93" s="10"/>
      <c r="W93" s="10"/>
      <c r="X93" s="10"/>
      <c r="Y93" s="10"/>
      <c r="Z93" s="10"/>
    </row>
    <row r="94" spans="1:26" ht="17.25" customHeight="1" x14ac:dyDescent="0.3">
      <c r="A94" s="10" t="s">
        <v>228</v>
      </c>
      <c r="B94" s="10" t="e">
        <f t="shared" si="0"/>
        <v>#VALUE!</v>
      </c>
      <c r="C94" s="8" t="e">
        <f t="shared" si="1"/>
        <v>#VALUE!</v>
      </c>
      <c r="D94" s="8" t="e">
        <f t="shared" si="2"/>
        <v>#VALUE!</v>
      </c>
      <c r="E94" s="10" t="e">
        <f t="shared" si="3"/>
        <v>#VALUE!</v>
      </c>
      <c r="F94" s="10" t="e">
        <f t="shared" si="4"/>
        <v>#VALUE!</v>
      </c>
      <c r="G94" s="8" t="e">
        <f t="shared" si="5"/>
        <v>#VALUE!</v>
      </c>
      <c r="H94" s="10" t="e">
        <f t="shared" si="6"/>
        <v>#VALUE!</v>
      </c>
      <c r="I94" s="10" t="e">
        <f t="shared" si="7"/>
        <v>#VALUE!</v>
      </c>
      <c r="J94" s="10" t="e">
        <f t="shared" si="8"/>
        <v>#VALUE!</v>
      </c>
      <c r="K94" s="11" t="str">
        <f ca="1">IFERROR(__xludf.DUMMYFUNCTION("SPLIT(J94,"";"")"),"#VALUE!")</f>
        <v>#VALUE!</v>
      </c>
      <c r="L94" s="10"/>
      <c r="M94" s="10"/>
      <c r="N94" s="10"/>
      <c r="O94" s="10"/>
      <c r="P94" s="10"/>
      <c r="Q94" s="10"/>
      <c r="R94" s="10"/>
      <c r="S94" s="10"/>
      <c r="T94" s="10"/>
      <c r="U94" s="10"/>
      <c r="V94" s="10"/>
      <c r="W94" s="10"/>
      <c r="X94" s="10"/>
      <c r="Y94" s="10"/>
      <c r="Z94" s="10"/>
    </row>
    <row r="95" spans="1:26" ht="17.25" customHeight="1" x14ac:dyDescent="0.3">
      <c r="A95" s="10" t="s">
        <v>229</v>
      </c>
      <c r="B95" s="10" t="e">
        <f t="shared" si="0"/>
        <v>#VALUE!</v>
      </c>
      <c r="C95" s="8" t="e">
        <f t="shared" si="1"/>
        <v>#VALUE!</v>
      </c>
      <c r="D95" s="8" t="e">
        <f t="shared" si="2"/>
        <v>#VALUE!</v>
      </c>
      <c r="E95" s="10" t="e">
        <f t="shared" si="3"/>
        <v>#VALUE!</v>
      </c>
      <c r="F95" s="10" t="e">
        <f t="shared" si="4"/>
        <v>#VALUE!</v>
      </c>
      <c r="G95" s="8" t="e">
        <f t="shared" si="5"/>
        <v>#VALUE!</v>
      </c>
      <c r="H95" s="10" t="e">
        <f t="shared" si="6"/>
        <v>#VALUE!</v>
      </c>
      <c r="I95" s="10" t="e">
        <f t="shared" si="7"/>
        <v>#VALUE!</v>
      </c>
      <c r="J95" s="10" t="e">
        <f t="shared" si="8"/>
        <v>#VALUE!</v>
      </c>
      <c r="K95" s="11" t="str">
        <f ca="1">IFERROR(__xludf.DUMMYFUNCTION("SPLIT(J95,"";"")"),"#VALUE!")</f>
        <v>#VALUE!</v>
      </c>
      <c r="L95" s="10"/>
      <c r="M95" s="10"/>
      <c r="N95" s="10"/>
      <c r="O95" s="10"/>
      <c r="P95" s="10"/>
      <c r="Q95" s="10"/>
      <c r="R95" s="10"/>
      <c r="S95" s="10"/>
      <c r="T95" s="10"/>
      <c r="U95" s="10"/>
      <c r="V95" s="10"/>
      <c r="W95" s="10"/>
      <c r="X95" s="10"/>
      <c r="Y95" s="10"/>
      <c r="Z95" s="10"/>
    </row>
    <row r="96" spans="1:26" ht="17.25" customHeight="1" x14ac:dyDescent="0.3">
      <c r="A96" s="10" t="s">
        <v>230</v>
      </c>
      <c r="B96" s="10">
        <f t="shared" si="0"/>
        <v>13</v>
      </c>
      <c r="C96" s="8" t="str">
        <f t="shared" si="1"/>
        <v xml:space="preserve">Gouveia, L. </v>
      </c>
      <c r="D96" s="8" t="str">
        <f t="shared" si="2"/>
        <v>2010</v>
      </c>
      <c r="E96" s="10">
        <f t="shared" si="3"/>
        <v>18</v>
      </c>
      <c r="F96" s="10">
        <f t="shared" si="4"/>
        <v>74</v>
      </c>
      <c r="G96" s="8" t="str">
        <f t="shared" si="5"/>
        <v xml:space="preserve"> Relatório Lição de Síntese: A Sociedade da Informação. </v>
      </c>
      <c r="H96" s="10" t="str">
        <f t="shared" si="6"/>
        <v xml:space="preserve">Gouveia, L. </v>
      </c>
      <c r="I96" s="10" t="str">
        <f t="shared" si="7"/>
        <v xml:space="preserve">Gouveia, L. </v>
      </c>
      <c r="J96" s="10" t="str">
        <f t="shared" si="8"/>
        <v xml:space="preserve">Gouveia, L. </v>
      </c>
      <c r="K96" s="11" t="str">
        <f ca="1">IFERROR(__xludf.DUMMYFUNCTION("SPLIT(J96,"";"")"),"Gouveia, L. ")</f>
        <v xml:space="preserve">Gouveia, L. </v>
      </c>
      <c r="L96" s="10"/>
      <c r="M96" s="10"/>
      <c r="N96" s="10"/>
      <c r="O96" s="10"/>
      <c r="P96" s="10"/>
      <c r="Q96" s="10"/>
      <c r="R96" s="10"/>
      <c r="S96" s="10"/>
      <c r="T96" s="10"/>
      <c r="U96" s="10"/>
      <c r="V96" s="10"/>
      <c r="W96" s="10"/>
      <c r="X96" s="10"/>
      <c r="Y96" s="10"/>
      <c r="Z96" s="10"/>
    </row>
    <row r="97" spans="1:26" ht="17.25" customHeight="1" x14ac:dyDescent="0.3">
      <c r="A97" s="10" t="s">
        <v>231</v>
      </c>
      <c r="B97" s="10">
        <f t="shared" si="0"/>
        <v>13</v>
      </c>
      <c r="C97" s="8" t="str">
        <f t="shared" si="1"/>
        <v xml:space="preserve">Gouveia, L. </v>
      </c>
      <c r="D97" s="8" t="str">
        <f t="shared" si="2"/>
        <v>2010</v>
      </c>
      <c r="E97" s="10">
        <f t="shared" si="3"/>
        <v>18</v>
      </c>
      <c r="F97" s="10">
        <f t="shared" si="4"/>
        <v>75</v>
      </c>
      <c r="G97" s="8" t="str">
        <f t="shared" si="5"/>
        <v xml:space="preserve"> Relatório da Unidade Curricular Gestão do Conhecimento. </v>
      </c>
      <c r="H97" s="10" t="str">
        <f t="shared" si="6"/>
        <v xml:space="preserve">Gouveia, L. </v>
      </c>
      <c r="I97" s="10" t="str">
        <f t="shared" si="7"/>
        <v xml:space="preserve">Gouveia, L. </v>
      </c>
      <c r="J97" s="10" t="str">
        <f t="shared" si="8"/>
        <v xml:space="preserve">Gouveia, L. </v>
      </c>
      <c r="K97" s="11" t="str">
        <f ca="1">IFERROR(__xludf.DUMMYFUNCTION("SPLIT(J97,"";"")"),"Gouveia, L. ")</f>
        <v xml:space="preserve">Gouveia, L. </v>
      </c>
      <c r="L97" s="10"/>
      <c r="M97" s="10"/>
      <c r="N97" s="10"/>
      <c r="O97" s="10"/>
      <c r="P97" s="10"/>
      <c r="Q97" s="10"/>
      <c r="R97" s="10"/>
      <c r="S97" s="10"/>
      <c r="T97" s="10"/>
      <c r="U97" s="10"/>
      <c r="V97" s="10"/>
      <c r="W97" s="10"/>
      <c r="X97" s="10"/>
      <c r="Y97" s="10"/>
      <c r="Z97" s="10"/>
    </row>
    <row r="98" spans="1:26" ht="17.25" customHeight="1" x14ac:dyDescent="0.3">
      <c r="A98" s="10" t="s">
        <v>232</v>
      </c>
      <c r="B98" s="10">
        <f t="shared" si="0"/>
        <v>13</v>
      </c>
      <c r="C98" s="8" t="str">
        <f t="shared" si="1"/>
        <v xml:space="preserve">Gouveia, L. </v>
      </c>
      <c r="D98" s="8" t="str">
        <f t="shared" si="2"/>
        <v>2008</v>
      </c>
      <c r="E98" s="10">
        <f t="shared" si="3"/>
        <v>125</v>
      </c>
      <c r="F98" s="10">
        <f t="shared" si="4"/>
        <v>208</v>
      </c>
      <c r="G98" s="8" t="str">
        <f t="shared" si="5"/>
        <v xml:space="preserve"> Curso de Defesa Nacional 2007/2008, Instituto de Defesa Nacional, Agosto de 2008.
</v>
      </c>
      <c r="H98" s="10" t="str">
        <f t="shared" si="6"/>
        <v xml:space="preserve">Gouveia, L. </v>
      </c>
      <c r="I98" s="10" t="str">
        <f t="shared" si="7"/>
        <v xml:space="preserve">Gouveia, L. </v>
      </c>
      <c r="J98" s="10" t="str">
        <f t="shared" si="8"/>
        <v xml:space="preserve">Gouveia, L. </v>
      </c>
      <c r="K98" s="11" t="str">
        <f ca="1">IFERROR(__xludf.DUMMYFUNCTION("SPLIT(J98,"";"")"),"Gouveia, L. ")</f>
        <v xml:space="preserve">Gouveia, L. </v>
      </c>
      <c r="L98" s="10"/>
      <c r="M98" s="10"/>
      <c r="N98" s="10"/>
      <c r="O98" s="10"/>
      <c r="P98" s="10"/>
      <c r="Q98" s="10"/>
      <c r="R98" s="10"/>
      <c r="S98" s="10"/>
      <c r="T98" s="10"/>
      <c r="U98" s="10"/>
      <c r="V98" s="10"/>
      <c r="W98" s="10"/>
      <c r="X98" s="10"/>
      <c r="Y98" s="10"/>
      <c r="Z98" s="10"/>
    </row>
    <row r="99" spans="1:26" ht="17.25" customHeight="1" x14ac:dyDescent="0.3">
      <c r="A99" s="10" t="s">
        <v>233</v>
      </c>
      <c r="B99" s="10">
        <f t="shared" si="0"/>
        <v>13</v>
      </c>
      <c r="C99" s="8" t="str">
        <f t="shared" si="1"/>
        <v xml:space="preserve">Gouveia, L. </v>
      </c>
      <c r="D99" s="8" t="str">
        <f t="shared" si="2"/>
        <v>2002</v>
      </c>
      <c r="E99" s="10">
        <f t="shared" si="3"/>
        <v>18</v>
      </c>
      <c r="F99" s="10">
        <f t="shared" si="4"/>
        <v>123</v>
      </c>
      <c r="G99" s="8" t="str">
        <f t="shared" si="5"/>
        <v xml:space="preserve"> A Visualisation Design for Sharing Knowledge, A virtual environment for collaborative learning support. </v>
      </c>
      <c r="H99" s="10" t="str">
        <f t="shared" si="6"/>
        <v xml:space="preserve">Gouveia, L. </v>
      </c>
      <c r="I99" s="10" t="str">
        <f t="shared" si="7"/>
        <v xml:space="preserve">Gouveia, L. </v>
      </c>
      <c r="J99" s="10" t="str">
        <f t="shared" si="8"/>
        <v xml:space="preserve">Gouveia, L. </v>
      </c>
      <c r="K99" s="11" t="str">
        <f ca="1">IFERROR(__xludf.DUMMYFUNCTION("SPLIT(J99,"";"")"),"Gouveia, L. ")</f>
        <v xml:space="preserve">Gouveia, L. </v>
      </c>
      <c r="L99" s="10"/>
      <c r="M99" s="10"/>
      <c r="N99" s="10"/>
      <c r="O99" s="10"/>
      <c r="P99" s="10"/>
      <c r="Q99" s="10"/>
      <c r="R99" s="10"/>
      <c r="S99" s="10"/>
      <c r="T99" s="10"/>
      <c r="U99" s="10"/>
      <c r="V99" s="10"/>
      <c r="W99" s="10"/>
      <c r="X99" s="10"/>
      <c r="Y99" s="10"/>
      <c r="Z99" s="10"/>
    </row>
    <row r="100" spans="1:26" ht="17.25" customHeight="1" x14ac:dyDescent="0.3">
      <c r="A100" s="10" t="s">
        <v>234</v>
      </c>
      <c r="B100" s="10">
        <f t="shared" si="0"/>
        <v>13</v>
      </c>
      <c r="C100" s="8" t="str">
        <f t="shared" si="1"/>
        <v xml:space="preserve">Gouveia, L. </v>
      </c>
      <c r="D100" s="8" t="str">
        <f t="shared" si="2"/>
        <v>2001</v>
      </c>
      <c r="E100" s="10">
        <f t="shared" si="3"/>
        <v>18</v>
      </c>
      <c r="F100" s="10">
        <f t="shared" si="4"/>
        <v>123</v>
      </c>
      <c r="G100" s="8" t="str">
        <f t="shared" si="5"/>
        <v xml:space="preserve"> A Visualisation Design for Sharing Knowledge, A virtual environment for collaborative learning support. </v>
      </c>
      <c r="H100" s="10" t="str">
        <f t="shared" si="6"/>
        <v xml:space="preserve">Gouveia, L. </v>
      </c>
      <c r="I100" s="10" t="str">
        <f t="shared" si="7"/>
        <v xml:space="preserve">Gouveia, L. </v>
      </c>
      <c r="J100" s="10" t="str">
        <f t="shared" si="8"/>
        <v xml:space="preserve">Gouveia, L. </v>
      </c>
      <c r="K100" s="11" t="str">
        <f ca="1">IFERROR(__xludf.DUMMYFUNCTION("SPLIT(J100,"";"")"),"Gouveia, L. ")</f>
        <v xml:space="preserve">Gouveia, L. </v>
      </c>
      <c r="L100" s="10"/>
      <c r="M100" s="10"/>
      <c r="N100" s="10"/>
      <c r="O100" s="10"/>
      <c r="P100" s="10"/>
      <c r="Q100" s="10"/>
      <c r="R100" s="10"/>
      <c r="S100" s="10"/>
      <c r="T100" s="10"/>
      <c r="U100" s="10"/>
      <c r="V100" s="10"/>
      <c r="W100" s="10"/>
      <c r="X100" s="10"/>
      <c r="Y100" s="10"/>
      <c r="Z100" s="10"/>
    </row>
    <row r="101" spans="1:26" ht="17.25" customHeight="1" x14ac:dyDescent="0.3">
      <c r="A101" s="10" t="s">
        <v>235</v>
      </c>
      <c r="B101" s="10">
        <f t="shared" si="0"/>
        <v>13</v>
      </c>
      <c r="C101" s="8" t="str">
        <f t="shared" si="1"/>
        <v xml:space="preserve">Gouveia, L. </v>
      </c>
      <c r="D101" s="8" t="str">
        <f t="shared" si="2"/>
        <v>1999</v>
      </c>
      <c r="E101" s="10">
        <f t="shared" si="3"/>
        <v>18</v>
      </c>
      <c r="F101" s="10">
        <f t="shared" si="4"/>
        <v>43</v>
      </c>
      <c r="G101" s="8" t="str">
        <f t="shared" si="5"/>
        <v xml:space="preserve"> Second year PhD report. </v>
      </c>
      <c r="H101" s="10" t="str">
        <f t="shared" si="6"/>
        <v xml:space="preserve">Gouveia, L. </v>
      </c>
      <c r="I101" s="10" t="str">
        <f t="shared" si="7"/>
        <v xml:space="preserve">Gouveia, L. </v>
      </c>
      <c r="J101" s="10" t="str">
        <f t="shared" si="8"/>
        <v xml:space="preserve">Gouveia, L. </v>
      </c>
      <c r="K101" s="11" t="str">
        <f ca="1">IFERROR(__xludf.DUMMYFUNCTION("SPLIT(J101,"";"")"),"Gouveia, L. ")</f>
        <v xml:space="preserve">Gouveia, L. </v>
      </c>
      <c r="L101" s="10"/>
      <c r="M101" s="10"/>
      <c r="N101" s="10"/>
      <c r="O101" s="10"/>
      <c r="P101" s="10"/>
      <c r="Q101" s="10"/>
      <c r="R101" s="10"/>
      <c r="S101" s="10"/>
      <c r="T101" s="10"/>
      <c r="U101" s="10"/>
      <c r="V101" s="10"/>
      <c r="W101" s="10"/>
      <c r="X101" s="10"/>
      <c r="Y101" s="10"/>
      <c r="Z101" s="10"/>
    </row>
    <row r="102" spans="1:26" ht="17.25" customHeight="1" x14ac:dyDescent="0.3">
      <c r="A102" s="10" t="s">
        <v>236</v>
      </c>
      <c r="B102" s="10">
        <f t="shared" si="0"/>
        <v>13</v>
      </c>
      <c r="C102" s="8" t="str">
        <f t="shared" si="1"/>
        <v xml:space="preserve">Gouveia, L. </v>
      </c>
      <c r="D102" s="8" t="str">
        <f t="shared" si="2"/>
        <v>1998</v>
      </c>
      <c r="E102" s="10">
        <f t="shared" si="3"/>
        <v>18</v>
      </c>
      <c r="F102" s="10">
        <f t="shared" si="4"/>
        <v>42</v>
      </c>
      <c r="G102" s="8" t="str">
        <f t="shared" si="5"/>
        <v xml:space="preserve"> First year PhD report. </v>
      </c>
      <c r="H102" s="10" t="str">
        <f t="shared" si="6"/>
        <v xml:space="preserve">Gouveia, L. </v>
      </c>
      <c r="I102" s="10" t="str">
        <f t="shared" si="7"/>
        <v xml:space="preserve">Gouveia, L. </v>
      </c>
      <c r="J102" s="10" t="str">
        <f t="shared" si="8"/>
        <v xml:space="preserve">Gouveia, L. </v>
      </c>
      <c r="K102" s="11" t="str">
        <f ca="1">IFERROR(__xludf.DUMMYFUNCTION("SPLIT(J102,"";"")"),"Gouveia, L. ")</f>
        <v xml:space="preserve">Gouveia, L. </v>
      </c>
      <c r="L102" s="10"/>
      <c r="M102" s="10"/>
      <c r="N102" s="10"/>
      <c r="O102" s="10"/>
      <c r="P102" s="10"/>
      <c r="Q102" s="10"/>
      <c r="R102" s="10"/>
      <c r="S102" s="10"/>
      <c r="T102" s="10"/>
      <c r="U102" s="10"/>
      <c r="V102" s="10"/>
      <c r="W102" s="10"/>
      <c r="X102" s="10"/>
      <c r="Y102" s="10"/>
      <c r="Z102" s="10"/>
    </row>
    <row r="103" spans="1:26" ht="17.25" customHeight="1" x14ac:dyDescent="0.3">
      <c r="A103" s="10" t="s">
        <v>237</v>
      </c>
      <c r="B103" s="10">
        <f t="shared" si="0"/>
        <v>13</v>
      </c>
      <c r="C103" s="8" t="str">
        <f t="shared" si="1"/>
        <v xml:space="preserve">Gouveia, L. </v>
      </c>
      <c r="D103" s="8" t="str">
        <f t="shared" si="2"/>
        <v>1995</v>
      </c>
      <c r="E103" s="10">
        <f t="shared" si="3"/>
        <v>18</v>
      </c>
      <c r="F103" s="10">
        <f t="shared" si="4"/>
        <v>82</v>
      </c>
      <c r="G103" s="8" t="str">
        <f t="shared" si="5"/>
        <v xml:space="preserve"> Aplicações multimédia para o Sistema de Informação da Empresa. </v>
      </c>
      <c r="H103" s="10" t="str">
        <f t="shared" si="6"/>
        <v xml:space="preserve">Gouveia, L. </v>
      </c>
      <c r="I103" s="10" t="str">
        <f t="shared" si="7"/>
        <v xml:space="preserve">Gouveia, L. </v>
      </c>
      <c r="J103" s="10" t="str">
        <f t="shared" si="8"/>
        <v xml:space="preserve">Gouveia, L. </v>
      </c>
      <c r="K103" s="11" t="str">
        <f ca="1">IFERROR(__xludf.DUMMYFUNCTION("SPLIT(J103,"";"")"),"Gouveia, L. ")</f>
        <v xml:space="preserve">Gouveia, L. </v>
      </c>
      <c r="L103" s="10"/>
      <c r="M103" s="10"/>
      <c r="N103" s="10"/>
      <c r="O103" s="10"/>
      <c r="P103" s="10"/>
      <c r="Q103" s="10"/>
      <c r="R103" s="10"/>
      <c r="S103" s="10"/>
      <c r="T103" s="10"/>
      <c r="U103" s="10"/>
      <c r="V103" s="10"/>
      <c r="W103" s="10"/>
      <c r="X103" s="10"/>
      <c r="Y103" s="10"/>
      <c r="Z103" s="10"/>
    </row>
    <row r="104" spans="1:26" ht="17.25" customHeight="1" x14ac:dyDescent="0.3">
      <c r="A104" s="10" t="s">
        <v>238</v>
      </c>
      <c r="B104" s="10">
        <f t="shared" si="0"/>
        <v>27</v>
      </c>
      <c r="C104" s="8" t="str">
        <f t="shared" si="1"/>
        <v xml:space="preserve">Zagallo, J. e Gouveia, L. </v>
      </c>
      <c r="D104" s="8" t="str">
        <f t="shared" si="2"/>
        <v>1989</v>
      </c>
      <c r="E104" s="10">
        <f t="shared" si="3"/>
        <v>32</v>
      </c>
      <c r="F104" s="10">
        <f t="shared" si="4"/>
        <v>53</v>
      </c>
      <c r="G104" s="8" t="str">
        <f t="shared" si="5"/>
        <v xml:space="preserve"> O serviço Videotex. </v>
      </c>
      <c r="H104" s="10" t="str">
        <f t="shared" si="6"/>
        <v xml:space="preserve">Zagallo, J. e Gouveia, L. </v>
      </c>
      <c r="I104" s="10" t="str">
        <f t="shared" si="7"/>
        <v xml:space="preserve">Zagallo, J. e Gouveia, L. </v>
      </c>
      <c r="J104" s="10" t="str">
        <f t="shared" si="8"/>
        <v xml:space="preserve">Zagallo, J.;Gouveia, L. </v>
      </c>
      <c r="K104" s="11" t="str">
        <f ca="1">IFERROR(__xludf.DUMMYFUNCTION("SPLIT(J104,"";"")"),"Zagallo, J.")</f>
        <v>Zagallo, J.</v>
      </c>
      <c r="L104" s="10" t="str">
        <f ca="1">IFERROR(__xludf.DUMMYFUNCTION("""COMPUTED_VALUE"""),"Gouveia, L. ")</f>
        <v xml:space="preserve">Gouveia, L. </v>
      </c>
      <c r="M104" s="10"/>
      <c r="N104" s="10"/>
      <c r="O104" s="10"/>
      <c r="P104" s="10"/>
      <c r="Q104" s="10"/>
      <c r="R104" s="10"/>
      <c r="S104" s="10"/>
      <c r="T104" s="10"/>
      <c r="U104" s="10"/>
      <c r="V104" s="10"/>
      <c r="W104" s="10"/>
      <c r="X104" s="10"/>
      <c r="Y104" s="10"/>
      <c r="Z104" s="10"/>
    </row>
    <row r="105" spans="1:26" ht="17.25" customHeight="1" x14ac:dyDescent="0.3">
      <c r="A105" s="7" t="s">
        <v>239</v>
      </c>
      <c r="B105" s="7" t="e">
        <f t="shared" si="0"/>
        <v>#VALUE!</v>
      </c>
      <c r="C105" s="8" t="e">
        <f t="shared" si="1"/>
        <v>#VALUE!</v>
      </c>
      <c r="D105" s="8" t="e">
        <f t="shared" si="2"/>
        <v>#VALUE!</v>
      </c>
      <c r="E105" s="10" t="e">
        <f t="shared" si="3"/>
        <v>#VALUE!</v>
      </c>
      <c r="F105" s="10" t="e">
        <f t="shared" si="4"/>
        <v>#VALUE!</v>
      </c>
      <c r="G105" s="8" t="e">
        <f t="shared" si="5"/>
        <v>#VALUE!</v>
      </c>
      <c r="H105" s="10" t="e">
        <f t="shared" si="6"/>
        <v>#VALUE!</v>
      </c>
      <c r="I105" s="10" t="e">
        <f t="shared" si="7"/>
        <v>#VALUE!</v>
      </c>
      <c r="J105" s="10" t="e">
        <f t="shared" si="8"/>
        <v>#VALUE!</v>
      </c>
      <c r="K105" s="11" t="str">
        <f ca="1">IFERROR(__xludf.DUMMYFUNCTION("SPLIT(J105,"";"")"),"#VALUE!")</f>
        <v>#VALUE!</v>
      </c>
      <c r="L105" s="7"/>
      <c r="M105" s="7"/>
      <c r="N105" s="7"/>
      <c r="O105" s="7"/>
      <c r="P105" s="7"/>
      <c r="Q105" s="7"/>
      <c r="R105" s="7"/>
      <c r="S105" s="7"/>
      <c r="T105" s="7"/>
      <c r="U105" s="7"/>
      <c r="V105" s="7"/>
      <c r="W105" s="7"/>
      <c r="X105" s="7"/>
      <c r="Y105" s="7"/>
      <c r="Z105" s="7"/>
    </row>
    <row r="106" spans="1:26" ht="17.25" customHeight="1" x14ac:dyDescent="0.3">
      <c r="A106" s="10" t="s">
        <v>240</v>
      </c>
      <c r="B106" s="10">
        <f t="shared" si="0"/>
        <v>39</v>
      </c>
      <c r="C106" s="8" t="str">
        <f t="shared" si="1"/>
        <v xml:space="preserve">Cavaignac, S.; Gouveia, L. e Reis, P. </v>
      </c>
      <c r="D106" s="8" t="str">
        <f t="shared" si="2"/>
        <v>2019</v>
      </c>
      <c r="E106" s="10">
        <f t="shared" si="3"/>
        <v>44</v>
      </c>
      <c r="F106" s="10">
        <f t="shared" si="4"/>
        <v>120</v>
      </c>
      <c r="G106" s="8" t="str">
        <f t="shared" si="5"/>
        <v xml:space="preserve"> Jogos na Aprendizagem: uma proposta de modelo para o ensino do Jornalismo. </v>
      </c>
      <c r="H106" s="10" t="str">
        <f t="shared" si="6"/>
        <v xml:space="preserve">Cavaignac, S.; Gouveia, L. e Reis, P. </v>
      </c>
      <c r="I106" s="10" t="str">
        <f t="shared" si="7"/>
        <v xml:space="preserve">Cavaignac, S.; Gouveia, L. e Reis, P. </v>
      </c>
      <c r="J106" s="10" t="str">
        <f t="shared" si="8"/>
        <v xml:space="preserve">Cavaignac, S.; Gouveia, L.;Reis, P. </v>
      </c>
      <c r="K106" s="11" t="str">
        <f ca="1">IFERROR(__xludf.DUMMYFUNCTION("SPLIT(J106,"";"")"),"Cavaignac, S.")</f>
        <v>Cavaignac, S.</v>
      </c>
      <c r="L106" s="10" t="str">
        <f ca="1">IFERROR(__xludf.DUMMYFUNCTION("""COMPUTED_VALUE""")," Gouveia, L.")</f>
        <v xml:space="preserve"> Gouveia, L.</v>
      </c>
      <c r="M106" s="10" t="str">
        <f ca="1">IFERROR(__xludf.DUMMYFUNCTION("""COMPUTED_VALUE"""),"Reis, P. ")</f>
        <v xml:space="preserve">Reis, P. </v>
      </c>
      <c r="N106" s="10"/>
      <c r="O106" s="10"/>
      <c r="P106" s="10"/>
      <c r="Q106" s="10"/>
      <c r="R106" s="10"/>
      <c r="S106" s="10"/>
      <c r="T106" s="10"/>
      <c r="U106" s="10"/>
      <c r="V106" s="10"/>
      <c r="W106" s="10"/>
      <c r="X106" s="10"/>
      <c r="Y106" s="10"/>
      <c r="Z106" s="10"/>
    </row>
    <row r="107" spans="1:26" ht="17.25" customHeight="1" x14ac:dyDescent="0.3">
      <c r="A107" s="10" t="s">
        <v>241</v>
      </c>
      <c r="B107" s="10">
        <f t="shared" si="0"/>
        <v>35</v>
      </c>
      <c r="C107" s="8" t="str">
        <f t="shared" si="1"/>
        <v xml:space="preserve">Lopes, S.; Gouveia, L. e Reis, P. </v>
      </c>
      <c r="D107" s="8" t="str">
        <f t="shared" si="2"/>
        <v>2019</v>
      </c>
      <c r="E107" s="10">
        <f t="shared" si="3"/>
        <v>40</v>
      </c>
      <c r="F107" s="10">
        <f t="shared" si="4"/>
        <v>191</v>
      </c>
      <c r="G107" s="8" t="str">
        <f t="shared" si="5"/>
        <v xml:space="preserve"> Resultados e análise estatística de experimentos realizados no Ensino Superior: a prática metodológica da sala de aula invertida (flipped classroom). </v>
      </c>
      <c r="H107" s="10" t="str">
        <f t="shared" si="6"/>
        <v xml:space="preserve">Lopes, S.; Gouveia, L. e Reis, P. </v>
      </c>
      <c r="I107" s="10" t="str">
        <f t="shared" si="7"/>
        <v xml:space="preserve">Lopes, S.; Gouveia, L. e Reis, P. </v>
      </c>
      <c r="J107" s="10" t="str">
        <f t="shared" si="8"/>
        <v xml:space="preserve">Lopes, S.; Gouveia, L.;Reis, P. </v>
      </c>
      <c r="K107" s="11" t="str">
        <f ca="1">IFERROR(__xludf.DUMMYFUNCTION("SPLIT(J107,"";"")"),"Lopes, S.")</f>
        <v>Lopes, S.</v>
      </c>
      <c r="L107" s="10" t="str">
        <f ca="1">IFERROR(__xludf.DUMMYFUNCTION("""COMPUTED_VALUE""")," Gouveia, L.")</f>
        <v xml:space="preserve"> Gouveia, L.</v>
      </c>
      <c r="M107" s="10" t="str">
        <f ca="1">IFERROR(__xludf.DUMMYFUNCTION("""COMPUTED_VALUE"""),"Reis, P. ")</f>
        <v xml:space="preserve">Reis, P. </v>
      </c>
      <c r="N107" s="10"/>
      <c r="O107" s="10"/>
      <c r="P107" s="10"/>
      <c r="Q107" s="10"/>
      <c r="R107" s="10"/>
      <c r="S107" s="10"/>
      <c r="T107" s="10"/>
      <c r="U107" s="10"/>
      <c r="V107" s="10"/>
      <c r="W107" s="10"/>
      <c r="X107" s="10"/>
      <c r="Y107" s="10"/>
      <c r="Z107" s="10"/>
    </row>
    <row r="108" spans="1:26" ht="17.25" customHeight="1" x14ac:dyDescent="0.3">
      <c r="A108" s="10" t="s">
        <v>242</v>
      </c>
      <c r="B108" s="10">
        <f t="shared" si="0"/>
        <v>24</v>
      </c>
      <c r="C108" s="8" t="str">
        <f t="shared" si="1"/>
        <v xml:space="preserve">Toso, R. e Gouveia, L. </v>
      </c>
      <c r="D108" s="8" t="str">
        <f t="shared" si="2"/>
        <v>2019</v>
      </c>
      <c r="E108" s="10">
        <f t="shared" si="3"/>
        <v>29</v>
      </c>
      <c r="F108" s="10">
        <f t="shared" si="4"/>
        <v>97</v>
      </c>
      <c r="G108" s="8" t="str">
        <f t="shared" si="5"/>
        <v xml:space="preserve"> Utilização da metodologia de projetos: Maquete de Logística Móvel. </v>
      </c>
      <c r="H108" s="10" t="str">
        <f t="shared" si="6"/>
        <v xml:space="preserve">Toso, R. e Gouveia, L. </v>
      </c>
      <c r="I108" s="10" t="str">
        <f t="shared" si="7"/>
        <v xml:space="preserve">Toso, R. e Gouveia, L. </v>
      </c>
      <c r="J108" s="10" t="str">
        <f t="shared" si="8"/>
        <v xml:space="preserve">Toso, R.;Gouveia, L. </v>
      </c>
      <c r="K108" s="11" t="str">
        <f ca="1">IFERROR(__xludf.DUMMYFUNCTION("SPLIT(J108,"";"")"),"Toso, R.")</f>
        <v>Toso, R.</v>
      </c>
      <c r="L108" s="10" t="str">
        <f ca="1">IFERROR(__xludf.DUMMYFUNCTION("""COMPUTED_VALUE"""),"Gouveia, L. ")</f>
        <v xml:space="preserve">Gouveia, L. </v>
      </c>
      <c r="M108" s="10"/>
      <c r="N108" s="10"/>
      <c r="O108" s="10"/>
      <c r="P108" s="10"/>
      <c r="Q108" s="10"/>
      <c r="R108" s="10"/>
      <c r="S108" s="10"/>
      <c r="T108" s="10"/>
      <c r="U108" s="10"/>
      <c r="V108" s="10"/>
      <c r="W108" s="10"/>
      <c r="X108" s="10"/>
      <c r="Y108" s="10"/>
      <c r="Z108" s="10"/>
    </row>
    <row r="109" spans="1:26" ht="17.25" customHeight="1" x14ac:dyDescent="0.3">
      <c r="A109" s="10" t="s">
        <v>243</v>
      </c>
      <c r="B109" s="10">
        <f t="shared" si="0"/>
        <v>27</v>
      </c>
      <c r="C109" s="8" t="str">
        <f t="shared" si="1"/>
        <v xml:space="preserve">Almasri, A. e Gouveia, L. </v>
      </c>
      <c r="D109" s="8" t="str">
        <f t="shared" si="2"/>
        <v>2019</v>
      </c>
      <c r="E109" s="10">
        <f t="shared" si="3"/>
        <v>32</v>
      </c>
      <c r="F109" s="10">
        <f t="shared" si="4"/>
        <v>158</v>
      </c>
      <c r="G109" s="8" t="str">
        <f t="shared" si="5"/>
        <v xml:space="preserve"> Adding Energy Star Rating Schema to Android Applications on Google Play Store an Example of a Preventive Power Saving Model. </v>
      </c>
      <c r="H109" s="10" t="str">
        <f t="shared" si="6"/>
        <v xml:space="preserve">Almasri, A. e Gouveia, L. </v>
      </c>
      <c r="I109" s="10" t="str">
        <f t="shared" si="7"/>
        <v xml:space="preserve">Almasri, A. e Gouveia, L. </v>
      </c>
      <c r="J109" s="10" t="str">
        <f t="shared" si="8"/>
        <v xml:space="preserve">Almasri, A.;Gouveia, L. </v>
      </c>
      <c r="K109" s="11" t="str">
        <f ca="1">IFERROR(__xludf.DUMMYFUNCTION("SPLIT(J109,"";"")"),"Almasri, A.")</f>
        <v>Almasri, A.</v>
      </c>
      <c r="L109" s="10" t="str">
        <f ca="1">IFERROR(__xludf.DUMMYFUNCTION("""COMPUTED_VALUE"""),"Gouveia, L. ")</f>
        <v xml:space="preserve">Gouveia, L. </v>
      </c>
      <c r="M109" s="10"/>
      <c r="N109" s="10"/>
      <c r="O109" s="10"/>
      <c r="P109" s="10"/>
      <c r="Q109" s="10"/>
      <c r="R109" s="10"/>
      <c r="S109" s="10"/>
      <c r="T109" s="10"/>
      <c r="U109" s="10"/>
      <c r="V109" s="10"/>
      <c r="W109" s="10"/>
      <c r="X109" s="10"/>
      <c r="Y109" s="10"/>
      <c r="Z109" s="10"/>
    </row>
    <row r="110" spans="1:26" ht="17.25" customHeight="1" x14ac:dyDescent="0.3">
      <c r="A110" s="10" t="s">
        <v>244</v>
      </c>
      <c r="B110" s="10">
        <f t="shared" si="0"/>
        <v>27</v>
      </c>
      <c r="C110" s="8" t="str">
        <f t="shared" si="1"/>
        <v xml:space="preserve">Almasri, A. e Gouveia, L. </v>
      </c>
      <c r="D110" s="8" t="str">
        <f t="shared" si="2"/>
        <v>2019</v>
      </c>
      <c r="E110" s="10">
        <f t="shared" si="3"/>
        <v>32</v>
      </c>
      <c r="F110" s="10">
        <f t="shared" si="4"/>
        <v>158</v>
      </c>
      <c r="G110" s="8" t="str">
        <f t="shared" si="5"/>
        <v xml:space="preserve"> Reviewing the Efficiency of Current Power-Saving Approaches Used Among Different Stages of an Android-Application Lifecycle. </v>
      </c>
      <c r="H110" s="10" t="str">
        <f t="shared" si="6"/>
        <v xml:space="preserve">Almasri, A. e Gouveia, L. </v>
      </c>
      <c r="I110" s="10" t="str">
        <f t="shared" si="7"/>
        <v xml:space="preserve">Almasri, A. e Gouveia, L. </v>
      </c>
      <c r="J110" s="10" t="str">
        <f t="shared" si="8"/>
        <v xml:space="preserve">Almasri, A.;Gouveia, L. </v>
      </c>
      <c r="K110" s="11" t="str">
        <f ca="1">IFERROR(__xludf.DUMMYFUNCTION("SPLIT(J110,"";"")"),"Almasri, A.")</f>
        <v>Almasri, A.</v>
      </c>
      <c r="L110" s="10" t="str">
        <f ca="1">IFERROR(__xludf.DUMMYFUNCTION("""COMPUTED_VALUE"""),"Gouveia, L. ")</f>
        <v xml:space="preserve">Gouveia, L. </v>
      </c>
      <c r="M110" s="10"/>
      <c r="N110" s="10"/>
      <c r="O110" s="10"/>
      <c r="P110" s="10"/>
      <c r="Q110" s="10"/>
      <c r="R110" s="10"/>
      <c r="S110" s="10"/>
      <c r="T110" s="10"/>
      <c r="U110" s="10"/>
      <c r="V110" s="10"/>
      <c r="W110" s="10"/>
      <c r="X110" s="10"/>
      <c r="Y110" s="10"/>
      <c r="Z110" s="10"/>
    </row>
    <row r="111" spans="1:26" ht="17.25" customHeight="1" x14ac:dyDescent="0.3">
      <c r="A111" s="10" t="s">
        <v>245</v>
      </c>
      <c r="B111" s="10">
        <f t="shared" si="0"/>
        <v>27</v>
      </c>
      <c r="C111" s="8" t="str">
        <f t="shared" si="1"/>
        <v xml:space="preserve">Almasri, A. e Gouveia, L. </v>
      </c>
      <c r="D111" s="8" t="str">
        <f t="shared" si="2"/>
        <v>2019</v>
      </c>
      <c r="E111" s="10">
        <f t="shared" si="3"/>
        <v>32</v>
      </c>
      <c r="F111" s="10">
        <f t="shared" si="4"/>
        <v>156</v>
      </c>
      <c r="G111" s="8" t="str">
        <f t="shared" si="5"/>
        <v xml:space="preserve"> Analyzing and Evaluating the Amount of Power Consumption Used by Current Power-Saving-Applications on Android Smartphones. </v>
      </c>
      <c r="H111" s="10" t="str">
        <f t="shared" si="6"/>
        <v xml:space="preserve">Almasri, A. e Gouveia, L. </v>
      </c>
      <c r="I111" s="10" t="str">
        <f t="shared" si="7"/>
        <v xml:space="preserve">Almasri, A. e Gouveia, L. </v>
      </c>
      <c r="J111" s="10" t="str">
        <f t="shared" si="8"/>
        <v xml:space="preserve">Almasri, A.;Gouveia, L. </v>
      </c>
      <c r="K111" s="11" t="str">
        <f ca="1">IFERROR(__xludf.DUMMYFUNCTION("SPLIT(J111,"";"")"),"Almasri, A.")</f>
        <v>Almasri, A.</v>
      </c>
      <c r="L111" s="10" t="str">
        <f ca="1">IFERROR(__xludf.DUMMYFUNCTION("""COMPUTED_VALUE"""),"Gouveia, L. ")</f>
        <v xml:space="preserve">Gouveia, L. </v>
      </c>
      <c r="M111" s="10"/>
      <c r="N111" s="10"/>
      <c r="O111" s="10"/>
      <c r="P111" s="10"/>
      <c r="Q111" s="10"/>
      <c r="R111" s="10"/>
      <c r="S111" s="10"/>
      <c r="T111" s="10"/>
      <c r="U111" s="10"/>
      <c r="V111" s="10"/>
      <c r="W111" s="10"/>
      <c r="X111" s="10"/>
      <c r="Y111" s="10"/>
      <c r="Z111" s="10"/>
    </row>
    <row r="112" spans="1:26" ht="17.25" customHeight="1" x14ac:dyDescent="0.3">
      <c r="A112" s="10" t="s">
        <v>246</v>
      </c>
      <c r="B112" s="10">
        <f t="shared" si="0"/>
        <v>28</v>
      </c>
      <c r="C112" s="8" t="str">
        <f t="shared" si="1"/>
        <v xml:space="preserve">Nogueira, D. e Gouveia, L. </v>
      </c>
      <c r="D112" s="8" t="str">
        <f t="shared" si="2"/>
        <v>2019</v>
      </c>
      <c r="E112" s="10">
        <f t="shared" si="3"/>
        <v>33</v>
      </c>
      <c r="F112" s="10">
        <f t="shared" si="4"/>
        <v>131</v>
      </c>
      <c r="G112" s="8" t="str">
        <f t="shared" si="5"/>
        <v xml:space="preserve"> Pesquisa das palavras-chave Redes Digitais; Capacitação e Competências: um estudo bibliométrico. </v>
      </c>
      <c r="H112" s="10" t="str">
        <f t="shared" si="6"/>
        <v xml:space="preserve">Nogueira, D. e Gouveia, L. </v>
      </c>
      <c r="I112" s="10" t="str">
        <f t="shared" si="7"/>
        <v xml:space="preserve">Nogueira, D. e Gouveia, L. </v>
      </c>
      <c r="J112" s="10" t="str">
        <f t="shared" si="8"/>
        <v xml:space="preserve">Nogueira, D.;Gouveia, L. </v>
      </c>
      <c r="K112" s="11" t="str">
        <f ca="1">IFERROR(__xludf.DUMMYFUNCTION("SPLIT(J112,"";"")"),"Nogueira, D.")</f>
        <v>Nogueira, D.</v>
      </c>
      <c r="L112" s="10" t="str">
        <f ca="1">IFERROR(__xludf.DUMMYFUNCTION("""COMPUTED_VALUE"""),"Gouveia, L. ")</f>
        <v xml:space="preserve">Gouveia, L. </v>
      </c>
      <c r="M112" s="10"/>
      <c r="N112" s="10"/>
      <c r="O112" s="10"/>
      <c r="P112" s="10"/>
      <c r="Q112" s="10"/>
      <c r="R112" s="10"/>
      <c r="S112" s="10"/>
      <c r="T112" s="10"/>
      <c r="U112" s="10"/>
      <c r="V112" s="10"/>
      <c r="W112" s="10"/>
      <c r="X112" s="10"/>
      <c r="Y112" s="10"/>
      <c r="Z112" s="10"/>
    </row>
    <row r="113" spans="1:26" ht="17.25" customHeight="1" x14ac:dyDescent="0.3">
      <c r="A113" s="10" t="s">
        <v>247</v>
      </c>
      <c r="B113" s="10">
        <f t="shared" si="0"/>
        <v>28</v>
      </c>
      <c r="C113" s="8" t="str">
        <f t="shared" si="1"/>
        <v xml:space="preserve">Carvalho, M. e Gouveia, L. </v>
      </c>
      <c r="D113" s="8" t="str">
        <f t="shared" si="2"/>
        <v>2019</v>
      </c>
      <c r="E113" s="10">
        <f t="shared" si="3"/>
        <v>33</v>
      </c>
      <c r="F113" s="10">
        <f t="shared" si="4"/>
        <v>146</v>
      </c>
      <c r="G113" s="8" t="str">
        <f t="shared" si="5"/>
        <v xml:space="preserve"> Gestão do Conhecimento, considerando os fluxos informacionais em contexto de fluidez - uma investigação prévia. </v>
      </c>
      <c r="H113" s="10" t="str">
        <f t="shared" si="6"/>
        <v xml:space="preserve">Carvalho, M. e Gouveia, L. </v>
      </c>
      <c r="I113" s="10" t="str">
        <f t="shared" si="7"/>
        <v xml:space="preserve">Carvalho, M. e Gouveia, L. </v>
      </c>
      <c r="J113" s="10" t="str">
        <f t="shared" si="8"/>
        <v xml:space="preserve">Carvalho, M.;Gouveia, L. </v>
      </c>
      <c r="K113" s="11" t="str">
        <f ca="1">IFERROR(__xludf.DUMMYFUNCTION("SPLIT(J113,"";"")"),"Carvalho, M.")</f>
        <v>Carvalho, M.</v>
      </c>
      <c r="L113" s="10" t="str">
        <f ca="1">IFERROR(__xludf.DUMMYFUNCTION("""COMPUTED_VALUE"""),"Gouveia, L. ")</f>
        <v xml:space="preserve">Gouveia, L. </v>
      </c>
      <c r="M113" s="10"/>
      <c r="N113" s="10"/>
      <c r="O113" s="10"/>
      <c r="P113" s="10"/>
      <c r="Q113" s="10"/>
      <c r="R113" s="10"/>
      <c r="S113" s="10"/>
      <c r="T113" s="10"/>
      <c r="U113" s="10"/>
      <c r="V113" s="10"/>
      <c r="W113" s="10"/>
      <c r="X113" s="10"/>
      <c r="Y113" s="10"/>
      <c r="Z113" s="10"/>
    </row>
    <row r="114" spans="1:26" ht="17.25" customHeight="1" x14ac:dyDescent="0.3">
      <c r="A114" s="10" t="s">
        <v>248</v>
      </c>
      <c r="B114" s="10">
        <f t="shared" si="0"/>
        <v>35</v>
      </c>
      <c r="C114" s="8" t="str">
        <f t="shared" si="1"/>
        <v xml:space="preserve">Lopes, S.; Gouveia, L. e Reis, P. </v>
      </c>
      <c r="D114" s="8" t="str">
        <f t="shared" si="2"/>
        <v>2019</v>
      </c>
      <c r="E114" s="10">
        <f t="shared" si="3"/>
        <v>40</v>
      </c>
      <c r="F114" s="10">
        <f t="shared" si="4"/>
        <v>189</v>
      </c>
      <c r="G114" s="8" t="str">
        <f t="shared" si="5"/>
        <v xml:space="preserve"> Utilização da metodologia da sala de aula invertida (flipped classroom): análise de eficiência dos instrumentos e resultados do experimento piloto. </v>
      </c>
      <c r="H114" s="10" t="str">
        <f t="shared" si="6"/>
        <v xml:space="preserve">Lopes, S.; Gouveia, L. e Reis, P. </v>
      </c>
      <c r="I114" s="10" t="str">
        <f t="shared" si="7"/>
        <v xml:space="preserve">Lopes, S.; Gouveia, L. e Reis, P. </v>
      </c>
      <c r="J114" s="10" t="str">
        <f t="shared" si="8"/>
        <v xml:space="preserve">Lopes, S.; Gouveia, L.;Reis, P. </v>
      </c>
      <c r="K114" s="11" t="str">
        <f ca="1">IFERROR(__xludf.DUMMYFUNCTION("SPLIT(J114,"";"")"),"Lopes, S.")</f>
        <v>Lopes, S.</v>
      </c>
      <c r="L114" s="10" t="str">
        <f ca="1">IFERROR(__xludf.DUMMYFUNCTION("""COMPUTED_VALUE""")," Gouveia, L.")</f>
        <v xml:space="preserve"> Gouveia, L.</v>
      </c>
      <c r="M114" s="10" t="str">
        <f ca="1">IFERROR(__xludf.DUMMYFUNCTION("""COMPUTED_VALUE"""),"Reis, P. ")</f>
        <v xml:space="preserve">Reis, P. </v>
      </c>
      <c r="N114" s="10"/>
      <c r="O114" s="10"/>
      <c r="P114" s="10"/>
      <c r="Q114" s="10"/>
      <c r="R114" s="10"/>
      <c r="S114" s="10"/>
      <c r="T114" s="10"/>
      <c r="U114" s="10"/>
      <c r="V114" s="10"/>
      <c r="W114" s="10"/>
      <c r="X114" s="10"/>
      <c r="Y114" s="10"/>
      <c r="Z114" s="10"/>
    </row>
    <row r="115" spans="1:26" ht="17.25" customHeight="1" x14ac:dyDescent="0.3">
      <c r="A115" s="10" t="s">
        <v>249</v>
      </c>
      <c r="B115" s="10">
        <f t="shared" si="0"/>
        <v>26</v>
      </c>
      <c r="C115" s="8" t="str">
        <f t="shared" si="1"/>
        <v xml:space="preserve">Barros, V. e Gouveia, L. </v>
      </c>
      <c r="D115" s="8" t="str">
        <f t="shared" si="2"/>
        <v>2018</v>
      </c>
      <c r="E115" s="10">
        <f t="shared" si="3"/>
        <v>31</v>
      </c>
      <c r="F115" s="10">
        <f t="shared" si="4"/>
        <v>108</v>
      </c>
      <c r="G115" s="8" t="str">
        <f t="shared" si="5"/>
        <v xml:space="preserve"> Contribuições para a discussão de um modelo de avaliação do impacto social. </v>
      </c>
      <c r="H115" s="10" t="str">
        <f t="shared" si="6"/>
        <v xml:space="preserve">Barros, V. e Gouveia, L. </v>
      </c>
      <c r="I115" s="10" t="str">
        <f t="shared" si="7"/>
        <v xml:space="preserve">Barros, V. e Gouveia, L. </v>
      </c>
      <c r="J115" s="10" t="str">
        <f t="shared" si="8"/>
        <v xml:space="preserve">Barros, V.;Gouveia, L. </v>
      </c>
      <c r="K115" s="11" t="str">
        <f ca="1">IFERROR(__xludf.DUMMYFUNCTION("SPLIT(J115,"";"")"),"Barros, V.")</f>
        <v>Barros, V.</v>
      </c>
      <c r="L115" s="10" t="str">
        <f ca="1">IFERROR(__xludf.DUMMYFUNCTION("""COMPUTED_VALUE"""),"Gouveia, L. ")</f>
        <v xml:space="preserve">Gouveia, L. </v>
      </c>
      <c r="M115" s="10"/>
      <c r="N115" s="10"/>
      <c r="O115" s="10"/>
      <c r="P115" s="10"/>
      <c r="Q115" s="10"/>
      <c r="R115" s="10"/>
      <c r="S115" s="10"/>
      <c r="T115" s="10"/>
      <c r="U115" s="10"/>
      <c r="V115" s="10"/>
      <c r="W115" s="10"/>
      <c r="X115" s="10"/>
      <c r="Y115" s="10"/>
      <c r="Z115" s="10"/>
    </row>
    <row r="116" spans="1:26" ht="17.25" customHeight="1" x14ac:dyDescent="0.3">
      <c r="A116" s="10" t="s">
        <v>250</v>
      </c>
      <c r="B116" s="10">
        <f t="shared" si="0"/>
        <v>27</v>
      </c>
      <c r="C116" s="8" t="str">
        <f t="shared" si="1"/>
        <v xml:space="preserve">Correia, A. e Gouveia, L. </v>
      </c>
      <c r="D116" s="8" t="str">
        <f t="shared" si="2"/>
        <v>2018</v>
      </c>
      <c r="E116" s="10">
        <f t="shared" si="3"/>
        <v>32</v>
      </c>
      <c r="F116" s="10">
        <f t="shared" si="4"/>
        <v>101</v>
      </c>
      <c r="G116" s="8" t="str">
        <f t="shared" si="5"/>
        <v xml:space="preserve"> FIWARE: uma plataforma de desenvolvimento de soluções inteligentes. </v>
      </c>
      <c r="H116" s="10" t="str">
        <f t="shared" si="6"/>
        <v xml:space="preserve">Correia, A. e Gouveia, L. </v>
      </c>
      <c r="I116" s="10" t="str">
        <f t="shared" si="7"/>
        <v xml:space="preserve">Correia, A. e Gouveia, L. </v>
      </c>
      <c r="J116" s="10" t="str">
        <f t="shared" si="8"/>
        <v xml:space="preserve">Correia, A.;Gouveia, L. </v>
      </c>
      <c r="K116" s="11" t="str">
        <f ca="1">IFERROR(__xludf.DUMMYFUNCTION("SPLIT(J116,"";"")"),"Correia, A.")</f>
        <v>Correia, A.</v>
      </c>
      <c r="L116" s="10" t="str">
        <f ca="1">IFERROR(__xludf.DUMMYFUNCTION("""COMPUTED_VALUE"""),"Gouveia, L. ")</f>
        <v xml:space="preserve">Gouveia, L. </v>
      </c>
      <c r="M116" s="10"/>
      <c r="N116" s="10"/>
      <c r="O116" s="10"/>
      <c r="P116" s="10"/>
      <c r="Q116" s="10"/>
      <c r="R116" s="10"/>
      <c r="S116" s="10"/>
      <c r="T116" s="10"/>
      <c r="U116" s="10"/>
      <c r="V116" s="10"/>
      <c r="W116" s="10"/>
      <c r="X116" s="10"/>
      <c r="Y116" s="10"/>
      <c r="Z116" s="10"/>
    </row>
    <row r="117" spans="1:26" ht="17.25" customHeight="1" x14ac:dyDescent="0.3">
      <c r="A117" s="10" t="s">
        <v>251</v>
      </c>
      <c r="B117" s="10">
        <f t="shared" si="0"/>
        <v>27</v>
      </c>
      <c r="C117" s="8" t="str">
        <f t="shared" si="1"/>
        <v xml:space="preserve">Menezes, N. e Gouveia, L. </v>
      </c>
      <c r="D117" s="8" t="str">
        <f t="shared" si="2"/>
        <v>2018</v>
      </c>
      <c r="E117" s="10">
        <f t="shared" si="3"/>
        <v>32</v>
      </c>
      <c r="F117" s="10">
        <f t="shared" si="4"/>
        <v>106</v>
      </c>
      <c r="G117" s="8" t="str">
        <f t="shared" si="5"/>
        <v xml:space="preserve"> O Recurso a TIC para suporte de atividade em sala de aula, teste piloto. </v>
      </c>
      <c r="H117" s="10" t="str">
        <f t="shared" si="6"/>
        <v xml:space="preserve">Menezes, N. e Gouveia, L. </v>
      </c>
      <c r="I117" s="10" t="str">
        <f t="shared" si="7"/>
        <v xml:space="preserve">Menezes, N. e Gouveia, L. </v>
      </c>
      <c r="J117" s="10" t="str">
        <f t="shared" si="8"/>
        <v xml:space="preserve">Menezes, N.;Gouveia, L. </v>
      </c>
      <c r="K117" s="11" t="str">
        <f ca="1">IFERROR(__xludf.DUMMYFUNCTION("SPLIT(J117,"";"")"),"Menezes, N.")</f>
        <v>Menezes, N.</v>
      </c>
      <c r="L117" s="10" t="str">
        <f ca="1">IFERROR(__xludf.DUMMYFUNCTION("""COMPUTED_VALUE"""),"Gouveia, L. ")</f>
        <v xml:space="preserve">Gouveia, L. </v>
      </c>
      <c r="M117" s="10"/>
      <c r="N117" s="10"/>
      <c r="O117" s="10"/>
      <c r="P117" s="10"/>
      <c r="Q117" s="10"/>
      <c r="R117" s="10"/>
      <c r="S117" s="10"/>
      <c r="T117" s="10"/>
      <c r="U117" s="10"/>
      <c r="V117" s="10"/>
      <c r="W117" s="10"/>
      <c r="X117" s="10"/>
      <c r="Y117" s="10"/>
      <c r="Z117" s="10"/>
    </row>
    <row r="118" spans="1:26" ht="17.25" customHeight="1" x14ac:dyDescent="0.3">
      <c r="A118" s="10" t="s">
        <v>252</v>
      </c>
      <c r="B118" s="10">
        <f t="shared" si="0"/>
        <v>28</v>
      </c>
      <c r="C118" s="8" t="str">
        <f t="shared" si="1"/>
        <v xml:space="preserve">Cordeiro, S. e Gouveia, L. </v>
      </c>
      <c r="D118" s="8" t="str">
        <f t="shared" si="2"/>
        <v>2018</v>
      </c>
      <c r="E118" s="10">
        <f t="shared" si="3"/>
        <v>33</v>
      </c>
      <c r="F118" s="10">
        <f t="shared" si="4"/>
        <v>138</v>
      </c>
      <c r="G118" s="8" t="str">
        <f t="shared" si="5"/>
        <v xml:space="preserve"> Regulamento Geral de Proteção de Dados (RGPD): o novo pesadelo das empresas? Relatório Interno 07/2018. </v>
      </c>
      <c r="H118" s="10" t="str">
        <f t="shared" si="6"/>
        <v xml:space="preserve">Cordeiro, S. e Gouveia, L. </v>
      </c>
      <c r="I118" s="10" t="str">
        <f t="shared" si="7"/>
        <v xml:space="preserve">Cordeiro, S. e Gouveia, L. </v>
      </c>
      <c r="J118" s="10" t="str">
        <f t="shared" si="8"/>
        <v xml:space="preserve">Cordeiro, S.;Gouveia, L. </v>
      </c>
      <c r="K118" s="11" t="str">
        <f ca="1">IFERROR(__xludf.DUMMYFUNCTION("SPLIT(J118,"";"")"),"Cordeiro, S.")</f>
        <v>Cordeiro, S.</v>
      </c>
      <c r="L118" s="10" t="str">
        <f ca="1">IFERROR(__xludf.DUMMYFUNCTION("""COMPUTED_VALUE"""),"Gouveia, L. ")</f>
        <v xml:space="preserve">Gouveia, L. </v>
      </c>
      <c r="M118" s="10"/>
      <c r="N118" s="10"/>
      <c r="O118" s="10"/>
      <c r="P118" s="10"/>
      <c r="Q118" s="10"/>
      <c r="R118" s="10"/>
      <c r="S118" s="10"/>
      <c r="T118" s="10"/>
      <c r="U118" s="10"/>
      <c r="V118" s="10"/>
      <c r="W118" s="10"/>
      <c r="X118" s="10"/>
      <c r="Y118" s="10"/>
      <c r="Z118" s="10"/>
    </row>
    <row r="119" spans="1:26" ht="17.25" customHeight="1" x14ac:dyDescent="0.3">
      <c r="A119" s="10" t="s">
        <v>253</v>
      </c>
      <c r="B119" s="10">
        <f t="shared" si="0"/>
        <v>26</v>
      </c>
      <c r="C119" s="8" t="str">
        <f t="shared" si="1"/>
        <v xml:space="preserve">Araújo, A. e Gouveia, L. </v>
      </c>
      <c r="D119" s="8" t="str">
        <f t="shared" si="2"/>
        <v>2018</v>
      </c>
      <c r="E119" s="10">
        <f t="shared" si="3"/>
        <v>31</v>
      </c>
      <c r="F119" s="10">
        <f t="shared" si="4"/>
        <v>131</v>
      </c>
      <c r="G119" s="8" t="str">
        <f t="shared" si="5"/>
        <v xml:space="preserve"> Questionário sobre o nível de utilização e importância das TICs numa IES a Coordenadores de Curso. </v>
      </c>
      <c r="H119" s="10" t="str">
        <f t="shared" si="6"/>
        <v xml:space="preserve">Araújo, A. e Gouveia, L. </v>
      </c>
      <c r="I119" s="10" t="str">
        <f t="shared" si="7"/>
        <v xml:space="preserve">Araújo, A. e Gouveia, L. </v>
      </c>
      <c r="J119" s="10" t="str">
        <f t="shared" si="8"/>
        <v xml:space="preserve">Araújo, A.;Gouveia, L. </v>
      </c>
      <c r="K119" s="11" t="str">
        <f ca="1">IFERROR(__xludf.DUMMYFUNCTION("SPLIT(J119,"";"")"),"Araújo, A.")</f>
        <v>Araújo, A.</v>
      </c>
      <c r="L119" s="10" t="str">
        <f ca="1">IFERROR(__xludf.DUMMYFUNCTION("""COMPUTED_VALUE"""),"Gouveia, L. ")</f>
        <v xml:space="preserve">Gouveia, L. </v>
      </c>
      <c r="M119" s="10"/>
      <c r="N119" s="10"/>
      <c r="O119" s="10"/>
      <c r="P119" s="10"/>
      <c r="Q119" s="10"/>
      <c r="R119" s="10"/>
      <c r="S119" s="10"/>
      <c r="T119" s="10"/>
      <c r="U119" s="10"/>
      <c r="V119" s="10"/>
      <c r="W119" s="10"/>
      <c r="X119" s="10"/>
      <c r="Y119" s="10"/>
      <c r="Z119" s="10"/>
    </row>
    <row r="120" spans="1:26" ht="17.25" customHeight="1" x14ac:dyDescent="0.3">
      <c r="A120" s="10" t="s">
        <v>254</v>
      </c>
      <c r="B120" s="10">
        <f t="shared" si="0"/>
        <v>35</v>
      </c>
      <c r="C120" s="8" t="str">
        <f t="shared" si="1"/>
        <v xml:space="preserve">Lopes, S.; Gouveia, L. e Reis, P. </v>
      </c>
      <c r="D120" s="8" t="str">
        <f t="shared" si="2"/>
        <v>2018</v>
      </c>
      <c r="E120" s="10">
        <f t="shared" si="3"/>
        <v>40</v>
      </c>
      <c r="F120" s="10">
        <f t="shared" si="4"/>
        <v>187</v>
      </c>
      <c r="G120" s="8" t="str">
        <f t="shared" si="5"/>
        <v xml:space="preserve"> Experimento prático de uma aula sobre Diagramas de Classe (UML), com a utilização da metodologia da “sala de aula invertida” (Flipped Classroom). </v>
      </c>
      <c r="H120" s="10" t="str">
        <f t="shared" si="6"/>
        <v xml:space="preserve">Lopes, S.; Gouveia, L. e Reis, P. </v>
      </c>
      <c r="I120" s="10" t="str">
        <f t="shared" si="7"/>
        <v xml:space="preserve">Lopes, S.; Gouveia, L. e Reis, P. </v>
      </c>
      <c r="J120" s="10" t="str">
        <f t="shared" si="8"/>
        <v xml:space="preserve">Lopes, S.; Gouveia, L.;Reis, P. </v>
      </c>
      <c r="K120" s="11" t="str">
        <f ca="1">IFERROR(__xludf.DUMMYFUNCTION("SPLIT(J120,"";"")"),"Lopes, S.")</f>
        <v>Lopes, S.</v>
      </c>
      <c r="L120" s="10" t="str">
        <f ca="1">IFERROR(__xludf.DUMMYFUNCTION("""COMPUTED_VALUE""")," Gouveia, L.")</f>
        <v xml:space="preserve"> Gouveia, L.</v>
      </c>
      <c r="M120" s="10" t="str">
        <f ca="1">IFERROR(__xludf.DUMMYFUNCTION("""COMPUTED_VALUE"""),"Reis, P. ")</f>
        <v xml:space="preserve">Reis, P. </v>
      </c>
      <c r="N120" s="10"/>
      <c r="O120" s="10"/>
      <c r="P120" s="10"/>
      <c r="Q120" s="10"/>
      <c r="R120" s="10"/>
      <c r="S120" s="10"/>
      <c r="T120" s="10"/>
      <c r="U120" s="10"/>
      <c r="V120" s="10"/>
      <c r="W120" s="10"/>
      <c r="X120" s="10"/>
      <c r="Y120" s="10"/>
      <c r="Z120" s="10"/>
    </row>
    <row r="121" spans="1:26" ht="17.25" customHeight="1" x14ac:dyDescent="0.3">
      <c r="A121" s="10" t="s">
        <v>255</v>
      </c>
      <c r="B121" s="10">
        <f t="shared" si="0"/>
        <v>26</v>
      </c>
      <c r="C121" s="8" t="str">
        <f t="shared" si="1"/>
        <v xml:space="preserve">Araújo, A. e Gouveia, L. </v>
      </c>
      <c r="D121" s="8" t="str">
        <f t="shared" si="2"/>
        <v>2018</v>
      </c>
      <c r="E121" s="10">
        <f t="shared" si="3"/>
        <v>31</v>
      </c>
      <c r="F121" s="10">
        <f t="shared" si="4"/>
        <v>106</v>
      </c>
      <c r="G121" s="8" t="str">
        <f t="shared" si="5"/>
        <v xml:space="preserve"> Questionário sobre o nível de utilização e importância das TICs numa IES. </v>
      </c>
      <c r="H121" s="10" t="str">
        <f t="shared" si="6"/>
        <v xml:space="preserve">Araújo, A. e Gouveia, L. </v>
      </c>
      <c r="I121" s="10" t="str">
        <f t="shared" si="7"/>
        <v xml:space="preserve">Araújo, A. e Gouveia, L. </v>
      </c>
      <c r="J121" s="10" t="str">
        <f t="shared" si="8"/>
        <v xml:space="preserve">Araújo, A.;Gouveia, L. </v>
      </c>
      <c r="K121" s="11" t="str">
        <f ca="1">IFERROR(__xludf.DUMMYFUNCTION("SPLIT(J121,"";"")"),"Araújo, A.")</f>
        <v>Araújo, A.</v>
      </c>
      <c r="L121" s="10" t="str">
        <f ca="1">IFERROR(__xludf.DUMMYFUNCTION("""COMPUTED_VALUE"""),"Gouveia, L. ")</f>
        <v xml:space="preserve">Gouveia, L. </v>
      </c>
      <c r="M121" s="10"/>
      <c r="N121" s="10"/>
      <c r="O121" s="10"/>
      <c r="P121" s="10"/>
      <c r="Q121" s="10"/>
      <c r="R121" s="10"/>
      <c r="S121" s="10"/>
      <c r="T121" s="10"/>
      <c r="U121" s="10"/>
      <c r="V121" s="10"/>
      <c r="W121" s="10"/>
      <c r="X121" s="10"/>
      <c r="Y121" s="10"/>
      <c r="Z121" s="10"/>
    </row>
    <row r="122" spans="1:26" ht="17.25" customHeight="1" x14ac:dyDescent="0.3">
      <c r="A122" s="10" t="s">
        <v>256</v>
      </c>
      <c r="B122" s="10">
        <f t="shared" si="0"/>
        <v>13</v>
      </c>
      <c r="C122" s="8" t="str">
        <f t="shared" si="1"/>
        <v xml:space="preserve">Gouveia, L. </v>
      </c>
      <c r="D122" s="8" t="str">
        <f t="shared" si="2"/>
        <v>2018</v>
      </c>
      <c r="E122" s="10">
        <f t="shared" si="3"/>
        <v>18</v>
      </c>
      <c r="F122" s="10">
        <f t="shared" si="4"/>
        <v>117</v>
      </c>
      <c r="G122" s="8" t="str">
        <f t="shared" si="5"/>
        <v xml:space="preserve"> Contributos para a escrita e organização da estrutura do relatório final de doutoramento: a tese. </v>
      </c>
      <c r="H122" s="10" t="str">
        <f t="shared" si="6"/>
        <v xml:space="preserve">Gouveia, L. </v>
      </c>
      <c r="I122" s="10" t="str">
        <f t="shared" si="7"/>
        <v xml:space="preserve">Gouveia, L. </v>
      </c>
      <c r="J122" s="10" t="str">
        <f t="shared" si="8"/>
        <v xml:space="preserve">Gouveia, L. </v>
      </c>
      <c r="K122" s="11" t="str">
        <f ca="1">IFERROR(__xludf.DUMMYFUNCTION("SPLIT(J122,"";"")"),"Gouveia, L. ")</f>
        <v xml:space="preserve">Gouveia, L. </v>
      </c>
      <c r="L122" s="10"/>
      <c r="M122" s="10"/>
      <c r="N122" s="10"/>
      <c r="O122" s="10"/>
      <c r="P122" s="10"/>
      <c r="Q122" s="10"/>
      <c r="R122" s="10"/>
      <c r="S122" s="10"/>
      <c r="T122" s="10"/>
      <c r="U122" s="10"/>
      <c r="V122" s="10"/>
      <c r="W122" s="10"/>
      <c r="X122" s="10"/>
      <c r="Y122" s="10"/>
      <c r="Z122" s="10"/>
    </row>
    <row r="123" spans="1:26" ht="17.25" customHeight="1" x14ac:dyDescent="0.3">
      <c r="A123" s="10" t="s">
        <v>257</v>
      </c>
      <c r="B123" s="10">
        <f t="shared" si="0"/>
        <v>26</v>
      </c>
      <c r="C123" s="8" t="str">
        <f t="shared" si="1"/>
        <v xml:space="preserve">Araújo, A. e Gouveia, L. </v>
      </c>
      <c r="D123" s="8" t="str">
        <f t="shared" si="2"/>
        <v>2018</v>
      </c>
      <c r="E123" s="10">
        <f t="shared" si="3"/>
        <v>31</v>
      </c>
      <c r="F123" s="10">
        <f t="shared" si="4"/>
        <v>93</v>
      </c>
      <c r="G123" s="8" t="str">
        <f t="shared" si="5"/>
        <v xml:space="preserve"> Pressupostos sobre a pesquisa científica e os testes piloto. </v>
      </c>
      <c r="H123" s="10" t="str">
        <f t="shared" si="6"/>
        <v xml:space="preserve">Araújo, A. e Gouveia, L. </v>
      </c>
      <c r="I123" s="10" t="str">
        <f t="shared" si="7"/>
        <v xml:space="preserve">Araújo, A. e Gouveia, L. </v>
      </c>
      <c r="J123" s="10" t="str">
        <f t="shared" si="8"/>
        <v xml:space="preserve">Araújo, A.;Gouveia, L. </v>
      </c>
      <c r="K123" s="11" t="str">
        <f ca="1">IFERROR(__xludf.DUMMYFUNCTION("SPLIT(J123,"";"")"),"Araújo, A.")</f>
        <v>Araújo, A.</v>
      </c>
      <c r="L123" s="10" t="str">
        <f ca="1">IFERROR(__xludf.DUMMYFUNCTION("""COMPUTED_VALUE"""),"Gouveia, L. ")</f>
        <v xml:space="preserve">Gouveia, L. </v>
      </c>
      <c r="M123" s="10"/>
      <c r="N123" s="10"/>
      <c r="O123" s="10"/>
      <c r="P123" s="10"/>
      <c r="Q123" s="10"/>
      <c r="R123" s="10"/>
      <c r="S123" s="10"/>
      <c r="T123" s="10"/>
      <c r="U123" s="10"/>
      <c r="V123" s="10"/>
      <c r="W123" s="10"/>
      <c r="X123" s="10"/>
      <c r="Y123" s="10"/>
      <c r="Z123" s="10"/>
    </row>
    <row r="124" spans="1:26" ht="17.25" customHeight="1" x14ac:dyDescent="0.3">
      <c r="A124" s="10" t="s">
        <v>258</v>
      </c>
      <c r="B124" s="10">
        <f t="shared" si="0"/>
        <v>26</v>
      </c>
      <c r="C124" s="8" t="str">
        <f t="shared" si="1"/>
        <v xml:space="preserve">Khan, S. and Gouveia, L. </v>
      </c>
      <c r="D124" s="8" t="str">
        <f t="shared" si="2"/>
        <v>2018</v>
      </c>
      <c r="E124" s="10">
        <f t="shared" si="3"/>
        <v>31</v>
      </c>
      <c r="F124" s="10">
        <f t="shared" si="4"/>
        <v>78</v>
      </c>
      <c r="G124" s="8" t="str">
        <f t="shared" si="5"/>
        <v xml:space="preserve"> Digital Transformation Journey: a discussion. </v>
      </c>
      <c r="H124" s="10" t="str">
        <f t="shared" si="6"/>
        <v xml:space="preserve">Khan, S. ; Gouveia, L. </v>
      </c>
      <c r="I124" s="10" t="str">
        <f t="shared" si="7"/>
        <v xml:space="preserve">Khan, S. ; Gouveia, L. </v>
      </c>
      <c r="J124" s="10" t="str">
        <f t="shared" si="8"/>
        <v xml:space="preserve">Khan, S. ; Gouveia, L. </v>
      </c>
      <c r="K124" s="11" t="str">
        <f ca="1">IFERROR(__xludf.DUMMYFUNCTION("SPLIT(J124,"";"")"),"Khan, S. ")</f>
        <v xml:space="preserve">Khan, S. </v>
      </c>
      <c r="L124" s="10" t="str">
        <f ca="1">IFERROR(__xludf.DUMMYFUNCTION("""COMPUTED_VALUE""")," Gouveia, L. ")</f>
        <v xml:space="preserve"> Gouveia, L. </v>
      </c>
      <c r="M124" s="10"/>
      <c r="N124" s="10"/>
      <c r="O124" s="10"/>
      <c r="P124" s="10"/>
      <c r="Q124" s="10"/>
      <c r="R124" s="10"/>
      <c r="S124" s="10"/>
      <c r="T124" s="10"/>
      <c r="U124" s="10"/>
      <c r="V124" s="10"/>
      <c r="W124" s="10"/>
      <c r="X124" s="10"/>
      <c r="Y124" s="10"/>
      <c r="Z124" s="10"/>
    </row>
    <row r="125" spans="1:26" ht="17.25" customHeight="1" x14ac:dyDescent="0.3">
      <c r="A125" s="10" t="s">
        <v>259</v>
      </c>
      <c r="B125" s="10">
        <f t="shared" si="0"/>
        <v>27</v>
      </c>
      <c r="C125" s="8" t="str">
        <f t="shared" si="1"/>
        <v xml:space="preserve">Gouveia, L. e Morgado, R. </v>
      </c>
      <c r="D125" s="8" t="str">
        <f t="shared" si="2"/>
        <v>2017</v>
      </c>
      <c r="E125" s="10">
        <f t="shared" si="3"/>
        <v>32</v>
      </c>
      <c r="F125" s="10">
        <f t="shared" si="4"/>
        <v>81</v>
      </c>
      <c r="G125" s="8" t="str">
        <f t="shared" si="5"/>
        <v xml:space="preserve">Estratégia Nacional de Segurança do Ciberespaço. </v>
      </c>
      <c r="H125" s="10" t="str">
        <f t="shared" si="6"/>
        <v xml:space="preserve">Gouveia, L. e Morgado, R. </v>
      </c>
      <c r="I125" s="10" t="str">
        <f t="shared" si="7"/>
        <v xml:space="preserve">Gouveia, L. e Morgado, R. </v>
      </c>
      <c r="J125" s="10" t="str">
        <f t="shared" si="8"/>
        <v xml:space="preserve">Gouveia, L.;Morgado, R. </v>
      </c>
      <c r="K125" s="11" t="str">
        <f ca="1">IFERROR(__xludf.DUMMYFUNCTION("SPLIT(J125,"";"")"),"Gouveia, L.")</f>
        <v>Gouveia, L.</v>
      </c>
      <c r="L125" s="10" t="str">
        <f ca="1">IFERROR(__xludf.DUMMYFUNCTION("""COMPUTED_VALUE"""),"Morgado, R. ")</f>
        <v xml:space="preserve">Morgado, R. </v>
      </c>
      <c r="M125" s="10"/>
      <c r="N125" s="10"/>
      <c r="O125" s="10"/>
      <c r="P125" s="10"/>
      <c r="Q125" s="10"/>
      <c r="R125" s="10"/>
      <c r="S125" s="10"/>
      <c r="T125" s="10"/>
      <c r="U125" s="10"/>
      <c r="V125" s="10"/>
      <c r="W125" s="10"/>
      <c r="X125" s="10"/>
      <c r="Y125" s="10"/>
      <c r="Z125" s="10"/>
    </row>
    <row r="126" spans="1:26" ht="17.25" customHeight="1" x14ac:dyDescent="0.3">
      <c r="A126" s="10" t="s">
        <v>260</v>
      </c>
      <c r="B126" s="10">
        <f t="shared" si="0"/>
        <v>27</v>
      </c>
      <c r="C126" s="8" t="str">
        <f t="shared" si="1"/>
        <v xml:space="preserve">Correia, A. e Gouveia, L. </v>
      </c>
      <c r="D126" s="8" t="str">
        <f t="shared" si="2"/>
        <v>2017</v>
      </c>
      <c r="E126" s="10">
        <f t="shared" si="3"/>
        <v>32</v>
      </c>
      <c r="F126" s="10">
        <f t="shared" si="4"/>
        <v>123</v>
      </c>
      <c r="G126" s="8" t="str">
        <f t="shared" si="5"/>
        <v xml:space="preserve">Um Estudo sobre a Qualidade de Vida na Cidade do Porto: exploração de um post no Facebook. </v>
      </c>
      <c r="H126" s="10" t="str">
        <f t="shared" si="6"/>
        <v xml:space="preserve">Correia, A. e Gouveia, L. </v>
      </c>
      <c r="I126" s="10" t="str">
        <f t="shared" si="7"/>
        <v xml:space="preserve">Correia, A. e Gouveia, L. </v>
      </c>
      <c r="J126" s="10" t="str">
        <f t="shared" si="8"/>
        <v xml:space="preserve">Correia, A.;Gouveia, L. </v>
      </c>
      <c r="K126" s="11" t="str">
        <f ca="1">IFERROR(__xludf.DUMMYFUNCTION("SPLIT(J126,"";"")"),"Correia, A.")</f>
        <v>Correia, A.</v>
      </c>
      <c r="L126" s="10" t="str">
        <f ca="1">IFERROR(__xludf.DUMMYFUNCTION("""COMPUTED_VALUE"""),"Gouveia, L. ")</f>
        <v xml:space="preserve">Gouveia, L. </v>
      </c>
      <c r="M126" s="10"/>
      <c r="N126" s="10"/>
      <c r="O126" s="10"/>
      <c r="P126" s="10"/>
      <c r="Q126" s="10"/>
      <c r="R126" s="10"/>
      <c r="S126" s="10"/>
      <c r="T126" s="10"/>
      <c r="U126" s="10"/>
      <c r="V126" s="10"/>
      <c r="W126" s="10"/>
      <c r="X126" s="10"/>
      <c r="Y126" s="10"/>
      <c r="Z126" s="10"/>
    </row>
    <row r="127" spans="1:26" ht="17.25" customHeight="1" x14ac:dyDescent="0.3">
      <c r="A127" s="10" t="s">
        <v>261</v>
      </c>
      <c r="B127" s="10">
        <f t="shared" si="0"/>
        <v>25</v>
      </c>
      <c r="C127" s="8" t="str">
        <f t="shared" si="1"/>
        <v xml:space="preserve">Rocha, L. e Gouveia, L. </v>
      </c>
      <c r="D127" s="8" t="str">
        <f t="shared" si="2"/>
        <v>2017</v>
      </c>
      <c r="E127" s="10">
        <f t="shared" si="3"/>
        <v>30</v>
      </c>
      <c r="F127" s="10">
        <f t="shared" si="4"/>
        <v>113</v>
      </c>
      <c r="G127" s="8" t="str">
        <f t="shared" si="5"/>
        <v xml:space="preserve">Aplicação de questionário sobre consumo de bens e serviços na Economia Partilhada. </v>
      </c>
      <c r="H127" s="10" t="str">
        <f t="shared" si="6"/>
        <v xml:space="preserve">Rocha, L. e Gouveia, L. </v>
      </c>
      <c r="I127" s="10" t="str">
        <f t="shared" si="7"/>
        <v xml:space="preserve">Rocha, L. e Gouveia, L. </v>
      </c>
      <c r="J127" s="10" t="str">
        <f t="shared" si="8"/>
        <v xml:space="preserve">Rocha, L.;Gouveia, L. </v>
      </c>
      <c r="K127" s="11" t="str">
        <f ca="1">IFERROR(__xludf.DUMMYFUNCTION("SPLIT(J127,"";"")"),"Rocha, L.")</f>
        <v>Rocha, L.</v>
      </c>
      <c r="L127" s="10" t="str">
        <f ca="1">IFERROR(__xludf.DUMMYFUNCTION("""COMPUTED_VALUE"""),"Gouveia, L. ")</f>
        <v xml:space="preserve">Gouveia, L. </v>
      </c>
      <c r="M127" s="10"/>
      <c r="N127" s="10"/>
      <c r="O127" s="10"/>
      <c r="P127" s="10"/>
      <c r="Q127" s="10"/>
      <c r="R127" s="10"/>
      <c r="S127" s="10"/>
      <c r="T127" s="10"/>
      <c r="U127" s="10"/>
      <c r="V127" s="10"/>
      <c r="W127" s="10"/>
      <c r="X127" s="10"/>
      <c r="Y127" s="10"/>
      <c r="Z127" s="10"/>
    </row>
    <row r="128" spans="1:26" ht="17.25" customHeight="1" x14ac:dyDescent="0.3">
      <c r="A128" s="10" t="s">
        <v>262</v>
      </c>
      <c r="B128" s="10">
        <f t="shared" si="0"/>
        <v>23</v>
      </c>
      <c r="C128" s="8" t="str">
        <f t="shared" si="1"/>
        <v xml:space="preserve">Filho, Re Gouveia, L. </v>
      </c>
      <c r="D128" s="8" t="str">
        <f t="shared" si="2"/>
        <v>2017</v>
      </c>
      <c r="E128" s="10">
        <f t="shared" si="3"/>
        <v>28</v>
      </c>
      <c r="F128" s="10">
        <f t="shared" si="4"/>
        <v>84</v>
      </c>
      <c r="G128" s="8" t="str">
        <f t="shared" si="5"/>
        <v xml:space="preserve"> Proposta de renovação da rede lógica do MT-Hemocentro.R</v>
      </c>
      <c r="H128" s="10" t="str">
        <f t="shared" si="6"/>
        <v xml:space="preserve">Filho, Re Gouveia, L. </v>
      </c>
      <c r="I128" s="10" t="str">
        <f t="shared" si="7"/>
        <v xml:space="preserve">Filho, Re Gouveia, L. </v>
      </c>
      <c r="J128" s="10" t="str">
        <f t="shared" si="8"/>
        <v xml:space="preserve">Filho, Re Gouveia, L. </v>
      </c>
      <c r="K128" s="11" t="str">
        <f ca="1">IFERROR(__xludf.DUMMYFUNCTION("SPLIT(J128,"";"")"),"Filho, Re Gouveia, L. ")</f>
        <v xml:space="preserve">Filho, Re Gouveia, L. </v>
      </c>
      <c r="L128" s="10"/>
      <c r="M128" s="10"/>
      <c r="N128" s="10"/>
      <c r="O128" s="10"/>
      <c r="P128" s="10"/>
      <c r="Q128" s="10"/>
      <c r="R128" s="10"/>
      <c r="S128" s="10"/>
      <c r="T128" s="10"/>
      <c r="U128" s="10"/>
      <c r="V128" s="10"/>
      <c r="W128" s="10"/>
      <c r="X128" s="10"/>
      <c r="Y128" s="10"/>
      <c r="Z128" s="10"/>
    </row>
    <row r="129" spans="1:26" ht="17.25" customHeight="1" x14ac:dyDescent="0.3">
      <c r="A129" s="10" t="s">
        <v>263</v>
      </c>
      <c r="B129" s="10">
        <f t="shared" si="0"/>
        <v>27</v>
      </c>
      <c r="C129" s="8" t="str">
        <f t="shared" si="1"/>
        <v xml:space="preserve">Quental, C. e Gouveia, L. </v>
      </c>
      <c r="D129" s="8" t="str">
        <f t="shared" si="2"/>
        <v>2017</v>
      </c>
      <c r="E129" s="10">
        <f t="shared" si="3"/>
        <v>32</v>
      </c>
      <c r="F129" s="10">
        <f t="shared" si="4"/>
        <v>101</v>
      </c>
      <c r="G129" s="8" t="str">
        <f t="shared" si="5"/>
        <v xml:space="preserve"> Modelo de mediação digital para participação pública em sindicatos. </v>
      </c>
      <c r="H129" s="10" t="str">
        <f t="shared" si="6"/>
        <v xml:space="preserve">Quental, C. e Gouveia, L. </v>
      </c>
      <c r="I129" s="10" t="str">
        <f t="shared" si="7"/>
        <v xml:space="preserve">Quental, C. e Gouveia, L. </v>
      </c>
      <c r="J129" s="10" t="str">
        <f t="shared" si="8"/>
        <v xml:space="preserve">Quental, C.;Gouveia, L. </v>
      </c>
      <c r="K129" s="11" t="str">
        <f ca="1">IFERROR(__xludf.DUMMYFUNCTION("SPLIT(J129,"";"")"),"Quental, C.")</f>
        <v>Quental, C.</v>
      </c>
      <c r="L129" s="10" t="str">
        <f ca="1">IFERROR(__xludf.DUMMYFUNCTION("""COMPUTED_VALUE"""),"Gouveia, L. ")</f>
        <v xml:space="preserve">Gouveia, L. </v>
      </c>
      <c r="M129" s="10"/>
      <c r="N129" s="10"/>
      <c r="O129" s="10"/>
      <c r="P129" s="10"/>
      <c r="Q129" s="10"/>
      <c r="R129" s="10"/>
      <c r="S129" s="10"/>
      <c r="T129" s="10"/>
      <c r="U129" s="10"/>
      <c r="V129" s="10"/>
      <c r="W129" s="10"/>
      <c r="X129" s="10"/>
      <c r="Y129" s="10"/>
      <c r="Z129" s="10"/>
    </row>
    <row r="130" spans="1:26" ht="17.25" customHeight="1" x14ac:dyDescent="0.3">
      <c r="A130" s="10" t="s">
        <v>264</v>
      </c>
      <c r="B130" s="10">
        <f t="shared" si="0"/>
        <v>26</v>
      </c>
      <c r="C130" s="8" t="str">
        <f t="shared" si="1"/>
        <v xml:space="preserve">Khan, S. and Gouveia, L. </v>
      </c>
      <c r="D130" s="8" t="str">
        <f t="shared" si="2"/>
        <v>2017</v>
      </c>
      <c r="E130" s="10">
        <f t="shared" si="3"/>
        <v>31</v>
      </c>
      <c r="F130" s="10">
        <f t="shared" si="4"/>
        <v>113</v>
      </c>
      <c r="G130" s="8" t="str">
        <f t="shared" si="5"/>
        <v xml:space="preserve"> EMSL Framework: (Minimum Service Level Framework) for Cloud Providers and Users. </v>
      </c>
      <c r="H130" s="10" t="str">
        <f t="shared" si="6"/>
        <v xml:space="preserve">Khan, S. ; Gouveia, L. </v>
      </c>
      <c r="I130" s="10" t="str">
        <f t="shared" si="7"/>
        <v xml:space="preserve">Khan, S. ; Gouveia, L. </v>
      </c>
      <c r="J130" s="10" t="str">
        <f t="shared" si="8"/>
        <v xml:space="preserve">Khan, S. ; Gouveia, L. </v>
      </c>
      <c r="K130" s="11" t="str">
        <f ca="1">IFERROR(__xludf.DUMMYFUNCTION("SPLIT(J130,"";"")"),"Khan, S. ")</f>
        <v xml:space="preserve">Khan, S. </v>
      </c>
      <c r="L130" s="10" t="str">
        <f ca="1">IFERROR(__xludf.DUMMYFUNCTION("""COMPUTED_VALUE""")," Gouveia, L. ")</f>
        <v xml:space="preserve"> Gouveia, L. </v>
      </c>
      <c r="M130" s="10"/>
      <c r="N130" s="10"/>
      <c r="O130" s="10"/>
      <c r="P130" s="10"/>
      <c r="Q130" s="10"/>
      <c r="R130" s="10"/>
      <c r="S130" s="10"/>
      <c r="T130" s="10"/>
      <c r="U130" s="10"/>
      <c r="V130" s="10"/>
      <c r="W130" s="10"/>
      <c r="X130" s="10"/>
      <c r="Y130" s="10"/>
      <c r="Z130" s="10"/>
    </row>
    <row r="131" spans="1:26" ht="17.25" customHeight="1" x14ac:dyDescent="0.3">
      <c r="A131" s="10" t="s">
        <v>265</v>
      </c>
      <c r="B131" s="10">
        <f t="shared" si="0"/>
        <v>29</v>
      </c>
      <c r="C131" s="8" t="str">
        <f t="shared" si="1"/>
        <v xml:space="preserve">Nogueira, D. e Gouveia, L.  </v>
      </c>
      <c r="D131" s="8" t="str">
        <f t="shared" si="2"/>
        <v>2017</v>
      </c>
      <c r="E131" s="10">
        <f t="shared" si="3"/>
        <v>34</v>
      </c>
      <c r="F131" s="10">
        <f t="shared" si="4"/>
        <v>108</v>
      </c>
      <c r="G131" s="8" t="str">
        <f t="shared" si="5"/>
        <v xml:space="preserve"> Estudo Preliminar sobre a Rede Nacional de Escolas de Governo do Brasil. </v>
      </c>
      <c r="H131" s="10" t="str">
        <f t="shared" si="6"/>
        <v xml:space="preserve">Nogueira, D. e Gouveia, L.  </v>
      </c>
      <c r="I131" s="10" t="str">
        <f t="shared" si="7"/>
        <v xml:space="preserve">Nogueira, D. e Gouveia, L.  </v>
      </c>
      <c r="J131" s="10" t="str">
        <f t="shared" si="8"/>
        <v xml:space="preserve">Nogueira, D.;Gouveia, L.  </v>
      </c>
      <c r="K131" s="11" t="str">
        <f ca="1">IFERROR(__xludf.DUMMYFUNCTION("SPLIT(J131,"";"")"),"Nogueira, D.")</f>
        <v>Nogueira, D.</v>
      </c>
      <c r="L131" s="10" t="str">
        <f ca="1">IFERROR(__xludf.DUMMYFUNCTION("""COMPUTED_VALUE"""),"Gouveia, L.  ")</f>
        <v xml:space="preserve">Gouveia, L.  </v>
      </c>
      <c r="M131" s="10"/>
      <c r="N131" s="10"/>
      <c r="O131" s="10"/>
      <c r="P131" s="10"/>
      <c r="Q131" s="10"/>
      <c r="R131" s="10"/>
      <c r="S131" s="10"/>
      <c r="T131" s="10"/>
      <c r="U131" s="10"/>
      <c r="V131" s="10"/>
      <c r="W131" s="10"/>
      <c r="X131" s="10"/>
      <c r="Y131" s="10"/>
      <c r="Z131" s="10"/>
    </row>
    <row r="132" spans="1:26" ht="17.25" customHeight="1" x14ac:dyDescent="0.3">
      <c r="A132" s="10" t="s">
        <v>266</v>
      </c>
      <c r="B132" s="10">
        <f t="shared" si="0"/>
        <v>13</v>
      </c>
      <c r="C132" s="8" t="str">
        <f t="shared" si="1"/>
        <v xml:space="preserve">Gouveia, L. </v>
      </c>
      <c r="D132" s="8" t="str">
        <f t="shared" si="2"/>
        <v>2017</v>
      </c>
      <c r="E132" s="10">
        <f t="shared" si="3"/>
        <v>18</v>
      </c>
      <c r="F132" s="10">
        <f t="shared" si="4"/>
        <v>105</v>
      </c>
      <c r="G132" s="8" t="str">
        <f t="shared" si="5"/>
        <v xml:space="preserve"> Sobre o trabalho de mestrado: informação de contexto e estrutura tipo da dissertação.R</v>
      </c>
      <c r="H132" s="10" t="str">
        <f t="shared" si="6"/>
        <v xml:space="preserve">Gouveia, L. </v>
      </c>
      <c r="I132" s="10" t="str">
        <f t="shared" si="7"/>
        <v xml:space="preserve">Gouveia, L. </v>
      </c>
      <c r="J132" s="10" t="str">
        <f t="shared" si="8"/>
        <v xml:space="preserve">Gouveia, L. </v>
      </c>
      <c r="K132" s="11" t="str">
        <f ca="1">IFERROR(__xludf.DUMMYFUNCTION("SPLIT(J132,"";"")"),"Gouveia, L. ")</f>
        <v xml:space="preserve">Gouveia, L. </v>
      </c>
      <c r="L132" s="10"/>
      <c r="M132" s="10"/>
      <c r="N132" s="10"/>
      <c r="O132" s="10"/>
      <c r="P132" s="10"/>
      <c r="Q132" s="10"/>
      <c r="R132" s="10"/>
      <c r="S132" s="10"/>
      <c r="T132" s="10"/>
      <c r="U132" s="10"/>
      <c r="V132" s="10"/>
      <c r="W132" s="10"/>
      <c r="X132" s="10"/>
      <c r="Y132" s="10"/>
      <c r="Z132" s="10"/>
    </row>
    <row r="133" spans="1:26" ht="17.25" customHeight="1" x14ac:dyDescent="0.3">
      <c r="A133" s="10" t="s">
        <v>267</v>
      </c>
      <c r="B133" s="10">
        <f t="shared" si="0"/>
        <v>26</v>
      </c>
      <c r="C133" s="8" t="str">
        <f t="shared" si="1"/>
        <v xml:space="preserve">Salimo, G. e Gouveia, L. </v>
      </c>
      <c r="D133" s="8" t="str">
        <f t="shared" si="2"/>
        <v>2017</v>
      </c>
      <c r="E133" s="10">
        <f t="shared" si="3"/>
        <v>31</v>
      </c>
      <c r="F133" s="10">
        <f t="shared" si="4"/>
        <v>144</v>
      </c>
      <c r="G133" s="8" t="str">
        <f t="shared" si="5"/>
        <v xml:space="preserve"> Questionário sobre o nível de utilização e importância das TICs nas IES por Professores, Alunos e Funcionários. </v>
      </c>
      <c r="H133" s="10" t="str">
        <f t="shared" si="6"/>
        <v xml:space="preserve">Salimo, G. e Gouveia, L. </v>
      </c>
      <c r="I133" s="10" t="str">
        <f t="shared" si="7"/>
        <v xml:space="preserve">Salimo, G. e Gouveia, L. </v>
      </c>
      <c r="J133" s="10" t="str">
        <f t="shared" si="8"/>
        <v xml:space="preserve">Salimo, G.;Gouveia, L. </v>
      </c>
      <c r="K133" s="11" t="str">
        <f ca="1">IFERROR(__xludf.DUMMYFUNCTION("SPLIT(J133,"";"")"),"Salimo, G.")</f>
        <v>Salimo, G.</v>
      </c>
      <c r="L133" s="10" t="str">
        <f ca="1">IFERROR(__xludf.DUMMYFUNCTION("""COMPUTED_VALUE"""),"Gouveia, L. ")</f>
        <v xml:space="preserve">Gouveia, L. </v>
      </c>
      <c r="M133" s="10"/>
      <c r="N133" s="10"/>
      <c r="O133" s="10"/>
      <c r="P133" s="10"/>
      <c r="Q133" s="10"/>
      <c r="R133" s="10"/>
      <c r="S133" s="10"/>
      <c r="T133" s="10"/>
      <c r="U133" s="10"/>
      <c r="V133" s="10"/>
      <c r="W133" s="10"/>
      <c r="X133" s="10"/>
      <c r="Y133" s="10"/>
      <c r="Z133" s="10"/>
    </row>
    <row r="134" spans="1:26" ht="17.25" customHeight="1" x14ac:dyDescent="0.3">
      <c r="A134" s="10" t="s">
        <v>268</v>
      </c>
      <c r="B134" s="10">
        <f t="shared" si="0"/>
        <v>25</v>
      </c>
      <c r="C134" s="8" t="str">
        <f t="shared" si="1"/>
        <v xml:space="preserve">Marin, D. e Gouveia, L. </v>
      </c>
      <c r="D134" s="8" t="str">
        <f t="shared" si="2"/>
        <v>2017</v>
      </c>
      <c r="E134" s="10">
        <f t="shared" si="3"/>
        <v>30</v>
      </c>
      <c r="F134" s="10">
        <f t="shared" si="4"/>
        <v>121</v>
      </c>
      <c r="G134" s="8" t="str">
        <f t="shared" si="5"/>
        <v xml:space="preserve"> Contributos para a melhoria do serviço prestado pela Prefeitura Municipal de Paulo Bento. </v>
      </c>
      <c r="H134" s="10" t="str">
        <f t="shared" si="6"/>
        <v xml:space="preserve">Marin, D. e Gouveia, L. </v>
      </c>
      <c r="I134" s="10" t="str">
        <f t="shared" si="7"/>
        <v xml:space="preserve">Marin, D. e Gouveia, L. </v>
      </c>
      <c r="J134" s="10" t="str">
        <f t="shared" si="8"/>
        <v xml:space="preserve">Marin, D.;Gouveia, L. </v>
      </c>
      <c r="K134" s="11" t="str">
        <f ca="1">IFERROR(__xludf.DUMMYFUNCTION("SPLIT(J134,"";"")"),"Marin, D.")</f>
        <v>Marin, D.</v>
      </c>
      <c r="L134" s="10" t="str">
        <f ca="1">IFERROR(__xludf.DUMMYFUNCTION("""COMPUTED_VALUE"""),"Gouveia, L. ")</f>
        <v xml:space="preserve">Gouveia, L. </v>
      </c>
      <c r="M134" s="10"/>
      <c r="N134" s="10"/>
      <c r="O134" s="10"/>
      <c r="P134" s="10"/>
      <c r="Q134" s="10"/>
      <c r="R134" s="10"/>
      <c r="S134" s="10"/>
      <c r="T134" s="10"/>
      <c r="U134" s="10"/>
      <c r="V134" s="10"/>
      <c r="W134" s="10"/>
      <c r="X134" s="10"/>
      <c r="Y134" s="10"/>
      <c r="Z134" s="10"/>
    </row>
    <row r="135" spans="1:26" ht="17.25" customHeight="1" x14ac:dyDescent="0.3">
      <c r="A135" s="10" t="s">
        <v>269</v>
      </c>
      <c r="B135" s="10">
        <f t="shared" si="0"/>
        <v>26</v>
      </c>
      <c r="C135" s="8" t="str">
        <f t="shared" si="1"/>
        <v xml:space="preserve">Robalo, A. e Gouveia, L. </v>
      </c>
      <c r="D135" s="8" t="str">
        <f t="shared" si="2"/>
        <v>2016</v>
      </c>
      <c r="E135" s="10">
        <f t="shared" si="3"/>
        <v>31</v>
      </c>
      <c r="F135" s="10">
        <f t="shared" si="4"/>
        <v>108</v>
      </c>
      <c r="G135" s="8" t="str">
        <f t="shared" si="5"/>
        <v xml:space="preserve"> As competências em TIC para professores: estudo da proposta UNESCO de 2008. </v>
      </c>
      <c r="H135" s="10" t="str">
        <f t="shared" si="6"/>
        <v xml:space="preserve">Robalo, A. e Gouveia, L. </v>
      </c>
      <c r="I135" s="10" t="str">
        <f t="shared" si="7"/>
        <v xml:space="preserve">Robalo, A. e Gouveia, L. </v>
      </c>
      <c r="J135" s="10" t="str">
        <f t="shared" si="8"/>
        <v xml:space="preserve">Robalo, A.;Gouveia, L. </v>
      </c>
      <c r="K135" s="11" t="str">
        <f ca="1">IFERROR(__xludf.DUMMYFUNCTION("SPLIT(J135,"";"")"),"Robalo, A.")</f>
        <v>Robalo, A.</v>
      </c>
      <c r="L135" s="10" t="str">
        <f ca="1">IFERROR(__xludf.DUMMYFUNCTION("""COMPUTED_VALUE"""),"Gouveia, L. ")</f>
        <v xml:space="preserve">Gouveia, L. </v>
      </c>
      <c r="M135" s="10"/>
      <c r="N135" s="10"/>
      <c r="O135" s="10"/>
      <c r="P135" s="10"/>
      <c r="Q135" s="10"/>
      <c r="R135" s="10"/>
      <c r="S135" s="10"/>
      <c r="T135" s="10"/>
      <c r="U135" s="10"/>
      <c r="V135" s="10"/>
      <c r="W135" s="10"/>
      <c r="X135" s="10"/>
      <c r="Y135" s="10"/>
      <c r="Z135" s="10"/>
    </row>
    <row r="136" spans="1:26" ht="17.25" customHeight="1" x14ac:dyDescent="0.3">
      <c r="A136" s="10" t="s">
        <v>270</v>
      </c>
      <c r="B136" s="10">
        <f t="shared" si="0"/>
        <v>27</v>
      </c>
      <c r="C136" s="8" t="str">
        <f t="shared" si="1"/>
        <v xml:space="preserve">Salimo, G. e Gouveia, L.  </v>
      </c>
      <c r="D136" s="8" t="str">
        <f t="shared" si="2"/>
        <v>2016</v>
      </c>
      <c r="E136" s="10">
        <f t="shared" si="3"/>
        <v>32</v>
      </c>
      <c r="F136" s="10">
        <f t="shared" si="4"/>
        <v>64</v>
      </c>
      <c r="G136" s="8" t="str">
        <f t="shared" si="5"/>
        <v xml:space="preserve"> Ensino Superior em Moçambique. </v>
      </c>
      <c r="H136" s="10" t="str">
        <f t="shared" si="6"/>
        <v xml:space="preserve">Salimo, G. e Gouveia, L.  </v>
      </c>
      <c r="I136" s="10" t="str">
        <f t="shared" si="7"/>
        <v xml:space="preserve">Salimo, G. e Gouveia, L.  </v>
      </c>
      <c r="J136" s="10" t="str">
        <f t="shared" si="8"/>
        <v xml:space="preserve">Salimo, G.;Gouveia, L.  </v>
      </c>
      <c r="K136" s="11" t="str">
        <f ca="1">IFERROR(__xludf.DUMMYFUNCTION("SPLIT(J136,"";"")"),"Salimo, G.")</f>
        <v>Salimo, G.</v>
      </c>
      <c r="L136" s="10" t="str">
        <f ca="1">IFERROR(__xludf.DUMMYFUNCTION("""COMPUTED_VALUE"""),"Gouveia, L.  ")</f>
        <v xml:space="preserve">Gouveia, L.  </v>
      </c>
      <c r="M136" s="10"/>
      <c r="N136" s="10"/>
      <c r="O136" s="10"/>
      <c r="P136" s="10"/>
      <c r="Q136" s="10"/>
      <c r="R136" s="10"/>
      <c r="S136" s="10"/>
      <c r="T136" s="10"/>
      <c r="U136" s="10"/>
      <c r="V136" s="10"/>
      <c r="W136" s="10"/>
      <c r="X136" s="10"/>
      <c r="Y136" s="10"/>
      <c r="Z136" s="10"/>
    </row>
    <row r="137" spans="1:26" ht="17.25" customHeight="1" x14ac:dyDescent="0.3">
      <c r="A137" s="10" t="s">
        <v>271</v>
      </c>
      <c r="B137" s="10">
        <f t="shared" si="0"/>
        <v>27</v>
      </c>
      <c r="C137" s="8" t="str">
        <f t="shared" si="1"/>
        <v xml:space="preserve">Robalo, A. e Gouveia, L.  </v>
      </c>
      <c r="D137" s="8" t="str">
        <f t="shared" si="2"/>
        <v>2015</v>
      </c>
      <c r="E137" s="10">
        <f t="shared" si="3"/>
        <v>32</v>
      </c>
      <c r="F137" s="10">
        <f t="shared" si="4"/>
        <v>160</v>
      </c>
      <c r="G137" s="8" t="str">
        <f t="shared" si="5"/>
        <v xml:space="preserve"> Aplicação do questionário a professores do Município do Huambo (Angola) sobre competências TIC para professores: Teste Piloto. </v>
      </c>
      <c r="H137" s="10" t="str">
        <f t="shared" si="6"/>
        <v xml:space="preserve">Robalo, A. e Gouveia, L.  </v>
      </c>
      <c r="I137" s="10" t="str">
        <f t="shared" si="7"/>
        <v xml:space="preserve">Robalo, A. e Gouveia, L.  </v>
      </c>
      <c r="J137" s="10" t="str">
        <f t="shared" si="8"/>
        <v xml:space="preserve">Robalo, A.;Gouveia, L.  </v>
      </c>
      <c r="K137" s="11" t="str">
        <f ca="1">IFERROR(__xludf.DUMMYFUNCTION("SPLIT(J137,"";"")"),"Robalo, A.")</f>
        <v>Robalo, A.</v>
      </c>
      <c r="L137" s="10" t="str">
        <f ca="1">IFERROR(__xludf.DUMMYFUNCTION("""COMPUTED_VALUE"""),"Gouveia, L.  ")</f>
        <v xml:space="preserve">Gouveia, L.  </v>
      </c>
      <c r="M137" s="10"/>
      <c r="N137" s="10"/>
      <c r="O137" s="10"/>
      <c r="P137" s="10"/>
      <c r="Q137" s="10"/>
      <c r="R137" s="10"/>
      <c r="S137" s="10"/>
      <c r="T137" s="10"/>
      <c r="U137" s="10"/>
      <c r="V137" s="10"/>
      <c r="W137" s="10"/>
      <c r="X137" s="10"/>
      <c r="Y137" s="10"/>
      <c r="Z137" s="10"/>
    </row>
    <row r="138" spans="1:26" ht="17.25" customHeight="1" x14ac:dyDescent="0.3">
      <c r="A138" s="10" t="s">
        <v>272</v>
      </c>
      <c r="B138" s="10">
        <f t="shared" si="0"/>
        <v>28</v>
      </c>
      <c r="C138" s="8" t="str">
        <f t="shared" si="1"/>
        <v xml:space="preserve">Robalo, A. e  Gouveia, L.  </v>
      </c>
      <c r="D138" s="8" t="str">
        <f t="shared" si="2"/>
        <v>2015</v>
      </c>
      <c r="E138" s="10">
        <f t="shared" si="3"/>
        <v>33</v>
      </c>
      <c r="F138" s="10">
        <f t="shared" si="4"/>
        <v>156</v>
      </c>
      <c r="G138" s="8" t="str">
        <f t="shared" si="5"/>
        <v xml:space="preserve"> Análise preliminar do questionário a professores do Município do Huambo (Angola) sobre competências TIC para professores. </v>
      </c>
      <c r="H138" s="10" t="str">
        <f t="shared" si="6"/>
        <v xml:space="preserve">Robalo, A. e  Gouveia, L.  </v>
      </c>
      <c r="I138" s="10" t="str">
        <f t="shared" si="7"/>
        <v xml:space="preserve">Robalo, A. e  Gouveia, L.  </v>
      </c>
      <c r="J138" s="10" t="str">
        <f t="shared" si="8"/>
        <v xml:space="preserve">Robalo, A. e  Gouveia, L.  </v>
      </c>
      <c r="K138" s="11" t="str">
        <f ca="1">IFERROR(__xludf.DUMMYFUNCTION("SPLIT(J138,"";"")"),"Robalo, A. e  Gouveia, L.  ")</f>
        <v xml:space="preserve">Robalo, A. e  Gouveia, L.  </v>
      </c>
      <c r="L138" s="10"/>
      <c r="M138" s="10"/>
      <c r="N138" s="10"/>
      <c r="O138" s="10"/>
      <c r="P138" s="10"/>
      <c r="Q138" s="10"/>
      <c r="R138" s="10"/>
      <c r="S138" s="10"/>
      <c r="T138" s="10"/>
      <c r="U138" s="10"/>
      <c r="V138" s="10"/>
      <c r="W138" s="10"/>
      <c r="X138" s="10"/>
      <c r="Y138" s="10"/>
      <c r="Z138" s="10"/>
    </row>
    <row r="139" spans="1:26" ht="17.25" customHeight="1" x14ac:dyDescent="0.3">
      <c r="A139" s="10" t="s">
        <v>273</v>
      </c>
      <c r="B139" s="10">
        <f t="shared" si="0"/>
        <v>27</v>
      </c>
      <c r="C139" s="8" t="str">
        <f t="shared" si="1"/>
        <v xml:space="preserve">Martins, O. e Gouveia, L. </v>
      </c>
      <c r="D139" s="8" t="str">
        <f t="shared" si="2"/>
        <v>2015</v>
      </c>
      <c r="E139" s="10">
        <f t="shared" si="3"/>
        <v>32</v>
      </c>
      <c r="F139" s="10">
        <f t="shared" si="4"/>
        <v>94</v>
      </c>
      <c r="G139" s="8" t="str">
        <f t="shared" si="5"/>
        <v xml:space="preserve"> As Bibliotecas e o Ensino Superior: uma reflexão preliminar. </v>
      </c>
      <c r="H139" s="10" t="str">
        <f t="shared" si="6"/>
        <v xml:space="preserve">Martins, O. e Gouveia, L. </v>
      </c>
      <c r="I139" s="10" t="str">
        <f t="shared" si="7"/>
        <v xml:space="preserve">Martins, O. e Gouveia, L. </v>
      </c>
      <c r="J139" s="10" t="str">
        <f t="shared" si="8"/>
        <v xml:space="preserve">Martins, O.;Gouveia, L. </v>
      </c>
      <c r="K139" s="11" t="str">
        <f ca="1">IFERROR(__xludf.DUMMYFUNCTION("SPLIT(J139,"";"")"),"Martins, O.")</f>
        <v>Martins, O.</v>
      </c>
      <c r="L139" s="10" t="str">
        <f ca="1">IFERROR(__xludf.DUMMYFUNCTION("""COMPUTED_VALUE"""),"Gouveia, L. ")</f>
        <v xml:space="preserve">Gouveia, L. </v>
      </c>
      <c r="M139" s="10"/>
      <c r="N139" s="10"/>
      <c r="O139" s="10"/>
      <c r="P139" s="10"/>
      <c r="Q139" s="10"/>
      <c r="R139" s="10"/>
      <c r="S139" s="10"/>
      <c r="T139" s="10"/>
      <c r="U139" s="10"/>
      <c r="V139" s="10"/>
      <c r="W139" s="10"/>
      <c r="X139" s="10"/>
      <c r="Y139" s="10"/>
      <c r="Z139" s="10"/>
    </row>
    <row r="140" spans="1:26" ht="17.25" customHeight="1" x14ac:dyDescent="0.3">
      <c r="A140" s="10" t="s">
        <v>274</v>
      </c>
      <c r="B140" s="10">
        <f t="shared" si="0"/>
        <v>27</v>
      </c>
      <c r="C140" s="8" t="str">
        <f t="shared" si="1"/>
        <v xml:space="preserve">Alfredo, P. e Gouveia, L. </v>
      </c>
      <c r="D140" s="8" t="str">
        <f t="shared" si="2"/>
        <v>2015</v>
      </c>
      <c r="E140" s="10">
        <f t="shared" si="3"/>
        <v>32</v>
      </c>
      <c r="F140" s="10">
        <f t="shared" si="4"/>
        <v>119</v>
      </c>
      <c r="G140" s="8" t="str">
        <f t="shared" si="5"/>
        <v xml:space="preserve">Aplicação do questionário aos cidadãos sobre o governo eletrónico local: teste piloto. </v>
      </c>
      <c r="H140" s="10" t="str">
        <f t="shared" si="6"/>
        <v xml:space="preserve">Alfredo, P. e Gouveia, L. </v>
      </c>
      <c r="I140" s="10" t="str">
        <f t="shared" si="7"/>
        <v xml:space="preserve">Alfredo, P. e Gouveia, L. </v>
      </c>
      <c r="J140" s="10" t="str">
        <f t="shared" si="8"/>
        <v xml:space="preserve">Alfredo, P.;Gouveia, L. </v>
      </c>
      <c r="K140" s="11" t="str">
        <f ca="1">IFERROR(__xludf.DUMMYFUNCTION("SPLIT(J140,"";"")"),"Alfredo, P.")</f>
        <v>Alfredo, P.</v>
      </c>
      <c r="L140" s="10" t="str">
        <f ca="1">IFERROR(__xludf.DUMMYFUNCTION("""COMPUTED_VALUE"""),"Gouveia, L. ")</f>
        <v xml:space="preserve">Gouveia, L. </v>
      </c>
      <c r="M140" s="10"/>
      <c r="N140" s="10"/>
      <c r="O140" s="10"/>
      <c r="P140" s="10"/>
      <c r="Q140" s="10"/>
      <c r="R140" s="10"/>
      <c r="S140" s="10"/>
      <c r="T140" s="10"/>
      <c r="U140" s="10"/>
      <c r="V140" s="10"/>
      <c r="W140" s="10"/>
      <c r="X140" s="10"/>
      <c r="Y140" s="10"/>
      <c r="Z140" s="10"/>
    </row>
    <row r="141" spans="1:26" ht="17.25" customHeight="1" x14ac:dyDescent="0.3">
      <c r="A141" s="10" t="s">
        <v>275</v>
      </c>
      <c r="B141" s="10">
        <f t="shared" si="0"/>
        <v>27</v>
      </c>
      <c r="C141" s="8" t="str">
        <f t="shared" si="1"/>
        <v xml:space="preserve">António, F. e Gouveia, L. </v>
      </c>
      <c r="D141" s="8" t="str">
        <f t="shared" si="2"/>
        <v>2014</v>
      </c>
      <c r="E141" s="10">
        <f t="shared" si="3"/>
        <v>32</v>
      </c>
      <c r="F141" s="10">
        <f t="shared" si="4"/>
        <v>131</v>
      </c>
      <c r="G141" s="8" t="str">
        <f t="shared" si="5"/>
        <v xml:space="preserve"> Análise de um sistema de backoffice de Ensino a Distância para a Universidade Católica de Angola. </v>
      </c>
      <c r="H141" s="10" t="str">
        <f t="shared" si="6"/>
        <v xml:space="preserve">António, F. e Gouveia, L. </v>
      </c>
      <c r="I141" s="10" t="str">
        <f t="shared" si="7"/>
        <v xml:space="preserve">António, F. e Gouveia, L. </v>
      </c>
      <c r="J141" s="10" t="str">
        <f t="shared" si="8"/>
        <v xml:space="preserve">António, F.;Gouveia, L. </v>
      </c>
      <c r="K141" s="11" t="str">
        <f ca="1">IFERROR(__xludf.DUMMYFUNCTION("SPLIT(J141,"";"")"),"António, F.")</f>
        <v>António, F.</v>
      </c>
      <c r="L141" s="10" t="str">
        <f ca="1">IFERROR(__xludf.DUMMYFUNCTION("""COMPUTED_VALUE"""),"Gouveia, L. ")</f>
        <v xml:space="preserve">Gouveia, L. </v>
      </c>
      <c r="M141" s="10"/>
      <c r="N141" s="10"/>
      <c r="O141" s="10"/>
      <c r="P141" s="10"/>
      <c r="Q141" s="10"/>
      <c r="R141" s="10"/>
      <c r="S141" s="10"/>
      <c r="T141" s="10"/>
      <c r="U141" s="10"/>
      <c r="V141" s="10"/>
      <c r="W141" s="10"/>
      <c r="X141" s="10"/>
      <c r="Y141" s="10"/>
      <c r="Z141" s="10"/>
    </row>
    <row r="142" spans="1:26" ht="17.25" customHeight="1" x14ac:dyDescent="0.3">
      <c r="A142" s="10" t="s">
        <v>276</v>
      </c>
      <c r="B142" s="10">
        <f t="shared" si="0"/>
        <v>27</v>
      </c>
      <c r="C142" s="8" t="str">
        <f t="shared" si="1"/>
        <v xml:space="preserve">António, F. e Gouveia, L. </v>
      </c>
      <c r="D142" s="8" t="str">
        <f t="shared" si="2"/>
        <v>2014</v>
      </c>
      <c r="E142" s="10">
        <f t="shared" si="3"/>
        <v>32</v>
      </c>
      <c r="F142" s="10">
        <f t="shared" si="4"/>
        <v>128</v>
      </c>
      <c r="G142" s="8" t="str">
        <f t="shared" si="5"/>
        <v xml:space="preserve"> Estudo preliminar de um Sistema de Acolhimento para Alunos da Universidade Católica de Angola. </v>
      </c>
      <c r="H142" s="10" t="str">
        <f t="shared" si="6"/>
        <v xml:space="preserve">António, F. e Gouveia, L. </v>
      </c>
      <c r="I142" s="10" t="str">
        <f t="shared" si="7"/>
        <v xml:space="preserve">António, F. e Gouveia, L. </v>
      </c>
      <c r="J142" s="10" t="str">
        <f t="shared" si="8"/>
        <v xml:space="preserve">António, F.;Gouveia, L. </v>
      </c>
      <c r="K142" s="11" t="str">
        <f ca="1">IFERROR(__xludf.DUMMYFUNCTION("SPLIT(J142,"";"")"),"António, F.")</f>
        <v>António, F.</v>
      </c>
      <c r="L142" s="10" t="str">
        <f ca="1">IFERROR(__xludf.DUMMYFUNCTION("""COMPUTED_VALUE"""),"Gouveia, L. ")</f>
        <v xml:space="preserve">Gouveia, L. </v>
      </c>
      <c r="M142" s="10"/>
      <c r="N142" s="10"/>
      <c r="O142" s="10"/>
      <c r="P142" s="10"/>
      <c r="Q142" s="10"/>
      <c r="R142" s="10"/>
      <c r="S142" s="10"/>
      <c r="T142" s="10"/>
      <c r="U142" s="10"/>
      <c r="V142" s="10"/>
      <c r="W142" s="10"/>
      <c r="X142" s="10"/>
      <c r="Y142" s="10"/>
      <c r="Z142" s="10"/>
    </row>
    <row r="143" spans="1:26" ht="17.25" customHeight="1" x14ac:dyDescent="0.3">
      <c r="A143" s="10" t="s">
        <v>277</v>
      </c>
      <c r="B143" s="10">
        <f t="shared" si="0"/>
        <v>26</v>
      </c>
      <c r="C143" s="8" t="str">
        <f t="shared" si="1"/>
        <v xml:space="preserve">Salimo, G. e Gouveia, L. </v>
      </c>
      <c r="D143" s="8" t="str">
        <f t="shared" si="2"/>
        <v>2014</v>
      </c>
      <c r="E143" s="10">
        <f t="shared" si="3"/>
        <v>31</v>
      </c>
      <c r="F143" s="10">
        <f t="shared" si="4"/>
        <v>99</v>
      </c>
      <c r="G143" s="8" t="str">
        <f t="shared" si="5"/>
        <v xml:space="preserve"> Estudo preliminar para a Adopção de Práticas de EAD na UniZambeze. </v>
      </c>
      <c r="H143" s="10" t="str">
        <f t="shared" si="6"/>
        <v xml:space="preserve">Salimo, G. e Gouveia, L. </v>
      </c>
      <c r="I143" s="10" t="str">
        <f t="shared" si="7"/>
        <v xml:space="preserve">Salimo, G. e Gouveia, L. </v>
      </c>
      <c r="J143" s="10" t="str">
        <f t="shared" si="8"/>
        <v xml:space="preserve">Salimo, G.;Gouveia, L. </v>
      </c>
      <c r="K143" s="11" t="str">
        <f ca="1">IFERROR(__xludf.DUMMYFUNCTION("SPLIT(J143,"";"")"),"Salimo, G.")</f>
        <v>Salimo, G.</v>
      </c>
      <c r="L143" s="10" t="str">
        <f ca="1">IFERROR(__xludf.DUMMYFUNCTION("""COMPUTED_VALUE"""),"Gouveia, L. ")</f>
        <v xml:space="preserve">Gouveia, L. </v>
      </c>
      <c r="M143" s="10"/>
      <c r="N143" s="10"/>
      <c r="O143" s="10"/>
      <c r="P143" s="10"/>
      <c r="Q143" s="10"/>
      <c r="R143" s="10"/>
      <c r="S143" s="10"/>
      <c r="T143" s="10"/>
      <c r="U143" s="10"/>
      <c r="V143" s="10"/>
      <c r="W143" s="10"/>
      <c r="X143" s="10"/>
      <c r="Y143" s="10"/>
      <c r="Z143" s="10"/>
    </row>
    <row r="144" spans="1:26" ht="17.25" customHeight="1" x14ac:dyDescent="0.3">
      <c r="A144" s="10" t="s">
        <v>278</v>
      </c>
      <c r="B144" s="10">
        <f t="shared" si="0"/>
        <v>26</v>
      </c>
      <c r="C144" s="8" t="str">
        <f t="shared" si="1"/>
        <v xml:space="preserve">Robalo, A. e Gouveia, L. </v>
      </c>
      <c r="D144" s="8" t="str">
        <f t="shared" si="2"/>
        <v>2013</v>
      </c>
      <c r="E144" s="10">
        <f t="shared" si="3"/>
        <v>31</v>
      </c>
      <c r="F144" s="10">
        <f t="shared" si="4"/>
        <v>152</v>
      </c>
      <c r="G144" s="8" t="str">
        <f t="shared" si="5"/>
        <v xml:space="preserve"> Aplicação das TICs no Instituto Superior de Ciências de Educação: uma nova metodologia para o currículo de Informática. </v>
      </c>
      <c r="H144" s="10" t="str">
        <f t="shared" si="6"/>
        <v xml:space="preserve">Robalo, A. e Gouveia, L. </v>
      </c>
      <c r="I144" s="10" t="str">
        <f t="shared" si="7"/>
        <v xml:space="preserve">Robalo, A. e Gouveia, L. </v>
      </c>
      <c r="J144" s="10" t="str">
        <f t="shared" si="8"/>
        <v xml:space="preserve">Robalo, A.;Gouveia, L. </v>
      </c>
      <c r="K144" s="11" t="str">
        <f ca="1">IFERROR(__xludf.DUMMYFUNCTION("SPLIT(J144,"";"")"),"Robalo, A.")</f>
        <v>Robalo, A.</v>
      </c>
      <c r="L144" s="10" t="str">
        <f ca="1">IFERROR(__xludf.DUMMYFUNCTION("""COMPUTED_VALUE"""),"Gouveia, L. ")</f>
        <v xml:space="preserve">Gouveia, L. </v>
      </c>
      <c r="M144" s="10"/>
      <c r="N144" s="10"/>
      <c r="O144" s="10"/>
      <c r="P144" s="10"/>
      <c r="Q144" s="10"/>
      <c r="R144" s="10"/>
      <c r="S144" s="10"/>
      <c r="T144" s="10"/>
      <c r="U144" s="10"/>
      <c r="V144" s="10"/>
      <c r="W144" s="10"/>
      <c r="X144" s="10"/>
      <c r="Y144" s="10"/>
      <c r="Z144" s="10"/>
    </row>
    <row r="145" spans="1:26" ht="17.25" customHeight="1" x14ac:dyDescent="0.3">
      <c r="A145" s="10" t="s">
        <v>279</v>
      </c>
      <c r="B145" s="10">
        <f t="shared" si="0"/>
        <v>26</v>
      </c>
      <c r="C145" s="8" t="str">
        <f t="shared" si="1"/>
        <v xml:space="preserve">Simões, L. e Gouveia, L. </v>
      </c>
      <c r="D145" s="8" t="str">
        <f t="shared" si="2"/>
        <v>2013</v>
      </c>
      <c r="E145" s="10">
        <f t="shared" si="3"/>
        <v>31</v>
      </c>
      <c r="F145" s="10">
        <f t="shared" si="4"/>
        <v>81</v>
      </c>
      <c r="G145" s="8" t="str">
        <f t="shared" si="5"/>
        <v xml:space="preserve"> Estudo exploratório sobre a utilização de Web 2.0</v>
      </c>
      <c r="H145" s="10" t="str">
        <f t="shared" si="6"/>
        <v xml:space="preserve">Simões, L. e Gouveia, L. </v>
      </c>
      <c r="I145" s="10" t="str">
        <f t="shared" si="7"/>
        <v xml:space="preserve">Simões, L. e Gouveia, L. </v>
      </c>
      <c r="J145" s="10" t="str">
        <f t="shared" si="8"/>
        <v xml:space="preserve">Simões, L.;Gouveia, L. </v>
      </c>
      <c r="K145" s="11" t="str">
        <f ca="1">IFERROR(__xludf.DUMMYFUNCTION("SPLIT(J145,"";"")"),"Simões, L.")</f>
        <v>Simões, L.</v>
      </c>
      <c r="L145" s="10" t="str">
        <f ca="1">IFERROR(__xludf.DUMMYFUNCTION("""COMPUTED_VALUE"""),"Gouveia, L. ")</f>
        <v xml:space="preserve">Gouveia, L. </v>
      </c>
      <c r="M145" s="10"/>
      <c r="N145" s="10"/>
      <c r="O145" s="10"/>
      <c r="P145" s="10"/>
      <c r="Q145" s="10"/>
      <c r="R145" s="10"/>
      <c r="S145" s="10"/>
      <c r="T145" s="10"/>
      <c r="U145" s="10"/>
      <c r="V145" s="10"/>
      <c r="W145" s="10"/>
      <c r="X145" s="10"/>
      <c r="Y145" s="10"/>
      <c r="Z145" s="10"/>
    </row>
    <row r="146" spans="1:26" ht="17.25" customHeight="1" x14ac:dyDescent="0.3">
      <c r="A146" s="10" t="s">
        <v>280</v>
      </c>
      <c r="B146" s="10">
        <f t="shared" si="0"/>
        <v>44</v>
      </c>
      <c r="C146" s="8" t="str">
        <f t="shared" si="1"/>
        <v xml:space="preserve">Fernandes, N.; Gouveia, L. and Gouveia, F. </v>
      </c>
      <c r="D146" s="8" t="str">
        <f t="shared" si="2"/>
        <v>2009</v>
      </c>
      <c r="E146" s="10" t="e">
        <f t="shared" si="3"/>
        <v>#VALUE!</v>
      </c>
      <c r="F146" s="10" t="e">
        <f t="shared" si="4"/>
        <v>#VALUE!</v>
      </c>
      <c r="G146" s="8" t="e">
        <f t="shared" si="5"/>
        <v>#VALUE!</v>
      </c>
      <c r="H146" s="10" t="str">
        <f t="shared" si="6"/>
        <v xml:space="preserve">Fern;es, N.; Gouveia, L. ; Gouveia, F. </v>
      </c>
      <c r="I146" s="10" t="str">
        <f t="shared" si="7"/>
        <v xml:space="preserve">Fern;es, N.; Gouveia, L. ; Gouveia, F. </v>
      </c>
      <c r="J146" s="10" t="str">
        <f t="shared" si="8"/>
        <v xml:space="preserve">Fern;es, N.; Gouveia, L. ; Gouveia, F. </v>
      </c>
      <c r="K146" s="11" t="str">
        <f ca="1">IFERROR(__xludf.DUMMYFUNCTION("SPLIT(J146,"";"")"),"Fern")</f>
        <v>Fern</v>
      </c>
      <c r="L146" s="10" t="str">
        <f ca="1">IFERROR(__xludf.DUMMYFUNCTION("""COMPUTED_VALUE"""),"es, N.")</f>
        <v>es, N.</v>
      </c>
      <c r="M146" s="10" t="str">
        <f ca="1">IFERROR(__xludf.DUMMYFUNCTION("""COMPUTED_VALUE""")," Gouveia, L. ")</f>
        <v xml:space="preserve"> Gouveia, L. </v>
      </c>
      <c r="N146" s="10" t="str">
        <f ca="1">IFERROR(__xludf.DUMMYFUNCTION("""COMPUTED_VALUE""")," Gouveia, F. ")</f>
        <v xml:space="preserve"> Gouveia, F. </v>
      </c>
      <c r="O146" s="10"/>
      <c r="P146" s="10"/>
      <c r="Q146" s="10"/>
      <c r="R146" s="10"/>
      <c r="S146" s="10"/>
      <c r="T146" s="10"/>
      <c r="U146" s="10"/>
      <c r="V146" s="10"/>
      <c r="W146" s="10"/>
      <c r="X146" s="10"/>
      <c r="Y146" s="10"/>
      <c r="Z146" s="10"/>
    </row>
    <row r="147" spans="1:26" ht="17.25" customHeight="1" x14ac:dyDescent="0.3">
      <c r="A147" s="10" t="s">
        <v>281</v>
      </c>
      <c r="B147" s="10">
        <f t="shared" si="0"/>
        <v>28</v>
      </c>
      <c r="C147" s="8" t="str">
        <f t="shared" si="1"/>
        <v xml:space="preserve">Abrantes, S. e Gouveia, L. </v>
      </c>
      <c r="D147" s="8" t="str">
        <f t="shared" si="2"/>
        <v>2009</v>
      </c>
      <c r="E147" s="10" t="e">
        <f t="shared" si="3"/>
        <v>#VALUE!</v>
      </c>
      <c r="F147" s="10" t="e">
        <f t="shared" si="4"/>
        <v>#VALUE!</v>
      </c>
      <c r="G147" s="8" t="e">
        <f t="shared" si="5"/>
        <v>#VALUE!</v>
      </c>
      <c r="H147" s="10" t="str">
        <f t="shared" si="6"/>
        <v xml:space="preserve">Abrantes, S. e Gouveia, L. </v>
      </c>
      <c r="I147" s="10" t="str">
        <f t="shared" si="7"/>
        <v xml:space="preserve">Abrantes, S. e Gouveia, L. </v>
      </c>
      <c r="J147" s="10" t="str">
        <f t="shared" si="8"/>
        <v xml:space="preserve">Abrantes, S.;Gouveia, L. </v>
      </c>
      <c r="K147" s="11" t="str">
        <f ca="1">IFERROR(__xludf.DUMMYFUNCTION("SPLIT(J147,"";"")"),"Abrantes, S.")</f>
        <v>Abrantes, S.</v>
      </c>
      <c r="L147" s="10" t="str">
        <f ca="1">IFERROR(__xludf.DUMMYFUNCTION("""COMPUTED_VALUE"""),"Gouveia, L. ")</f>
        <v xml:space="preserve">Gouveia, L. </v>
      </c>
      <c r="M147" s="10"/>
      <c r="N147" s="10"/>
      <c r="O147" s="10"/>
      <c r="P147" s="10"/>
      <c r="Q147" s="10"/>
      <c r="R147" s="10"/>
      <c r="S147" s="10"/>
      <c r="T147" s="10"/>
      <c r="U147" s="10"/>
      <c r="V147" s="10"/>
      <c r="W147" s="10"/>
      <c r="X147" s="10"/>
      <c r="Y147" s="10"/>
      <c r="Z147" s="10"/>
    </row>
    <row r="148" spans="1:26" ht="17.25" customHeight="1" x14ac:dyDescent="0.3">
      <c r="A148" s="10" t="s">
        <v>282</v>
      </c>
      <c r="B148" s="10">
        <f t="shared" si="0"/>
        <v>28</v>
      </c>
      <c r="C148" s="8" t="str">
        <f t="shared" si="1"/>
        <v xml:space="preserve">Abrantes, S. e Gouveia, L. </v>
      </c>
      <c r="D148" s="8" t="str">
        <f t="shared" si="2"/>
        <v>2009</v>
      </c>
      <c r="E148" s="10" t="e">
        <f t="shared" si="3"/>
        <v>#VALUE!</v>
      </c>
      <c r="F148" s="10" t="e">
        <f t="shared" si="4"/>
        <v>#VALUE!</v>
      </c>
      <c r="G148" s="8" t="e">
        <f t="shared" si="5"/>
        <v>#VALUE!</v>
      </c>
      <c r="H148" s="10" t="str">
        <f t="shared" si="6"/>
        <v xml:space="preserve">Abrantes, S. e Gouveia, L. </v>
      </c>
      <c r="I148" s="10" t="str">
        <f t="shared" si="7"/>
        <v xml:space="preserve">Abrantes, S. e Gouveia, L. </v>
      </c>
      <c r="J148" s="10" t="str">
        <f t="shared" si="8"/>
        <v xml:space="preserve">Abrantes, S.;Gouveia, L. </v>
      </c>
      <c r="K148" s="11" t="str">
        <f ca="1">IFERROR(__xludf.DUMMYFUNCTION("SPLIT(J148,"";"")"),"Abrantes, S.")</f>
        <v>Abrantes, S.</v>
      </c>
      <c r="L148" s="10" t="str">
        <f ca="1">IFERROR(__xludf.DUMMYFUNCTION("""COMPUTED_VALUE"""),"Gouveia, L. ")</f>
        <v xml:space="preserve">Gouveia, L. </v>
      </c>
      <c r="M148" s="10"/>
      <c r="N148" s="10"/>
      <c r="O148" s="10"/>
      <c r="P148" s="10"/>
      <c r="Q148" s="10"/>
      <c r="R148" s="10"/>
      <c r="S148" s="10"/>
      <c r="T148" s="10"/>
      <c r="U148" s="10"/>
      <c r="V148" s="10"/>
      <c r="W148" s="10"/>
      <c r="X148" s="10"/>
      <c r="Y148" s="10"/>
      <c r="Z148" s="10"/>
    </row>
    <row r="149" spans="1:26" ht="17.25" customHeight="1" x14ac:dyDescent="0.3">
      <c r="A149" s="10" t="s">
        <v>283</v>
      </c>
      <c r="B149" s="10">
        <f t="shared" si="0"/>
        <v>28</v>
      </c>
      <c r="C149" s="8" t="str">
        <f t="shared" si="1"/>
        <v xml:space="preserve">Abrantes, S. e Gouveia, L. </v>
      </c>
      <c r="D149" s="8" t="str">
        <f t="shared" si="2"/>
        <v>2009</v>
      </c>
      <c r="E149" s="10" t="e">
        <f t="shared" si="3"/>
        <v>#VALUE!</v>
      </c>
      <c r="F149" s="10" t="e">
        <f t="shared" si="4"/>
        <v>#VALUE!</v>
      </c>
      <c r="G149" s="8" t="e">
        <f t="shared" si="5"/>
        <v>#VALUE!</v>
      </c>
      <c r="H149" s="10" t="str">
        <f t="shared" si="6"/>
        <v xml:space="preserve">Abrantes, S. e Gouveia, L. </v>
      </c>
      <c r="I149" s="10" t="str">
        <f t="shared" si="7"/>
        <v xml:space="preserve">Abrantes, S. e Gouveia, L. </v>
      </c>
      <c r="J149" s="10" t="str">
        <f t="shared" si="8"/>
        <v xml:space="preserve">Abrantes, S.;Gouveia, L. </v>
      </c>
      <c r="K149" s="11" t="str">
        <f ca="1">IFERROR(__xludf.DUMMYFUNCTION("SPLIT(J149,"";"")"),"Abrantes, S.")</f>
        <v>Abrantes, S.</v>
      </c>
      <c r="L149" s="10" t="str">
        <f ca="1">IFERROR(__xludf.DUMMYFUNCTION("""COMPUTED_VALUE"""),"Gouveia, L. ")</f>
        <v xml:space="preserve">Gouveia, L. </v>
      </c>
      <c r="M149" s="10"/>
      <c r="N149" s="10"/>
      <c r="O149" s="10"/>
      <c r="P149" s="10"/>
      <c r="Q149" s="10"/>
      <c r="R149" s="10"/>
      <c r="S149" s="10"/>
      <c r="T149" s="10"/>
      <c r="U149" s="10"/>
      <c r="V149" s="10"/>
      <c r="W149" s="10"/>
      <c r="X149" s="10"/>
      <c r="Y149" s="10"/>
      <c r="Z149" s="10"/>
    </row>
    <row r="150" spans="1:26" ht="17.25" customHeight="1" x14ac:dyDescent="0.3">
      <c r="A150" s="10" t="s">
        <v>284</v>
      </c>
      <c r="B150" s="10">
        <f t="shared" si="0"/>
        <v>39</v>
      </c>
      <c r="C150" s="8" t="str">
        <f t="shared" si="1"/>
        <v xml:space="preserve">Rurato, P.; Gouveia, L. e Gouveia, J. </v>
      </c>
      <c r="D150" s="8" t="str">
        <f t="shared" si="2"/>
        <v>2005</v>
      </c>
      <c r="E150" s="10" t="e">
        <f t="shared" si="3"/>
        <v>#VALUE!</v>
      </c>
      <c r="F150" s="10" t="e">
        <f t="shared" si="4"/>
        <v>#VALUE!</v>
      </c>
      <c r="G150" s="8" t="e">
        <f t="shared" si="5"/>
        <v>#VALUE!</v>
      </c>
      <c r="H150" s="10" t="str">
        <f t="shared" si="6"/>
        <v xml:space="preserve">Rurato, P.; Gouveia, L. e Gouveia, J. </v>
      </c>
      <c r="I150" s="10" t="str">
        <f t="shared" si="7"/>
        <v xml:space="preserve">Rurato, P.; Gouveia, L. e Gouveia, J. </v>
      </c>
      <c r="J150" s="10" t="str">
        <f t="shared" si="8"/>
        <v xml:space="preserve">Rurato, P.; Gouveia, L.;Gouveia, J. </v>
      </c>
      <c r="K150" s="11" t="str">
        <f ca="1">IFERROR(__xludf.DUMMYFUNCTION("SPLIT(J150,"";"")"),"Rurato, P.")</f>
        <v>Rurato, P.</v>
      </c>
      <c r="L150" s="10" t="str">
        <f ca="1">IFERROR(__xludf.DUMMYFUNCTION("""COMPUTED_VALUE""")," Gouveia, L.")</f>
        <v xml:space="preserve"> Gouveia, L.</v>
      </c>
      <c r="M150" s="10" t="str">
        <f ca="1">IFERROR(__xludf.DUMMYFUNCTION("""COMPUTED_VALUE"""),"Gouveia, J. ")</f>
        <v xml:space="preserve">Gouveia, J. </v>
      </c>
      <c r="N150" s="10"/>
      <c r="O150" s="10"/>
      <c r="P150" s="10"/>
      <c r="Q150" s="10"/>
      <c r="R150" s="10"/>
      <c r="S150" s="10"/>
      <c r="T150" s="10"/>
      <c r="U150" s="10"/>
      <c r="V150" s="10"/>
      <c r="W150" s="10"/>
      <c r="X150" s="10"/>
      <c r="Y150" s="10"/>
      <c r="Z150" s="10"/>
    </row>
    <row r="151" spans="1:26" ht="17.25" customHeight="1" x14ac:dyDescent="0.3">
      <c r="A151" s="10" t="s">
        <v>285</v>
      </c>
      <c r="B151" s="10">
        <f t="shared" si="0"/>
        <v>26</v>
      </c>
      <c r="C151" s="8" t="str">
        <f t="shared" si="1"/>
        <v xml:space="preserve">Rurato, P. e Gouveia, L. </v>
      </c>
      <c r="D151" s="8" t="str">
        <f t="shared" si="2"/>
        <v>2005</v>
      </c>
      <c r="E151" s="10">
        <f t="shared" si="3"/>
        <v>31</v>
      </c>
      <c r="F151" s="10">
        <f t="shared" si="4"/>
        <v>107</v>
      </c>
      <c r="G151" s="8" t="str">
        <f t="shared" si="5"/>
        <v xml:space="preserve"> Uma reflexão sobre o perfil dos Aprendentes Adultos no Ensino a Distância. </v>
      </c>
      <c r="H151" s="10" t="str">
        <f t="shared" si="6"/>
        <v xml:space="preserve">Rurato, P. e Gouveia, L. </v>
      </c>
      <c r="I151" s="10" t="str">
        <f t="shared" si="7"/>
        <v xml:space="preserve">Rurato, P. e Gouveia, L. </v>
      </c>
      <c r="J151" s="10" t="str">
        <f t="shared" si="8"/>
        <v xml:space="preserve">Rurato, P.;Gouveia, L. </v>
      </c>
      <c r="K151" s="11" t="str">
        <f ca="1">IFERROR(__xludf.DUMMYFUNCTION("SPLIT(J151,"";"")"),"Rurato, P.")</f>
        <v>Rurato, P.</v>
      </c>
      <c r="L151" s="10" t="str">
        <f ca="1">IFERROR(__xludf.DUMMYFUNCTION("""COMPUTED_VALUE"""),"Gouveia, L. ")</f>
        <v xml:space="preserve">Gouveia, L. </v>
      </c>
      <c r="M151" s="10"/>
      <c r="N151" s="10"/>
      <c r="O151" s="10"/>
      <c r="P151" s="10"/>
      <c r="Q151" s="10"/>
      <c r="R151" s="10"/>
      <c r="S151" s="10"/>
      <c r="T151" s="10"/>
      <c r="U151" s="10"/>
      <c r="V151" s="10"/>
      <c r="W151" s="10"/>
      <c r="X151" s="10"/>
      <c r="Y151" s="10"/>
      <c r="Z151" s="10"/>
    </row>
    <row r="152" spans="1:26" ht="17.25" customHeight="1" x14ac:dyDescent="0.3">
      <c r="A152" s="10" t="s">
        <v>286</v>
      </c>
      <c r="B152" s="10">
        <f t="shared" si="0"/>
        <v>29</v>
      </c>
      <c r="C152" s="8" t="str">
        <f t="shared" si="1"/>
        <v xml:space="preserve">Gouveia, F. and Gouveia, L. </v>
      </c>
      <c r="D152" s="8" t="str">
        <f t="shared" si="2"/>
        <v>2005</v>
      </c>
      <c r="E152" s="10">
        <f t="shared" si="3"/>
        <v>34</v>
      </c>
      <c r="F152" s="10">
        <f t="shared" si="4"/>
        <v>125</v>
      </c>
      <c r="G152" s="8" t="str">
        <f t="shared" si="5"/>
        <v xml:space="preserve"> Collaborative open-source software: the case of e-learning at University Fernando Pessoa. </v>
      </c>
      <c r="H152" s="10" t="str">
        <f t="shared" si="6"/>
        <v xml:space="preserve">Gouveia, F. ; Gouveia, L. </v>
      </c>
      <c r="I152" s="10" t="str">
        <f t="shared" si="7"/>
        <v xml:space="preserve">Gouveia, F. ; Gouveia, L. </v>
      </c>
      <c r="J152" s="10" t="str">
        <f t="shared" si="8"/>
        <v xml:space="preserve">Gouveia, F. ; Gouveia, L. </v>
      </c>
      <c r="K152" s="11" t="str">
        <f ca="1">IFERROR(__xludf.DUMMYFUNCTION("SPLIT(J152,"";"")"),"Gouveia, F. ")</f>
        <v xml:space="preserve">Gouveia, F. </v>
      </c>
      <c r="L152" s="10" t="str">
        <f ca="1">IFERROR(__xludf.DUMMYFUNCTION("""COMPUTED_VALUE""")," Gouveia, L. ")</f>
        <v xml:space="preserve"> Gouveia, L. </v>
      </c>
      <c r="M152" s="10"/>
      <c r="N152" s="10"/>
      <c r="O152" s="10"/>
      <c r="P152" s="10"/>
      <c r="Q152" s="10"/>
      <c r="R152" s="10"/>
      <c r="S152" s="10"/>
      <c r="T152" s="10"/>
      <c r="U152" s="10"/>
      <c r="V152" s="10"/>
      <c r="W152" s="10"/>
      <c r="X152" s="10"/>
      <c r="Y152" s="10"/>
      <c r="Z152" s="10"/>
    </row>
    <row r="153" spans="1:26" ht="17.25" customHeight="1" x14ac:dyDescent="0.3">
      <c r="A153" s="10" t="s">
        <v>287</v>
      </c>
      <c r="B153" s="10">
        <f t="shared" si="0"/>
        <v>13</v>
      </c>
      <c r="C153" s="8" t="str">
        <f t="shared" si="1"/>
        <v xml:space="preserve">Gouveia, L. </v>
      </c>
      <c r="D153" s="8" t="str">
        <f t="shared" si="2"/>
        <v>2004</v>
      </c>
      <c r="E153" s="10">
        <f t="shared" si="3"/>
        <v>18</v>
      </c>
      <c r="F153" s="10">
        <f t="shared" si="4"/>
        <v>79</v>
      </c>
      <c r="G153" s="8" t="str">
        <f t="shared" si="5"/>
        <v xml:space="preserve"> A brief survey on Cognitive Maps as Humane Representations. </v>
      </c>
      <c r="H153" s="10" t="str">
        <f t="shared" si="6"/>
        <v xml:space="preserve">Gouveia, L. </v>
      </c>
      <c r="I153" s="10" t="str">
        <f t="shared" si="7"/>
        <v xml:space="preserve">Gouveia, L. </v>
      </c>
      <c r="J153" s="10" t="str">
        <f t="shared" si="8"/>
        <v xml:space="preserve">Gouveia, L. </v>
      </c>
      <c r="K153" s="11" t="str">
        <f ca="1">IFERROR(__xludf.DUMMYFUNCTION("SPLIT(J153,"";"")"),"Gouveia, L. ")</f>
        <v xml:space="preserve">Gouveia, L. </v>
      </c>
      <c r="L153" s="10"/>
      <c r="M153" s="10"/>
      <c r="N153" s="10"/>
      <c r="O153" s="10"/>
      <c r="P153" s="10"/>
      <c r="Q153" s="10"/>
      <c r="R153" s="10"/>
      <c r="S153" s="10"/>
      <c r="T153" s="10"/>
      <c r="U153" s="10"/>
      <c r="V153" s="10"/>
      <c r="W153" s="10"/>
      <c r="X153" s="10"/>
      <c r="Y153" s="10"/>
      <c r="Z153" s="10"/>
    </row>
    <row r="154" spans="1:26" ht="17.25" customHeight="1" x14ac:dyDescent="0.3">
      <c r="A154" s="10" t="s">
        <v>288</v>
      </c>
      <c r="B154" s="10">
        <f t="shared" si="0"/>
        <v>29</v>
      </c>
      <c r="C154" s="8" t="str">
        <f t="shared" si="1"/>
        <v xml:space="preserve">Gouveia, L. and Gouveia, F. </v>
      </c>
      <c r="D154" s="8" t="str">
        <f t="shared" si="2"/>
        <v>2001</v>
      </c>
      <c r="E154" s="10">
        <f t="shared" si="3"/>
        <v>34</v>
      </c>
      <c r="F154" s="10">
        <f t="shared" si="4"/>
        <v>86</v>
      </c>
      <c r="G154" s="8" t="str">
        <f t="shared" si="5"/>
        <v xml:space="preserve"> An evaluation of the Well Path elearning platform. </v>
      </c>
      <c r="H154" s="10" t="str">
        <f t="shared" si="6"/>
        <v xml:space="preserve">Gouveia, L. ; Gouveia, F. </v>
      </c>
      <c r="I154" s="10" t="str">
        <f t="shared" si="7"/>
        <v xml:space="preserve">Gouveia, L. ; Gouveia, F. </v>
      </c>
      <c r="J154" s="10" t="str">
        <f t="shared" si="8"/>
        <v xml:space="preserve">Gouveia, L. ; Gouveia, F. </v>
      </c>
      <c r="K154" s="11" t="str">
        <f ca="1">IFERROR(__xludf.DUMMYFUNCTION("SPLIT(J154,"";"")"),"Gouveia, L. ")</f>
        <v xml:space="preserve">Gouveia, L. </v>
      </c>
      <c r="L154" s="10" t="str">
        <f ca="1">IFERROR(__xludf.DUMMYFUNCTION("""COMPUTED_VALUE""")," Gouveia, F. ")</f>
        <v xml:space="preserve"> Gouveia, F. </v>
      </c>
      <c r="M154" s="10"/>
      <c r="N154" s="10"/>
      <c r="O154" s="10"/>
      <c r="P154" s="10"/>
      <c r="Q154" s="10"/>
      <c r="R154" s="10"/>
      <c r="S154" s="10"/>
      <c r="T154" s="10"/>
      <c r="U154" s="10"/>
      <c r="V154" s="10"/>
      <c r="W154" s="10"/>
      <c r="X154" s="10"/>
      <c r="Y154" s="10"/>
      <c r="Z154" s="10"/>
    </row>
    <row r="155" spans="1:26" ht="17.25" customHeight="1" x14ac:dyDescent="0.3">
      <c r="A155" s="10" t="s">
        <v>289</v>
      </c>
      <c r="B155" s="10">
        <f t="shared" si="0"/>
        <v>20</v>
      </c>
      <c r="C155" s="8" t="str">
        <f t="shared" si="1"/>
        <v xml:space="preserve">Gouveia, L. et al. </v>
      </c>
      <c r="D155" s="8" t="str">
        <f t="shared" si="2"/>
        <v>2000</v>
      </c>
      <c r="E155" s="10">
        <f t="shared" si="3"/>
        <v>25</v>
      </c>
      <c r="F155" s="10">
        <f t="shared" si="4"/>
        <v>100</v>
      </c>
      <c r="G155" s="8" t="str">
        <f t="shared" si="5"/>
        <v xml:space="preserve"> Proposing a knowledge network to assist education, training and learning. </v>
      </c>
      <c r="H155" s="10" t="str">
        <f t="shared" si="6"/>
        <v xml:space="preserve">Gouveia, L. et al. </v>
      </c>
      <c r="I155" s="10" t="str">
        <f t="shared" si="7"/>
        <v xml:space="preserve">Gouveia, L. et al. </v>
      </c>
      <c r="J155" s="10" t="str">
        <f t="shared" si="8"/>
        <v xml:space="preserve">Gouveia, L. et al. </v>
      </c>
      <c r="K155" s="11" t="str">
        <f ca="1">IFERROR(__xludf.DUMMYFUNCTION("SPLIT(J155,"";"")"),"Gouveia, L. et al. ")</f>
        <v xml:space="preserve">Gouveia, L. et al. </v>
      </c>
      <c r="L155" s="10"/>
      <c r="M155" s="10"/>
      <c r="N155" s="10"/>
      <c r="O155" s="10"/>
      <c r="P155" s="10"/>
      <c r="Q155" s="10"/>
      <c r="R155" s="10"/>
      <c r="S155" s="10"/>
      <c r="T155" s="10"/>
      <c r="U155" s="10"/>
      <c r="V155" s="10"/>
      <c r="W155" s="10"/>
      <c r="X155" s="10"/>
      <c r="Y155" s="10"/>
      <c r="Z155" s="10"/>
    </row>
    <row r="156" spans="1:26" ht="17.25" customHeight="1" x14ac:dyDescent="0.3">
      <c r="A156" s="10" t="s">
        <v>290</v>
      </c>
      <c r="B156" s="10">
        <f t="shared" si="0"/>
        <v>20</v>
      </c>
      <c r="C156" s="8" t="str">
        <f t="shared" si="1"/>
        <v xml:space="preserve">Gouveia, L. et al. </v>
      </c>
      <c r="D156" s="8" t="str">
        <f t="shared" si="2"/>
        <v>2000</v>
      </c>
      <c r="E156" s="10">
        <f t="shared" si="3"/>
        <v>25</v>
      </c>
      <c r="F156" s="10">
        <f t="shared" si="4"/>
        <v>85</v>
      </c>
      <c r="G156" s="8" t="str">
        <f t="shared" si="5"/>
        <v xml:space="preserve"> Informing an information discovery tool for using gesture. </v>
      </c>
      <c r="H156" s="10" t="str">
        <f t="shared" si="6"/>
        <v xml:space="preserve">Gouveia, L. et al. </v>
      </c>
      <c r="I156" s="10" t="str">
        <f t="shared" si="7"/>
        <v xml:space="preserve">Gouveia, L. et al. </v>
      </c>
      <c r="J156" s="10" t="str">
        <f t="shared" si="8"/>
        <v xml:space="preserve">Gouveia, L. et al. </v>
      </c>
      <c r="K156" s="11" t="str">
        <f ca="1">IFERROR(__xludf.DUMMYFUNCTION("SPLIT(J156,"";"")"),"Gouveia, L. et al. ")</f>
        <v xml:space="preserve">Gouveia, L. et al. </v>
      </c>
      <c r="L156" s="10"/>
      <c r="M156" s="10"/>
      <c r="N156" s="10"/>
      <c r="O156" s="10"/>
      <c r="P156" s="10"/>
      <c r="Q156" s="10"/>
      <c r="R156" s="10"/>
      <c r="S156" s="10"/>
      <c r="T156" s="10"/>
      <c r="U156" s="10"/>
      <c r="V156" s="10"/>
      <c r="W156" s="10"/>
      <c r="X156" s="10"/>
      <c r="Y156" s="10"/>
      <c r="Z156" s="10"/>
    </row>
    <row r="157" spans="1:26" ht="17.25" customHeight="1" x14ac:dyDescent="0.3">
      <c r="A157" s="7" t="s">
        <v>291</v>
      </c>
      <c r="B157" s="7" t="e">
        <f t="shared" si="0"/>
        <v>#VALUE!</v>
      </c>
      <c r="C157" s="8" t="e">
        <f t="shared" si="1"/>
        <v>#VALUE!</v>
      </c>
      <c r="D157" s="8" t="e">
        <f t="shared" si="2"/>
        <v>#VALUE!</v>
      </c>
      <c r="E157" s="10" t="e">
        <f t="shared" si="3"/>
        <v>#VALUE!</v>
      </c>
      <c r="F157" s="10" t="e">
        <f t="shared" si="4"/>
        <v>#VALUE!</v>
      </c>
      <c r="G157" s="8" t="e">
        <f t="shared" si="5"/>
        <v>#VALUE!</v>
      </c>
      <c r="H157" s="10" t="e">
        <f t="shared" si="6"/>
        <v>#VALUE!</v>
      </c>
      <c r="I157" s="10" t="e">
        <f t="shared" si="7"/>
        <v>#VALUE!</v>
      </c>
      <c r="J157" s="10" t="e">
        <f t="shared" si="8"/>
        <v>#VALUE!</v>
      </c>
      <c r="K157" s="11" t="str">
        <f ca="1">IFERROR(__xludf.DUMMYFUNCTION("SPLIT(J157,"";"")"),"#VALUE!")</f>
        <v>#VALUE!</v>
      </c>
      <c r="L157" s="7"/>
      <c r="M157" s="7"/>
      <c r="N157" s="7"/>
      <c r="O157" s="7"/>
      <c r="P157" s="7"/>
      <c r="Q157" s="7"/>
      <c r="R157" s="7"/>
      <c r="S157" s="7"/>
      <c r="T157" s="7"/>
      <c r="U157" s="7"/>
      <c r="V157" s="7"/>
      <c r="W157" s="7"/>
      <c r="X157" s="7"/>
      <c r="Y157" s="7"/>
      <c r="Z157" s="7"/>
    </row>
    <row r="158" spans="1:26" ht="17.25" customHeight="1" x14ac:dyDescent="0.3">
      <c r="A158" s="10" t="s">
        <v>292</v>
      </c>
      <c r="B158" s="10">
        <f t="shared" si="0"/>
        <v>27</v>
      </c>
      <c r="C158" s="8" t="str">
        <f t="shared" si="1"/>
        <v xml:space="preserve">Almasri, A. e Gouveia, L. </v>
      </c>
      <c r="D158" s="8" t="str">
        <f t="shared" si="2"/>
        <v>2019</v>
      </c>
      <c r="E158" s="10">
        <f t="shared" si="3"/>
        <v>32</v>
      </c>
      <c r="F158" s="10">
        <f t="shared" si="4"/>
        <v>134</v>
      </c>
      <c r="G158" s="8" t="str">
        <f t="shared" si="5"/>
        <v xml:space="preserve"> Reviewing Power-Saving Approaches Implemented During the Development of an Android System (Stage 2). </v>
      </c>
      <c r="H158" s="10" t="str">
        <f t="shared" si="6"/>
        <v xml:space="preserve">Almasri, A. e Gouveia, L. </v>
      </c>
      <c r="I158" s="10" t="str">
        <f t="shared" si="7"/>
        <v xml:space="preserve">Almasri, A. e Gouveia, L. </v>
      </c>
      <c r="J158" s="10" t="str">
        <f t="shared" si="8"/>
        <v xml:space="preserve">Almasri, A.;Gouveia, L. </v>
      </c>
      <c r="K158" s="11" t="str">
        <f ca="1">IFERROR(__xludf.DUMMYFUNCTION("SPLIT(J158,"";"")"),"Almasri, A.")</f>
        <v>Almasri, A.</v>
      </c>
      <c r="L158" s="10" t="str">
        <f ca="1">IFERROR(__xludf.DUMMYFUNCTION("""COMPUTED_VALUE"""),"Gouveia, L. ")</f>
        <v xml:space="preserve">Gouveia, L. </v>
      </c>
      <c r="M158" s="10"/>
      <c r="N158" s="10"/>
      <c r="O158" s="10"/>
      <c r="P158" s="10"/>
      <c r="Q158" s="10"/>
      <c r="R158" s="10"/>
      <c r="S158" s="10"/>
      <c r="T158" s="10"/>
      <c r="U158" s="10"/>
      <c r="V158" s="10"/>
      <c r="W158" s="10"/>
      <c r="X158" s="10"/>
      <c r="Y158" s="10"/>
      <c r="Z158" s="10"/>
    </row>
    <row r="159" spans="1:26" ht="17.25" customHeight="1" x14ac:dyDescent="0.3">
      <c r="A159" s="10" t="s">
        <v>293</v>
      </c>
      <c r="B159" s="10">
        <f t="shared" si="0"/>
        <v>27</v>
      </c>
      <c r="C159" s="8" t="str">
        <f t="shared" si="1"/>
        <v xml:space="preserve">Almasri, A. e Gouveia, L. </v>
      </c>
      <c r="D159" s="8" t="str">
        <f t="shared" si="2"/>
        <v>2009</v>
      </c>
      <c r="E159" s="10">
        <f t="shared" si="3"/>
        <v>32</v>
      </c>
      <c r="F159" s="10">
        <f t="shared" si="4"/>
        <v>172</v>
      </c>
      <c r="G159" s="8" t="str">
        <f t="shared" si="5"/>
        <v xml:space="preserve"> Adding Energy Star Rating Schema to Android Applications on Google Play Store (An Example of a Preventive Power Saving Model, stage four). </v>
      </c>
      <c r="H159" s="10" t="str">
        <f t="shared" si="6"/>
        <v xml:space="preserve">Almasri, A. e Gouveia, L. </v>
      </c>
      <c r="I159" s="10" t="str">
        <f t="shared" si="7"/>
        <v xml:space="preserve">Almasri, A. e Gouveia, L. </v>
      </c>
      <c r="J159" s="10" t="str">
        <f t="shared" si="8"/>
        <v xml:space="preserve">Almasri, A.;Gouveia, L. </v>
      </c>
      <c r="K159" s="11" t="str">
        <f ca="1">IFERROR(__xludf.DUMMYFUNCTION("SPLIT(J159,"";"")"),"Almasri, A.")</f>
        <v>Almasri, A.</v>
      </c>
      <c r="L159" s="10" t="str">
        <f ca="1">IFERROR(__xludf.DUMMYFUNCTION("""COMPUTED_VALUE"""),"Gouveia, L. ")</f>
        <v xml:space="preserve">Gouveia, L. </v>
      </c>
      <c r="M159" s="10"/>
      <c r="N159" s="10"/>
      <c r="O159" s="10"/>
      <c r="P159" s="10"/>
      <c r="Q159" s="10"/>
      <c r="R159" s="10"/>
      <c r="S159" s="10"/>
      <c r="T159" s="10"/>
      <c r="U159" s="10"/>
      <c r="V159" s="10"/>
      <c r="W159" s="10"/>
      <c r="X159" s="10"/>
      <c r="Y159" s="10"/>
      <c r="Z159" s="10"/>
    </row>
    <row r="160" spans="1:26" ht="17.25" customHeight="1" x14ac:dyDescent="0.3">
      <c r="A160" s="10" t="s">
        <v>294</v>
      </c>
      <c r="B160" s="10">
        <f t="shared" si="0"/>
        <v>13</v>
      </c>
      <c r="C160" s="8" t="str">
        <f t="shared" si="1"/>
        <v xml:space="preserve">Gouveia, L. </v>
      </c>
      <c r="D160" s="8" t="str">
        <f t="shared" si="2"/>
        <v>2019</v>
      </c>
      <c r="E160" s="10">
        <f t="shared" si="3"/>
        <v>18</v>
      </c>
      <c r="F160" s="10">
        <f t="shared" si="4"/>
        <v>37</v>
      </c>
      <c r="G160" s="8" t="str">
        <f t="shared" si="5"/>
        <v xml:space="preserve"> Livro de Resumos. </v>
      </c>
      <c r="H160" s="10" t="str">
        <f t="shared" si="6"/>
        <v xml:space="preserve">Gouveia, L. </v>
      </c>
      <c r="I160" s="10" t="str">
        <f t="shared" si="7"/>
        <v xml:space="preserve">Gouveia, L. </v>
      </c>
      <c r="J160" s="10" t="str">
        <f t="shared" si="8"/>
        <v xml:space="preserve">Gouveia, L. </v>
      </c>
      <c r="K160" s="11" t="str">
        <f ca="1">IFERROR(__xludf.DUMMYFUNCTION("SPLIT(J160,"";"")"),"Gouveia, L. ")</f>
        <v xml:space="preserve">Gouveia, L. </v>
      </c>
      <c r="L160" s="10"/>
      <c r="M160" s="10"/>
      <c r="N160" s="10"/>
      <c r="O160" s="10"/>
      <c r="P160" s="10"/>
      <c r="Q160" s="10"/>
      <c r="R160" s="10"/>
      <c r="S160" s="10"/>
      <c r="T160" s="10"/>
      <c r="U160" s="10"/>
      <c r="V160" s="10"/>
      <c r="W160" s="10"/>
      <c r="X160" s="10"/>
      <c r="Y160" s="10"/>
      <c r="Z160" s="10"/>
    </row>
    <row r="161" spans="1:26" ht="17.25" customHeight="1" x14ac:dyDescent="0.3">
      <c r="A161" s="10" t="s">
        <v>295</v>
      </c>
      <c r="B161" s="10">
        <f t="shared" si="0"/>
        <v>13</v>
      </c>
      <c r="C161" s="8" t="str">
        <f t="shared" si="1"/>
        <v xml:space="preserve">Gouveia, L. </v>
      </c>
      <c r="D161" s="8" t="str">
        <f t="shared" si="2"/>
        <v>2018</v>
      </c>
      <c r="E161" s="10">
        <f t="shared" si="3"/>
        <v>18</v>
      </c>
      <c r="F161" s="10">
        <f t="shared" si="4"/>
        <v>86</v>
      </c>
      <c r="G161" s="8" t="str">
        <f t="shared" si="5"/>
        <v xml:space="preserve"> Evento de apresentações e partilha de conhecimento PhD CC, SiTeGI. </v>
      </c>
      <c r="H161" s="10" t="str">
        <f t="shared" si="6"/>
        <v xml:space="preserve">Gouveia, L. </v>
      </c>
      <c r="I161" s="10" t="str">
        <f t="shared" si="7"/>
        <v xml:space="preserve">Gouveia, L. </v>
      </c>
      <c r="J161" s="10" t="str">
        <f t="shared" si="8"/>
        <v xml:space="preserve">Gouveia, L. </v>
      </c>
      <c r="K161" s="11" t="str">
        <f ca="1">IFERROR(__xludf.DUMMYFUNCTION("SPLIT(J161,"";"")"),"Gouveia, L. ")</f>
        <v xml:space="preserve">Gouveia, L. </v>
      </c>
      <c r="L161" s="10"/>
      <c r="M161" s="10"/>
      <c r="N161" s="10"/>
      <c r="O161" s="10"/>
      <c r="P161" s="10"/>
      <c r="Q161" s="10"/>
      <c r="R161" s="10"/>
      <c r="S161" s="10"/>
      <c r="T161" s="10"/>
      <c r="U161" s="10"/>
      <c r="V161" s="10"/>
      <c r="W161" s="10"/>
      <c r="X161" s="10"/>
      <c r="Y161" s="10"/>
      <c r="Z161" s="10"/>
    </row>
    <row r="162" spans="1:26" ht="17.25" customHeight="1" x14ac:dyDescent="0.3">
      <c r="A162" s="10" t="s">
        <v>296</v>
      </c>
      <c r="B162" s="10">
        <f t="shared" si="0"/>
        <v>13</v>
      </c>
      <c r="C162" s="8" t="str">
        <f t="shared" si="1"/>
        <v xml:space="preserve">Gouveia, L. </v>
      </c>
      <c r="D162" s="8" t="str">
        <f t="shared" si="2"/>
        <v>coor</v>
      </c>
      <c r="E162" s="10">
        <f t="shared" si="3"/>
        <v>19</v>
      </c>
      <c r="F162" s="10">
        <f t="shared" si="4"/>
        <v>28</v>
      </c>
      <c r="G162" s="8" t="str">
        <f t="shared" si="5"/>
        <v xml:space="preserve"> (2009). </v>
      </c>
      <c r="H162" s="10" t="str">
        <f t="shared" si="6"/>
        <v xml:space="preserve">Gouveia, L. </v>
      </c>
      <c r="I162" s="10" t="str">
        <f t="shared" si="7"/>
        <v xml:space="preserve">Gouveia, L. </v>
      </c>
      <c r="J162" s="10" t="str">
        <f t="shared" si="8"/>
        <v xml:space="preserve">Gouveia, L. </v>
      </c>
      <c r="K162" s="11" t="str">
        <f ca="1">IFERROR(__xludf.DUMMYFUNCTION("SPLIT(J162,"";"")"),"Gouveia, L. ")</f>
        <v xml:space="preserve">Gouveia, L. </v>
      </c>
      <c r="L162" s="10"/>
      <c r="M162" s="10"/>
      <c r="N162" s="10"/>
      <c r="O162" s="10"/>
      <c r="P162" s="10"/>
      <c r="Q162" s="10"/>
      <c r="R162" s="10"/>
      <c r="S162" s="10"/>
      <c r="T162" s="10"/>
      <c r="U162" s="10"/>
      <c r="V162" s="10"/>
      <c r="W162" s="10"/>
      <c r="X162" s="10"/>
      <c r="Y162" s="10"/>
      <c r="Z162" s="10"/>
    </row>
    <row r="163" spans="1:26" ht="17.25" customHeight="1" x14ac:dyDescent="0.3">
      <c r="A163" s="10" t="s">
        <v>297</v>
      </c>
      <c r="B163" s="10">
        <f t="shared" si="0"/>
        <v>13</v>
      </c>
      <c r="C163" s="8" t="str">
        <f t="shared" si="1"/>
        <v xml:space="preserve">Serrano, A. </v>
      </c>
      <c r="D163" s="8" t="str">
        <f t="shared" si="2"/>
        <v>reda</v>
      </c>
      <c r="E163" s="10">
        <f t="shared" si="3"/>
        <v>134</v>
      </c>
      <c r="F163" s="10">
        <f t="shared" si="4"/>
        <v>196</v>
      </c>
      <c r="G163" s="8" t="str">
        <f t="shared" si="5"/>
        <v xml:space="preserve"> O Papel da Sociedade da Informação no aproximar das Regiões. </v>
      </c>
      <c r="H163" s="10" t="str">
        <f t="shared" si="6"/>
        <v xml:space="preserve">Serrano, A. </v>
      </c>
      <c r="I163" s="10" t="str">
        <f t="shared" si="7"/>
        <v xml:space="preserve">Serrano, A. </v>
      </c>
      <c r="J163" s="10" t="str">
        <f t="shared" si="8"/>
        <v xml:space="preserve">Serrano, A. </v>
      </c>
      <c r="K163" s="11" t="str">
        <f ca="1">IFERROR(__xludf.DUMMYFUNCTION("SPLIT(J163,"";"")"),"Serrano, A. ")</f>
        <v xml:space="preserve">Serrano, A. </v>
      </c>
      <c r="L163" s="10"/>
      <c r="M163" s="10"/>
      <c r="N163" s="10"/>
      <c r="O163" s="10"/>
      <c r="P163" s="10"/>
      <c r="Q163" s="10"/>
      <c r="R163" s="10"/>
      <c r="S163" s="10"/>
      <c r="T163" s="10"/>
      <c r="U163" s="10"/>
      <c r="V163" s="10"/>
      <c r="W163" s="10"/>
      <c r="X163" s="10"/>
      <c r="Y163" s="10"/>
      <c r="Z163" s="10"/>
    </row>
    <row r="164" spans="1:26" ht="17.25" customHeight="1" x14ac:dyDescent="0.3">
      <c r="A164" s="10" t="s">
        <v>298</v>
      </c>
      <c r="B164" s="10">
        <f t="shared" si="0"/>
        <v>13</v>
      </c>
      <c r="C164" s="8" t="str">
        <f t="shared" si="1"/>
        <v xml:space="preserve">Gouveia, L. </v>
      </c>
      <c r="D164" s="8" t="str">
        <f t="shared" si="2"/>
        <v>2006</v>
      </c>
      <c r="E164" s="10">
        <f t="shared" si="3"/>
        <v>18</v>
      </c>
      <c r="F164" s="10">
        <f t="shared" si="4"/>
        <v>93</v>
      </c>
      <c r="G164" s="8" t="str">
        <f t="shared" si="5"/>
        <v xml:space="preserve"> O Contributo das Cidades e Regiões Digitais para o aproximar das regiões. </v>
      </c>
      <c r="H164" s="10" t="str">
        <f t="shared" si="6"/>
        <v xml:space="preserve">Gouveia, L. </v>
      </c>
      <c r="I164" s="10" t="str">
        <f t="shared" si="7"/>
        <v xml:space="preserve">Gouveia, L. </v>
      </c>
      <c r="J164" s="10" t="str">
        <f t="shared" si="8"/>
        <v xml:space="preserve">Gouveia, L. </v>
      </c>
      <c r="K164" s="11" t="str">
        <f ca="1">IFERROR(__xludf.DUMMYFUNCTION("SPLIT(J164,"";"")"),"Gouveia, L. ")</f>
        <v xml:space="preserve">Gouveia, L. </v>
      </c>
      <c r="L164" s="10"/>
      <c r="M164" s="10"/>
      <c r="N164" s="10"/>
      <c r="O164" s="10"/>
      <c r="P164" s="10"/>
      <c r="Q164" s="10"/>
      <c r="R164" s="10"/>
      <c r="S164" s="10"/>
      <c r="T164" s="10"/>
      <c r="U164" s="10"/>
      <c r="V164" s="10"/>
      <c r="W164" s="10"/>
      <c r="X164" s="10"/>
      <c r="Y164" s="10"/>
      <c r="Z164" s="10"/>
    </row>
    <row r="165" spans="1:26" ht="17.25" customHeight="1" x14ac:dyDescent="0.3">
      <c r="A165" s="10" t="s">
        <v>299</v>
      </c>
      <c r="B165" s="10">
        <f t="shared" si="0"/>
        <v>55</v>
      </c>
      <c r="C165" s="8" t="str">
        <f t="shared" si="1"/>
        <v xml:space="preserve">Gouveia, L. e Gouveia, J. e Amaral, L. e Carvalho, J. </v>
      </c>
      <c r="D165" s="8" t="str">
        <f t="shared" si="2"/>
        <v>2003</v>
      </c>
      <c r="E165" s="10">
        <f t="shared" si="3"/>
        <v>60</v>
      </c>
      <c r="F165" s="10">
        <f t="shared" si="4"/>
        <v>88</v>
      </c>
      <c r="G165" s="8" t="str">
        <f t="shared" si="5"/>
        <v xml:space="preserve"> Workshop Cidades Digitais. </v>
      </c>
      <c r="H165" s="10" t="str">
        <f t="shared" si="6"/>
        <v xml:space="preserve">Gouveia, L. e Gouveia, J. e Amaral, L. e Carvalho, J. </v>
      </c>
      <c r="I165" s="10" t="str">
        <f t="shared" si="7"/>
        <v xml:space="preserve">Gouveia, L. e Gouveia, J. e Amaral, L. e Carvalho, J. </v>
      </c>
      <c r="J165" s="10" t="str">
        <f t="shared" si="8"/>
        <v xml:space="preserve">Gouveia, L.;Gouveia, J.;Amaral, L.;Carvalho, J. </v>
      </c>
      <c r="K165" s="11" t="str">
        <f ca="1">IFERROR(__xludf.DUMMYFUNCTION("SPLIT(J165,"";"")"),"Gouveia, L.")</f>
        <v>Gouveia, L.</v>
      </c>
      <c r="L165" s="10" t="str">
        <f ca="1">IFERROR(__xludf.DUMMYFUNCTION("""COMPUTED_VALUE"""),"Gouveia, J.")</f>
        <v>Gouveia, J.</v>
      </c>
      <c r="M165" s="10" t="str">
        <f ca="1">IFERROR(__xludf.DUMMYFUNCTION("""COMPUTED_VALUE"""),"Amaral, L.")</f>
        <v>Amaral, L.</v>
      </c>
      <c r="N165" s="10" t="str">
        <f ca="1">IFERROR(__xludf.DUMMYFUNCTION("""COMPUTED_VALUE"""),"Carvalho, J. ")</f>
        <v xml:space="preserve">Carvalho, J. </v>
      </c>
      <c r="O165" s="10"/>
      <c r="P165" s="10"/>
      <c r="Q165" s="10"/>
      <c r="R165" s="10"/>
      <c r="S165" s="10"/>
      <c r="T165" s="10"/>
      <c r="U165" s="10"/>
      <c r="V165" s="10"/>
      <c r="W165" s="10"/>
      <c r="X165" s="10"/>
      <c r="Y165" s="10"/>
      <c r="Z165" s="10"/>
    </row>
    <row r="166" spans="1:26" ht="17.25" customHeight="1" x14ac:dyDescent="0.3">
      <c r="A166" s="7" t="s">
        <v>300</v>
      </c>
      <c r="B166" s="7" t="e">
        <f t="shared" si="0"/>
        <v>#VALUE!</v>
      </c>
      <c r="C166" s="8" t="e">
        <f t="shared" si="1"/>
        <v>#VALUE!</v>
      </c>
      <c r="D166" s="8" t="e">
        <f t="shared" si="2"/>
        <v>#VALUE!</v>
      </c>
      <c r="E166" s="10" t="e">
        <f t="shared" si="3"/>
        <v>#VALUE!</v>
      </c>
      <c r="F166" s="10" t="e">
        <f t="shared" si="4"/>
        <v>#VALUE!</v>
      </c>
      <c r="G166" s="8" t="e">
        <f t="shared" si="5"/>
        <v>#VALUE!</v>
      </c>
      <c r="H166" s="10" t="e">
        <f t="shared" si="6"/>
        <v>#VALUE!</v>
      </c>
      <c r="I166" s="10" t="e">
        <f t="shared" si="7"/>
        <v>#VALUE!</v>
      </c>
      <c r="J166" s="10" t="e">
        <f t="shared" si="8"/>
        <v>#VALUE!</v>
      </c>
      <c r="K166" s="11" t="str">
        <f ca="1">IFERROR(__xludf.DUMMYFUNCTION("SPLIT(J166,"";"")"),"#VALUE!")</f>
        <v>#VALUE!</v>
      </c>
      <c r="L166" s="7"/>
      <c r="M166" s="7"/>
      <c r="N166" s="7"/>
      <c r="O166" s="7"/>
      <c r="P166" s="7"/>
      <c r="Q166" s="7"/>
      <c r="R166" s="7"/>
      <c r="S166" s="7"/>
      <c r="T166" s="7"/>
      <c r="U166" s="7"/>
      <c r="V166" s="7"/>
      <c r="W166" s="7"/>
      <c r="X166" s="7"/>
      <c r="Y166" s="7"/>
      <c r="Z166" s="7"/>
    </row>
    <row r="167" spans="1:26" ht="17.25" customHeight="1" x14ac:dyDescent="0.3">
      <c r="A167" s="7" t="s">
        <v>301</v>
      </c>
      <c r="B167" s="7" t="e">
        <f t="shared" si="0"/>
        <v>#VALUE!</v>
      </c>
      <c r="C167" s="8" t="e">
        <f t="shared" si="1"/>
        <v>#VALUE!</v>
      </c>
      <c r="D167" s="8" t="e">
        <f t="shared" si="2"/>
        <v>#VALUE!</v>
      </c>
      <c r="E167" s="10" t="e">
        <f t="shared" si="3"/>
        <v>#VALUE!</v>
      </c>
      <c r="F167" s="10" t="e">
        <f t="shared" si="4"/>
        <v>#VALUE!</v>
      </c>
      <c r="G167" s="8" t="e">
        <f t="shared" si="5"/>
        <v>#VALUE!</v>
      </c>
      <c r="H167" s="10" t="e">
        <f t="shared" si="6"/>
        <v>#VALUE!</v>
      </c>
      <c r="I167" s="10" t="e">
        <f t="shared" si="7"/>
        <v>#VALUE!</v>
      </c>
      <c r="J167" s="10" t="e">
        <f t="shared" si="8"/>
        <v>#VALUE!</v>
      </c>
      <c r="K167" s="11" t="str">
        <f ca="1">IFERROR(__xludf.DUMMYFUNCTION("SPLIT(J167,"";"")"),"#VALUE!")</f>
        <v>#VALUE!</v>
      </c>
      <c r="L167" s="7"/>
      <c r="M167" s="7"/>
      <c r="N167" s="7"/>
      <c r="O167" s="7"/>
      <c r="P167" s="7"/>
      <c r="Q167" s="7"/>
      <c r="R167" s="7"/>
      <c r="S167" s="7"/>
      <c r="T167" s="7"/>
      <c r="U167" s="7"/>
      <c r="V167" s="7"/>
      <c r="W167" s="7"/>
      <c r="X167" s="7"/>
      <c r="Y167" s="7"/>
      <c r="Z167" s="7"/>
    </row>
    <row r="168" spans="1:26" ht="17.25" customHeight="1" x14ac:dyDescent="0.3">
      <c r="A168" s="10" t="s">
        <v>302</v>
      </c>
      <c r="B168" s="10">
        <f t="shared" si="0"/>
        <v>13</v>
      </c>
      <c r="C168" s="8" t="str">
        <f t="shared" si="1"/>
        <v xml:space="preserve">Gouveia, L. </v>
      </c>
      <c r="D168" s="8" t="str">
        <f t="shared" si="2"/>
        <v>2019</v>
      </c>
      <c r="E168" s="10">
        <f t="shared" si="3"/>
        <v>18</v>
      </c>
      <c r="F168" s="10">
        <f t="shared" si="4"/>
        <v>94</v>
      </c>
      <c r="G168" s="8" t="str">
        <f t="shared" si="5"/>
        <v xml:space="preserve"> Emerging alternatives to leadership and governance in a digital ecosystem. </v>
      </c>
      <c r="H168" s="10" t="str">
        <f t="shared" si="6"/>
        <v xml:space="preserve">Gouveia, L. </v>
      </c>
      <c r="I168" s="10" t="str">
        <f t="shared" si="7"/>
        <v xml:space="preserve">Gouveia, L. </v>
      </c>
      <c r="J168" s="10" t="str">
        <f t="shared" si="8"/>
        <v xml:space="preserve">Gouveia, L. </v>
      </c>
      <c r="K168" s="11" t="str">
        <f ca="1">IFERROR(__xludf.DUMMYFUNCTION("SPLIT(J168,"";"")"),"Gouveia, L. ")</f>
        <v xml:space="preserve">Gouveia, L. </v>
      </c>
      <c r="L168" s="10"/>
      <c r="M168" s="10"/>
      <c r="N168" s="10"/>
      <c r="O168" s="10"/>
      <c r="P168" s="10"/>
      <c r="Q168" s="10"/>
      <c r="R168" s="10"/>
      <c r="S168" s="10"/>
      <c r="T168" s="10"/>
      <c r="U168" s="10"/>
      <c r="V168" s="10"/>
      <c r="W168" s="10"/>
      <c r="X168" s="10"/>
      <c r="Y168" s="10"/>
      <c r="Z168" s="10"/>
    </row>
    <row r="169" spans="1:26" ht="17.25" customHeight="1" x14ac:dyDescent="0.3">
      <c r="A169" s="10" t="s">
        <v>303</v>
      </c>
      <c r="B169" s="10">
        <f t="shared" si="0"/>
        <v>13</v>
      </c>
      <c r="C169" s="8" t="str">
        <f t="shared" si="1"/>
        <v xml:space="preserve">Gouveia, L. </v>
      </c>
      <c r="D169" s="8" t="str">
        <f t="shared" si="2"/>
        <v>2015</v>
      </c>
      <c r="E169" s="10">
        <f t="shared" si="3"/>
        <v>18</v>
      </c>
      <c r="F169" s="10">
        <f t="shared" si="4"/>
        <v>118</v>
      </c>
      <c r="G169" s="8" t="str">
        <f t="shared" si="5"/>
        <v xml:space="preserve"> Where is the Wisdom we lost in knowledge: security issues and human relationships in social media. </v>
      </c>
      <c r="H169" s="10" t="str">
        <f t="shared" si="6"/>
        <v xml:space="preserve">Gouveia, L. </v>
      </c>
      <c r="I169" s="10" t="str">
        <f t="shared" si="7"/>
        <v xml:space="preserve">Gouveia, L. </v>
      </c>
      <c r="J169" s="10" t="str">
        <f t="shared" si="8"/>
        <v xml:space="preserve">Gouveia, L. </v>
      </c>
      <c r="K169" s="11" t="str">
        <f ca="1">IFERROR(__xludf.DUMMYFUNCTION("SPLIT(J169,"";"")"),"Gouveia, L. ")</f>
        <v xml:space="preserve">Gouveia, L. </v>
      </c>
      <c r="L169" s="10"/>
      <c r="M169" s="10"/>
      <c r="N169" s="10"/>
      <c r="O169" s="10"/>
      <c r="P169" s="10"/>
      <c r="Q169" s="10"/>
      <c r="R169" s="10"/>
      <c r="S169" s="10"/>
      <c r="T169" s="10"/>
      <c r="U169" s="10"/>
      <c r="V169" s="10"/>
      <c r="W169" s="10"/>
      <c r="X169" s="10"/>
      <c r="Y169" s="10"/>
      <c r="Z169" s="10"/>
    </row>
    <row r="170" spans="1:26" ht="17.25" customHeight="1" x14ac:dyDescent="0.3">
      <c r="A170" s="10" t="s">
        <v>304</v>
      </c>
      <c r="B170" s="10">
        <f t="shared" si="0"/>
        <v>13</v>
      </c>
      <c r="C170" s="8" t="str">
        <f t="shared" si="1"/>
        <v xml:space="preserve">Gouveia, L. </v>
      </c>
      <c r="D170" s="8" t="str">
        <f t="shared" si="2"/>
        <v>2015</v>
      </c>
      <c r="E170" s="10">
        <f t="shared" si="3"/>
        <v>18</v>
      </c>
      <c r="F170" s="10">
        <f t="shared" si="4"/>
        <v>51</v>
      </c>
      <c r="G170" s="8" t="str">
        <f t="shared" si="5"/>
        <v xml:space="preserve"> Gestão da Informação em Museus. </v>
      </c>
      <c r="H170" s="10" t="str">
        <f t="shared" si="6"/>
        <v xml:space="preserve">Gouveia, L. </v>
      </c>
      <c r="I170" s="10" t="str">
        <f t="shared" si="7"/>
        <v xml:space="preserve">Gouveia, L. </v>
      </c>
      <c r="J170" s="10" t="str">
        <f t="shared" si="8"/>
        <v xml:space="preserve">Gouveia, L. </v>
      </c>
      <c r="K170" s="11" t="str">
        <f ca="1">IFERROR(__xludf.DUMMYFUNCTION("SPLIT(J170,"";"")"),"Gouveia, L. ")</f>
        <v xml:space="preserve">Gouveia, L. </v>
      </c>
      <c r="L170" s="10"/>
      <c r="M170" s="10"/>
      <c r="N170" s="10"/>
      <c r="O170" s="10"/>
      <c r="P170" s="10"/>
      <c r="Q170" s="10"/>
      <c r="R170" s="10"/>
      <c r="S170" s="10"/>
      <c r="T170" s="10"/>
      <c r="U170" s="10"/>
      <c r="V170" s="10"/>
      <c r="W170" s="10"/>
      <c r="X170" s="10"/>
      <c r="Y170" s="10"/>
      <c r="Z170" s="10"/>
    </row>
    <row r="171" spans="1:26" ht="17.25" customHeight="1" x14ac:dyDescent="0.3">
      <c r="A171" s="10" t="s">
        <v>305</v>
      </c>
      <c r="B171" s="10">
        <f t="shared" si="0"/>
        <v>13</v>
      </c>
      <c r="C171" s="8" t="str">
        <f t="shared" si="1"/>
        <v xml:space="preserve">Gouveia, L. </v>
      </c>
      <c r="D171" s="8" t="str">
        <f t="shared" si="2"/>
        <v>2015</v>
      </c>
      <c r="E171" s="10">
        <f t="shared" si="3"/>
        <v>18</v>
      </c>
      <c r="F171" s="10">
        <f t="shared" si="4"/>
        <v>79</v>
      </c>
      <c r="G171" s="8" t="str">
        <f t="shared" si="5"/>
        <v xml:space="preserve"> Cidades Inteligentes: um novo espaço digital para a cidade. </v>
      </c>
      <c r="H171" s="10" t="str">
        <f t="shared" si="6"/>
        <v xml:space="preserve">Gouveia, L. </v>
      </c>
      <c r="I171" s="10" t="str">
        <f t="shared" si="7"/>
        <v xml:space="preserve">Gouveia, L. </v>
      </c>
      <c r="J171" s="10" t="str">
        <f t="shared" si="8"/>
        <v xml:space="preserve">Gouveia, L. </v>
      </c>
      <c r="K171" s="11" t="str">
        <f ca="1">IFERROR(__xludf.DUMMYFUNCTION("SPLIT(J171,"";"")"),"Gouveia, L. ")</f>
        <v xml:space="preserve">Gouveia, L. </v>
      </c>
      <c r="L171" s="10"/>
      <c r="M171" s="10"/>
      <c r="N171" s="10"/>
      <c r="O171" s="10"/>
      <c r="P171" s="10"/>
      <c r="Q171" s="10"/>
      <c r="R171" s="10"/>
      <c r="S171" s="10"/>
      <c r="T171" s="10"/>
      <c r="U171" s="10"/>
      <c r="V171" s="10"/>
      <c r="W171" s="10"/>
      <c r="X171" s="10"/>
      <c r="Y171" s="10"/>
      <c r="Z171" s="10"/>
    </row>
    <row r="172" spans="1:26" ht="17.25" customHeight="1" x14ac:dyDescent="0.3">
      <c r="A172" s="10" t="s">
        <v>306</v>
      </c>
      <c r="B172" s="10">
        <f t="shared" si="0"/>
        <v>13</v>
      </c>
      <c r="C172" s="8" t="str">
        <f t="shared" si="1"/>
        <v xml:space="preserve">Gouveia, L. </v>
      </c>
      <c r="D172" s="8" t="str">
        <f t="shared" si="2"/>
        <v>2013</v>
      </c>
      <c r="E172" s="10">
        <f t="shared" si="3"/>
        <v>18</v>
      </c>
      <c r="F172" s="10">
        <f t="shared" si="4"/>
        <v>105</v>
      </c>
      <c r="G172" s="8" t="str">
        <f t="shared" si="5"/>
        <v xml:space="preserve"> Informing at the new UFP Hospital playing with information and the digital challenge. </v>
      </c>
      <c r="H172" s="10" t="str">
        <f t="shared" si="6"/>
        <v xml:space="preserve">Gouveia, L. </v>
      </c>
      <c r="I172" s="10" t="str">
        <f t="shared" si="7"/>
        <v xml:space="preserve">Gouveia, L. </v>
      </c>
      <c r="J172" s="10" t="str">
        <f t="shared" si="8"/>
        <v xml:space="preserve">Gouveia, L. </v>
      </c>
      <c r="K172" s="11" t="str">
        <f ca="1">IFERROR(__xludf.DUMMYFUNCTION("SPLIT(J172,"";"")"),"Gouveia, L. ")</f>
        <v xml:space="preserve">Gouveia, L. </v>
      </c>
      <c r="L172" s="10"/>
      <c r="M172" s="10"/>
      <c r="N172" s="10"/>
      <c r="O172" s="10"/>
      <c r="P172" s="10"/>
      <c r="Q172" s="10"/>
      <c r="R172" s="10"/>
      <c r="S172" s="10"/>
      <c r="T172" s="10"/>
      <c r="U172" s="10"/>
      <c r="V172" s="10"/>
      <c r="W172" s="10"/>
      <c r="X172" s="10"/>
      <c r="Y172" s="10"/>
      <c r="Z172" s="10"/>
    </row>
    <row r="173" spans="1:26" ht="17.25" customHeight="1" x14ac:dyDescent="0.3">
      <c r="A173" s="7" t="s">
        <v>307</v>
      </c>
      <c r="B173" s="7" t="e">
        <f t="shared" si="0"/>
        <v>#VALUE!</v>
      </c>
      <c r="C173" s="8" t="e">
        <f t="shared" si="1"/>
        <v>#VALUE!</v>
      </c>
      <c r="D173" s="8" t="e">
        <f t="shared" si="2"/>
        <v>#VALUE!</v>
      </c>
      <c r="E173" s="10" t="e">
        <f t="shared" si="3"/>
        <v>#VALUE!</v>
      </c>
      <c r="F173" s="10" t="e">
        <f t="shared" si="4"/>
        <v>#VALUE!</v>
      </c>
      <c r="G173" s="8" t="e">
        <f t="shared" si="5"/>
        <v>#VALUE!</v>
      </c>
      <c r="H173" s="10" t="e">
        <f t="shared" si="6"/>
        <v>#VALUE!</v>
      </c>
      <c r="I173" s="10" t="e">
        <f t="shared" si="7"/>
        <v>#VALUE!</v>
      </c>
      <c r="J173" s="10" t="e">
        <f t="shared" si="8"/>
        <v>#VALUE!</v>
      </c>
      <c r="K173" s="11" t="str">
        <f ca="1">IFERROR(__xludf.DUMMYFUNCTION("SPLIT(J173,"";"")"),"#VALUE!")</f>
        <v>#VALUE!</v>
      </c>
      <c r="L173" s="7"/>
      <c r="M173" s="7"/>
      <c r="N173" s="7"/>
      <c r="O173" s="7"/>
      <c r="P173" s="7"/>
      <c r="Q173" s="7"/>
      <c r="R173" s="7"/>
      <c r="S173" s="7"/>
      <c r="T173" s="7"/>
      <c r="U173" s="7"/>
      <c r="V173" s="7"/>
      <c r="W173" s="7"/>
      <c r="X173" s="7"/>
      <c r="Y173" s="7"/>
      <c r="Z173" s="7"/>
    </row>
    <row r="174" spans="1:26" ht="17.25" customHeight="1" x14ac:dyDescent="0.3">
      <c r="A174" s="10" t="s">
        <v>308</v>
      </c>
      <c r="B174" s="10">
        <f t="shared" si="0"/>
        <v>27</v>
      </c>
      <c r="C174" s="8" t="str">
        <f t="shared" si="1"/>
        <v xml:space="preserve">Martins, E. e Gouveia, L. </v>
      </c>
      <c r="D174" s="8" t="str">
        <f t="shared" si="2"/>
        <v>2019</v>
      </c>
      <c r="E174" s="10">
        <f t="shared" si="3"/>
        <v>32</v>
      </c>
      <c r="F174" s="10">
        <f t="shared" si="4"/>
        <v>123</v>
      </c>
      <c r="G174" s="8" t="str">
        <f t="shared" si="5"/>
        <v xml:space="preserve"> Uso da Ferramenta Kahoot Transformando a Aula do Ensino Médio em um Game de Conhecimento. </v>
      </c>
      <c r="H174" s="10" t="str">
        <f t="shared" si="6"/>
        <v xml:space="preserve">Martins, E. e Gouveia, L. </v>
      </c>
      <c r="I174" s="10" t="str">
        <f t="shared" si="7"/>
        <v xml:space="preserve">Martins, E. e Gouveia, L. </v>
      </c>
      <c r="J174" s="10" t="str">
        <f t="shared" si="8"/>
        <v xml:space="preserve">Martins, E.;Gouveia, L. </v>
      </c>
      <c r="K174" s="11" t="str">
        <f ca="1">IFERROR(__xludf.DUMMYFUNCTION("SPLIT(J174,"";"")"),"Martins, E.")</f>
        <v>Martins, E.</v>
      </c>
      <c r="L174" s="10" t="str">
        <f ca="1">IFERROR(__xludf.DUMMYFUNCTION("""COMPUTED_VALUE"""),"Gouveia, L. ")</f>
        <v xml:space="preserve">Gouveia, L. </v>
      </c>
      <c r="M174" s="10"/>
      <c r="N174" s="10"/>
      <c r="O174" s="10"/>
      <c r="P174" s="10"/>
      <c r="Q174" s="10"/>
      <c r="R174" s="10"/>
      <c r="S174" s="10"/>
      <c r="T174" s="10"/>
      <c r="U174" s="10"/>
      <c r="V174" s="10"/>
      <c r="W174" s="10"/>
      <c r="X174" s="10"/>
      <c r="Y174" s="10"/>
      <c r="Z174" s="10"/>
    </row>
    <row r="175" spans="1:26" ht="17.25" customHeight="1" x14ac:dyDescent="0.3">
      <c r="A175" s="10" t="s">
        <v>309</v>
      </c>
      <c r="B175" s="10">
        <f t="shared" si="0"/>
        <v>27</v>
      </c>
      <c r="C175" s="8" t="str">
        <f t="shared" si="1"/>
        <v xml:space="preserve">Martins, E. e Gouveia, L. </v>
      </c>
      <c r="D175" s="8" t="str">
        <f t="shared" si="2"/>
        <v>2019</v>
      </c>
      <c r="E175" s="10">
        <f t="shared" si="3"/>
        <v>32</v>
      </c>
      <c r="F175" s="10">
        <f t="shared" si="4"/>
        <v>103</v>
      </c>
      <c r="G175" s="8" t="str">
        <f t="shared" si="5"/>
        <v xml:space="preserve"> Modelo Pedagógico ML-SAI: Uma Atividade Experimental no Ensino Médio. </v>
      </c>
      <c r="H175" s="10" t="str">
        <f t="shared" si="6"/>
        <v xml:space="preserve">Martins, E. e Gouveia, L. </v>
      </c>
      <c r="I175" s="10" t="str">
        <f t="shared" si="7"/>
        <v xml:space="preserve">Martins, E. e Gouveia, L. </v>
      </c>
      <c r="J175" s="10" t="str">
        <f t="shared" si="8"/>
        <v xml:space="preserve">Martins, E.;Gouveia, L. </v>
      </c>
      <c r="K175" s="11" t="str">
        <f ca="1">IFERROR(__xludf.DUMMYFUNCTION("SPLIT(J175,"";"")"),"Martins, E.")</f>
        <v>Martins, E.</v>
      </c>
      <c r="L175" s="10" t="str">
        <f ca="1">IFERROR(__xludf.DUMMYFUNCTION("""COMPUTED_VALUE"""),"Gouveia, L. ")</f>
        <v xml:space="preserve">Gouveia, L. </v>
      </c>
      <c r="M175" s="10"/>
      <c r="N175" s="10"/>
      <c r="O175" s="10"/>
      <c r="P175" s="10"/>
      <c r="Q175" s="10"/>
      <c r="R175" s="10"/>
      <c r="S175" s="10"/>
      <c r="T175" s="10"/>
      <c r="U175" s="10"/>
      <c r="V175" s="10"/>
      <c r="W175" s="10"/>
      <c r="X175" s="10"/>
      <c r="Y175" s="10"/>
      <c r="Z175" s="10"/>
    </row>
    <row r="176" spans="1:26" ht="17.25" customHeight="1" x14ac:dyDescent="0.3">
      <c r="A176" s="10" t="s">
        <v>310</v>
      </c>
      <c r="B176" s="10">
        <f t="shared" si="0"/>
        <v>25</v>
      </c>
      <c r="C176" s="8" t="str">
        <f t="shared" si="1"/>
        <v xml:space="preserve">Rocha, D. e Gouveia, L. </v>
      </c>
      <c r="D176" s="8" t="str">
        <f t="shared" si="2"/>
        <v>2019</v>
      </c>
      <c r="E176" s="10">
        <f t="shared" si="3"/>
        <v>30</v>
      </c>
      <c r="F176" s="10">
        <f t="shared" si="4"/>
        <v>147</v>
      </c>
      <c r="G176" s="8" t="str">
        <f t="shared" si="5"/>
        <v xml:space="preserve"> Gestão do Conhecimento e Produção de Conteúdo para a Educação a Distância: Estado da Arte em um Período de 14 anos. </v>
      </c>
      <c r="H176" s="10" t="str">
        <f t="shared" si="6"/>
        <v xml:space="preserve">Rocha, D. e Gouveia, L. </v>
      </c>
      <c r="I176" s="10" t="str">
        <f t="shared" si="7"/>
        <v xml:space="preserve">Rocha, D. e Gouveia, L. </v>
      </c>
      <c r="J176" s="10" t="str">
        <f t="shared" si="8"/>
        <v xml:space="preserve">Rocha, D.;Gouveia, L. </v>
      </c>
      <c r="K176" s="11" t="str">
        <f ca="1">IFERROR(__xludf.DUMMYFUNCTION("SPLIT(J176,"";"")"),"Rocha, D.")</f>
        <v>Rocha, D.</v>
      </c>
      <c r="L176" s="10" t="str">
        <f ca="1">IFERROR(__xludf.DUMMYFUNCTION("""COMPUTED_VALUE"""),"Gouveia, L. ")</f>
        <v xml:space="preserve">Gouveia, L. </v>
      </c>
      <c r="M176" s="10"/>
      <c r="N176" s="10"/>
      <c r="O176" s="10"/>
      <c r="P176" s="10"/>
      <c r="Q176" s="10"/>
      <c r="R176" s="10"/>
      <c r="S176" s="10"/>
      <c r="T176" s="10"/>
      <c r="U176" s="10"/>
      <c r="V176" s="10"/>
      <c r="W176" s="10"/>
      <c r="X176" s="10"/>
      <c r="Y176" s="10"/>
      <c r="Z176" s="10"/>
    </row>
    <row r="177" spans="1:26" ht="17.25" customHeight="1" x14ac:dyDescent="0.3">
      <c r="A177" s="10" t="s">
        <v>311</v>
      </c>
      <c r="B177" s="10">
        <f t="shared" si="0"/>
        <v>25</v>
      </c>
      <c r="C177" s="8" t="str">
        <f t="shared" si="1"/>
        <v xml:space="preserve">Rocha, D. e Gouveia, L. </v>
      </c>
      <c r="D177" s="8" t="str">
        <f t="shared" si="2"/>
        <v>2019</v>
      </c>
      <c r="E177" s="10">
        <f t="shared" si="3"/>
        <v>30</v>
      </c>
      <c r="F177" s="10">
        <f t="shared" si="4"/>
        <v>110</v>
      </c>
      <c r="G177" s="8" t="str">
        <f t="shared" si="5"/>
        <v xml:space="preserve"> Curadoria Digital de Conteúdo EAD para o Ensino Superior: Proposta e Desafios. </v>
      </c>
      <c r="H177" s="10" t="str">
        <f t="shared" si="6"/>
        <v xml:space="preserve">Rocha, D. e Gouveia, L. </v>
      </c>
      <c r="I177" s="10" t="str">
        <f t="shared" si="7"/>
        <v xml:space="preserve">Rocha, D. e Gouveia, L. </v>
      </c>
      <c r="J177" s="10" t="str">
        <f t="shared" si="8"/>
        <v xml:space="preserve">Rocha, D.;Gouveia, L. </v>
      </c>
      <c r="K177" s="11" t="str">
        <f ca="1">IFERROR(__xludf.DUMMYFUNCTION("SPLIT(J177,"";"")"),"Rocha, D.")</f>
        <v>Rocha, D.</v>
      </c>
      <c r="L177" s="10" t="str">
        <f ca="1">IFERROR(__xludf.DUMMYFUNCTION("""COMPUTED_VALUE"""),"Gouveia, L. ")</f>
        <v xml:space="preserve">Gouveia, L. </v>
      </c>
      <c r="M177" s="10"/>
      <c r="N177" s="10"/>
      <c r="O177" s="10"/>
      <c r="P177" s="10"/>
      <c r="Q177" s="10"/>
      <c r="R177" s="10"/>
      <c r="S177" s="10"/>
      <c r="T177" s="10"/>
      <c r="U177" s="10"/>
      <c r="V177" s="10"/>
      <c r="W177" s="10"/>
      <c r="X177" s="10"/>
      <c r="Y177" s="10"/>
      <c r="Z177" s="10"/>
    </row>
    <row r="178" spans="1:26" ht="17.25" customHeight="1" x14ac:dyDescent="0.3">
      <c r="A178" s="10" t="s">
        <v>312</v>
      </c>
      <c r="B178" s="10">
        <f t="shared" si="0"/>
        <v>25</v>
      </c>
      <c r="C178" s="8" t="str">
        <f t="shared" si="1"/>
        <v xml:space="preserve">Rocha, C. e Gouveia, L. </v>
      </c>
      <c r="D178" s="8" t="str">
        <f t="shared" si="2"/>
        <v>2019</v>
      </c>
      <c r="E178" s="10">
        <f t="shared" si="3"/>
        <v>30</v>
      </c>
      <c r="F178" s="10">
        <f t="shared" si="4"/>
        <v>99</v>
      </c>
      <c r="G178" s="8" t="str">
        <f t="shared" si="5"/>
        <v xml:space="preserve"> Uso de Live Stream em Ensino Superior Stricto Sensu no Brasil/UFPR. </v>
      </c>
      <c r="H178" s="10" t="str">
        <f t="shared" si="6"/>
        <v xml:space="preserve">Rocha, C. e Gouveia, L. </v>
      </c>
      <c r="I178" s="10" t="str">
        <f t="shared" si="7"/>
        <v xml:space="preserve">Rocha, C. e Gouveia, L. </v>
      </c>
      <c r="J178" s="10" t="str">
        <f t="shared" si="8"/>
        <v xml:space="preserve">Rocha, C.;Gouveia, L. </v>
      </c>
      <c r="K178" s="11" t="str">
        <f ca="1">IFERROR(__xludf.DUMMYFUNCTION("SPLIT(J178,"";"")"),"Rocha, C.")</f>
        <v>Rocha, C.</v>
      </c>
      <c r="L178" s="10" t="str">
        <f ca="1">IFERROR(__xludf.DUMMYFUNCTION("""COMPUTED_VALUE"""),"Gouveia, L. ")</f>
        <v xml:space="preserve">Gouveia, L. </v>
      </c>
      <c r="M178" s="10"/>
      <c r="N178" s="10"/>
      <c r="O178" s="10"/>
      <c r="P178" s="10"/>
      <c r="Q178" s="10"/>
      <c r="R178" s="10"/>
      <c r="S178" s="10"/>
      <c r="T178" s="10"/>
      <c r="U178" s="10"/>
      <c r="V178" s="10"/>
      <c r="W178" s="10"/>
      <c r="X178" s="10"/>
      <c r="Y178" s="10"/>
      <c r="Z178" s="10"/>
    </row>
    <row r="179" spans="1:26" ht="17.25" customHeight="1" x14ac:dyDescent="0.3">
      <c r="A179" s="10" t="s">
        <v>313</v>
      </c>
      <c r="B179" s="10">
        <f t="shared" si="0"/>
        <v>39</v>
      </c>
      <c r="C179" s="8" t="str">
        <f t="shared" si="1"/>
        <v xml:space="preserve">Cavaignac, S.; Gouveia, L. e Reis, P. </v>
      </c>
      <c r="D179" s="8" t="str">
        <f t="shared" si="2"/>
        <v>2019</v>
      </c>
      <c r="E179" s="10">
        <f t="shared" si="3"/>
        <v>44</v>
      </c>
      <c r="F179" s="10">
        <f t="shared" si="4"/>
        <v>193</v>
      </c>
      <c r="G179" s="8" t="str">
        <f t="shared" si="5"/>
        <v xml:space="preserve"> Uso do KAHOOT e de Estratégia de Gamificação no Ensino Superior: Relato de Experiência da Aplicação do Peer Instruction como Metodologia de Ensino. </v>
      </c>
      <c r="H179" s="10" t="str">
        <f t="shared" si="6"/>
        <v xml:space="preserve">Cavaignac, S.; Gouveia, L. e Reis, P. </v>
      </c>
      <c r="I179" s="10" t="str">
        <f t="shared" si="7"/>
        <v xml:space="preserve">Cavaignac, S.; Gouveia, L. e Reis, P. </v>
      </c>
      <c r="J179" s="10" t="str">
        <f t="shared" si="8"/>
        <v xml:space="preserve">Cavaignac, S.; Gouveia, L.;Reis, P. </v>
      </c>
      <c r="K179" s="11" t="str">
        <f ca="1">IFERROR(__xludf.DUMMYFUNCTION("SPLIT(J179,"";"")"),"Cavaignac, S.")</f>
        <v>Cavaignac, S.</v>
      </c>
      <c r="L179" s="10" t="str">
        <f ca="1">IFERROR(__xludf.DUMMYFUNCTION("""COMPUTED_VALUE""")," Gouveia, L.")</f>
        <v xml:space="preserve"> Gouveia, L.</v>
      </c>
      <c r="M179" s="10" t="str">
        <f ca="1">IFERROR(__xludf.DUMMYFUNCTION("""COMPUTED_VALUE"""),"Reis, P. ")</f>
        <v xml:space="preserve">Reis, P. </v>
      </c>
      <c r="N179" s="10"/>
      <c r="O179" s="10"/>
      <c r="P179" s="10"/>
      <c r="Q179" s="10"/>
      <c r="R179" s="10"/>
      <c r="S179" s="10"/>
      <c r="T179" s="10"/>
      <c r="U179" s="10"/>
      <c r="V179" s="10"/>
      <c r="W179" s="10"/>
      <c r="X179" s="10"/>
      <c r="Y179" s="10"/>
      <c r="Z179" s="10"/>
    </row>
    <row r="180" spans="1:26" ht="17.25" customHeight="1" x14ac:dyDescent="0.3">
      <c r="A180" s="10" t="s">
        <v>314</v>
      </c>
      <c r="B180" s="10">
        <f t="shared" si="0"/>
        <v>24</v>
      </c>
      <c r="C180" s="8" t="str">
        <f t="shared" si="1"/>
        <v xml:space="preserve">Lima, E. e Gouveia, L. </v>
      </c>
      <c r="D180" s="8" t="str">
        <f t="shared" si="2"/>
        <v>2019</v>
      </c>
      <c r="E180" s="10">
        <f t="shared" si="3"/>
        <v>29</v>
      </c>
      <c r="F180" s="10">
        <f t="shared" si="4"/>
        <v>137</v>
      </c>
      <c r="G180" s="8" t="str">
        <f t="shared" si="5"/>
        <v xml:space="preserve"> Direito à Informação: uma análise sob a ótica do direito à informação do portal da transparência do Ceará. </v>
      </c>
      <c r="H180" s="10" t="str">
        <f t="shared" si="6"/>
        <v xml:space="preserve">Lima, E. e Gouveia, L. </v>
      </c>
      <c r="I180" s="10" t="str">
        <f t="shared" si="7"/>
        <v xml:space="preserve">Lima, E. e Gouveia, L. </v>
      </c>
      <c r="J180" s="10" t="str">
        <f t="shared" si="8"/>
        <v xml:space="preserve">Lima, E.;Gouveia, L. </v>
      </c>
      <c r="K180" s="11" t="str">
        <f ca="1">IFERROR(__xludf.DUMMYFUNCTION("SPLIT(J180,"";"")"),"Lima, E.")</f>
        <v>Lima, E.</v>
      </c>
      <c r="L180" s="10" t="str">
        <f ca="1">IFERROR(__xludf.DUMMYFUNCTION("""COMPUTED_VALUE"""),"Gouveia, L. ")</f>
        <v xml:space="preserve">Gouveia, L. </v>
      </c>
      <c r="M180" s="10"/>
      <c r="N180" s="10"/>
      <c r="O180" s="10"/>
      <c r="P180" s="10"/>
      <c r="Q180" s="10"/>
      <c r="R180" s="10"/>
      <c r="S180" s="10"/>
      <c r="T180" s="10"/>
      <c r="U180" s="10"/>
      <c r="V180" s="10"/>
      <c r="W180" s="10"/>
      <c r="X180" s="10"/>
      <c r="Y180" s="10"/>
      <c r="Z180" s="10"/>
    </row>
    <row r="181" spans="1:26" ht="17.25" customHeight="1" x14ac:dyDescent="0.3">
      <c r="A181" s="10" t="s">
        <v>315</v>
      </c>
      <c r="B181" s="10">
        <f t="shared" si="0"/>
        <v>24</v>
      </c>
      <c r="C181" s="8" t="str">
        <f t="shared" si="1"/>
        <v xml:space="preserve">Rocha, D e Gouveia, L. </v>
      </c>
      <c r="D181" s="8" t="str">
        <f t="shared" si="2"/>
        <v>2019</v>
      </c>
      <c r="E181" s="10">
        <f t="shared" si="3"/>
        <v>29</v>
      </c>
      <c r="F181" s="10">
        <f t="shared" si="4"/>
        <v>137</v>
      </c>
      <c r="G181" s="8" t="str">
        <f t="shared" si="5"/>
        <v xml:space="preserve"> Curadoria de Conteúdo para Educação a Distância: Modelo de Referencia de Qualidade para o Ensino Superior. </v>
      </c>
      <c r="H181" s="10" t="str">
        <f t="shared" si="6"/>
        <v xml:space="preserve">Rocha, D e Gouveia, L. </v>
      </c>
      <c r="I181" s="10" t="str">
        <f t="shared" si="7"/>
        <v xml:space="preserve">Rocha, D e Gouveia, L. </v>
      </c>
      <c r="J181" s="10" t="str">
        <f t="shared" si="8"/>
        <v xml:space="preserve">Rocha, D;Gouveia, L. </v>
      </c>
      <c r="K181" s="11" t="str">
        <f ca="1">IFERROR(__xludf.DUMMYFUNCTION("SPLIT(J181,"";"")"),"Rocha, D")</f>
        <v>Rocha, D</v>
      </c>
      <c r="L181" s="10" t="str">
        <f ca="1">IFERROR(__xludf.DUMMYFUNCTION("""COMPUTED_VALUE"""),"Gouveia, L. ")</f>
        <v xml:space="preserve">Gouveia, L. </v>
      </c>
      <c r="M181" s="10"/>
      <c r="N181" s="10"/>
      <c r="O181" s="10"/>
      <c r="P181" s="10"/>
      <c r="Q181" s="10"/>
      <c r="R181" s="10"/>
      <c r="S181" s="10"/>
      <c r="T181" s="10"/>
      <c r="U181" s="10"/>
      <c r="V181" s="10"/>
      <c r="W181" s="10"/>
      <c r="X181" s="10"/>
      <c r="Y181" s="10"/>
      <c r="Z181" s="10"/>
    </row>
    <row r="182" spans="1:26" ht="17.25" customHeight="1" x14ac:dyDescent="0.3">
      <c r="A182" s="10" t="s">
        <v>316</v>
      </c>
      <c r="B182" s="10">
        <f t="shared" si="0"/>
        <v>25</v>
      </c>
      <c r="C182" s="8" t="str">
        <f t="shared" si="1"/>
        <v xml:space="preserve">Rocha, C. e Gouveia, L. </v>
      </c>
      <c r="D182" s="8" t="str">
        <f t="shared" si="2"/>
        <v>2019</v>
      </c>
      <c r="E182" s="10">
        <f t="shared" si="3"/>
        <v>30</v>
      </c>
      <c r="F182" s="10">
        <f t="shared" si="4"/>
        <v>90</v>
      </c>
      <c r="G182" s="8" t="str">
        <f t="shared" si="5"/>
        <v xml:space="preserve"> Stream Media: Caso de Estudo no Ensino Superior no Brasil. </v>
      </c>
      <c r="H182" s="10" t="str">
        <f t="shared" si="6"/>
        <v xml:space="preserve">Rocha, C. e Gouveia, L. </v>
      </c>
      <c r="I182" s="10" t="str">
        <f t="shared" si="7"/>
        <v xml:space="preserve">Rocha, C. e Gouveia, L. </v>
      </c>
      <c r="J182" s="10" t="str">
        <f t="shared" si="8"/>
        <v xml:space="preserve">Rocha, C.;Gouveia, L. </v>
      </c>
      <c r="K182" s="11" t="str">
        <f ca="1">IFERROR(__xludf.DUMMYFUNCTION("SPLIT(J182,"";"")"),"Rocha, C.")</f>
        <v>Rocha, C.</v>
      </c>
      <c r="L182" s="10" t="str">
        <f ca="1">IFERROR(__xludf.DUMMYFUNCTION("""COMPUTED_VALUE"""),"Gouveia, L. ")</f>
        <v xml:space="preserve">Gouveia, L. </v>
      </c>
      <c r="M182" s="10"/>
      <c r="N182" s="10"/>
      <c r="O182" s="10"/>
      <c r="P182" s="10"/>
      <c r="Q182" s="10"/>
      <c r="R182" s="10"/>
      <c r="S182" s="10"/>
      <c r="T182" s="10"/>
      <c r="U182" s="10"/>
      <c r="V182" s="10"/>
      <c r="W182" s="10"/>
      <c r="X182" s="10"/>
      <c r="Y182" s="10"/>
      <c r="Z182" s="10"/>
    </row>
    <row r="183" spans="1:26" ht="17.25" customHeight="1" x14ac:dyDescent="0.3">
      <c r="A183" s="10" t="s">
        <v>317</v>
      </c>
      <c r="B183" s="10">
        <f t="shared" si="0"/>
        <v>26</v>
      </c>
      <c r="C183" s="8" t="str">
        <f t="shared" si="1"/>
        <v xml:space="preserve">Barros, V. e Gouveia, L. </v>
      </c>
      <c r="D183" s="8" t="str">
        <f t="shared" si="2"/>
        <v>2019</v>
      </c>
      <c r="E183" s="10">
        <f t="shared" si="3"/>
        <v>31</v>
      </c>
      <c r="F183" s="10">
        <f t="shared" si="4"/>
        <v>148</v>
      </c>
      <c r="G183" s="8" t="str">
        <f t="shared" si="5"/>
        <v xml:space="preserve"> Contribuição para a medição de iniciativas de Inovação Social, o seu Impacto, Escala e Desenvolvimento Sustentável. </v>
      </c>
      <c r="H183" s="10" t="str">
        <f t="shared" si="6"/>
        <v xml:space="preserve">Barros, V. e Gouveia, L. </v>
      </c>
      <c r="I183" s="10" t="str">
        <f t="shared" si="7"/>
        <v xml:space="preserve">Barros, V. e Gouveia, L. </v>
      </c>
      <c r="J183" s="10" t="str">
        <f t="shared" si="8"/>
        <v xml:space="preserve">Barros, V.;Gouveia, L. </v>
      </c>
      <c r="K183" s="11" t="str">
        <f ca="1">IFERROR(__xludf.DUMMYFUNCTION("SPLIT(J183,"";"")"),"Barros, V.")</f>
        <v>Barros, V.</v>
      </c>
      <c r="L183" s="10" t="str">
        <f ca="1">IFERROR(__xludf.DUMMYFUNCTION("""COMPUTED_VALUE"""),"Gouveia, L. ")</f>
        <v xml:space="preserve">Gouveia, L. </v>
      </c>
      <c r="M183" s="10"/>
      <c r="N183" s="10"/>
      <c r="O183" s="10"/>
      <c r="P183" s="10"/>
      <c r="Q183" s="10"/>
      <c r="R183" s="10"/>
      <c r="S183" s="10"/>
      <c r="T183" s="10"/>
      <c r="U183" s="10"/>
      <c r="V183" s="10"/>
      <c r="W183" s="10"/>
      <c r="X183" s="10"/>
      <c r="Y183" s="10"/>
      <c r="Z183" s="10"/>
    </row>
    <row r="184" spans="1:26" ht="17.25" customHeight="1" x14ac:dyDescent="0.3">
      <c r="A184" s="10" t="s">
        <v>318</v>
      </c>
      <c r="B184" s="10">
        <f t="shared" si="0"/>
        <v>52</v>
      </c>
      <c r="C184" s="8" t="str">
        <f t="shared" si="1"/>
        <v xml:space="preserve">Braga, L.; Oliveira, F.; Madruga, E. e Gouveia, L. </v>
      </c>
      <c r="D184" s="8" t="str">
        <f t="shared" si="2"/>
        <v>2019</v>
      </c>
      <c r="E184" s="10">
        <f t="shared" si="3"/>
        <v>57</v>
      </c>
      <c r="F184" s="10">
        <f t="shared" si="4"/>
        <v>245</v>
      </c>
      <c r="G184" s="8" t="str">
        <f t="shared" si="5"/>
        <v xml:space="preserve"> Inteligência artificial como solução para classificação fiscal: um estudo de caso sobre os impactos das tecnologias digitais sobre os cinco domínios fundamentais da estratégia a inserir. </v>
      </c>
      <c r="H184" s="10" t="str">
        <f t="shared" si="6"/>
        <v xml:space="preserve">Braga, L.; Oliveira, F.; Madruga, E. e Gouveia, L. </v>
      </c>
      <c r="I184" s="10" t="str">
        <f t="shared" si="7"/>
        <v xml:space="preserve">Braga, L.; Oliveira, F.; Madruga, E. e Gouveia, L. </v>
      </c>
      <c r="J184" s="10" t="str">
        <f t="shared" si="8"/>
        <v xml:space="preserve">Braga, L.; Oliveira, F.; Madruga, E.;Gouveia, L. </v>
      </c>
      <c r="K184" s="11" t="str">
        <f ca="1">IFERROR(__xludf.DUMMYFUNCTION("SPLIT(J184,"";"")"),"Braga, L.")</f>
        <v>Braga, L.</v>
      </c>
      <c r="L184" s="10" t="str">
        <f ca="1">IFERROR(__xludf.DUMMYFUNCTION("""COMPUTED_VALUE""")," Oliveira, F.")</f>
        <v xml:space="preserve"> Oliveira, F.</v>
      </c>
      <c r="M184" s="10" t="str">
        <f ca="1">IFERROR(__xludf.DUMMYFUNCTION("""COMPUTED_VALUE""")," Madruga, E.")</f>
        <v xml:space="preserve"> Madruga, E.</v>
      </c>
      <c r="N184" s="10" t="str">
        <f ca="1">IFERROR(__xludf.DUMMYFUNCTION("""COMPUTED_VALUE"""),"Gouveia, L. ")</f>
        <v xml:space="preserve">Gouveia, L. </v>
      </c>
      <c r="O184" s="10"/>
      <c r="P184" s="10"/>
      <c r="Q184" s="10"/>
      <c r="R184" s="10"/>
      <c r="S184" s="10"/>
      <c r="T184" s="10"/>
      <c r="U184" s="10"/>
      <c r="V184" s="10"/>
      <c r="W184" s="10"/>
      <c r="X184" s="10"/>
      <c r="Y184" s="10"/>
      <c r="Z184" s="10"/>
    </row>
    <row r="185" spans="1:26" ht="17.25" customHeight="1" x14ac:dyDescent="0.3">
      <c r="A185" s="10" t="s">
        <v>319</v>
      </c>
      <c r="B185" s="10">
        <f t="shared" si="0"/>
        <v>37</v>
      </c>
      <c r="C185" s="8" t="str">
        <f t="shared" si="1"/>
        <v xml:space="preserve">Araujo, P.; Gouveia, L. e Toldy, T. </v>
      </c>
      <c r="D185" s="8" t="str">
        <f t="shared" si="2"/>
        <v>2019</v>
      </c>
      <c r="E185" s="10">
        <f t="shared" si="3"/>
        <v>42</v>
      </c>
      <c r="F185" s="10">
        <f t="shared" si="4"/>
        <v>124</v>
      </c>
      <c r="G185" s="8" t="str">
        <f t="shared" si="5"/>
        <v xml:space="preserve"> Modelo Z: uma proposta para a construção colaborativa de uma plataforma digital. </v>
      </c>
      <c r="H185" s="10" t="str">
        <f t="shared" si="6"/>
        <v xml:space="preserve">Araujo, P.; Gouveia, L. e Toldy, T. </v>
      </c>
      <c r="I185" s="10" t="str">
        <f t="shared" si="7"/>
        <v xml:space="preserve">Araujo, P.; Gouveia, L. e Toldy, T. </v>
      </c>
      <c r="J185" s="10" t="str">
        <f t="shared" si="8"/>
        <v xml:space="preserve">Araujo, P.; Gouveia, L.;Toldy, T. </v>
      </c>
      <c r="K185" s="11" t="str">
        <f ca="1">IFERROR(__xludf.DUMMYFUNCTION("SPLIT(J185,"";"")"),"Araujo, P.")</f>
        <v>Araujo, P.</v>
      </c>
      <c r="L185" s="10" t="str">
        <f ca="1">IFERROR(__xludf.DUMMYFUNCTION("""COMPUTED_VALUE""")," Gouveia, L.")</f>
        <v xml:space="preserve"> Gouveia, L.</v>
      </c>
      <c r="M185" s="10" t="str">
        <f ca="1">IFERROR(__xludf.DUMMYFUNCTION("""COMPUTED_VALUE"""),"Toldy, T. ")</f>
        <v xml:space="preserve">Toldy, T. </v>
      </c>
      <c r="N185" s="10"/>
      <c r="O185" s="10"/>
      <c r="P185" s="10"/>
      <c r="Q185" s="10"/>
      <c r="R185" s="10"/>
      <c r="S185" s="10"/>
      <c r="T185" s="10"/>
      <c r="U185" s="10"/>
      <c r="V185" s="10"/>
      <c r="W185" s="10"/>
      <c r="X185" s="10"/>
      <c r="Y185" s="10"/>
      <c r="Z185" s="10"/>
    </row>
    <row r="186" spans="1:26" ht="17.25" customHeight="1" x14ac:dyDescent="0.3">
      <c r="A186" s="10" t="s">
        <v>320</v>
      </c>
      <c r="B186" s="10">
        <f t="shared" si="0"/>
        <v>28</v>
      </c>
      <c r="C186" s="8" t="str">
        <f t="shared" si="1"/>
        <v xml:space="preserve">Carvalho, M. e Gouveia, L. </v>
      </c>
      <c r="D186" s="8" t="str">
        <f t="shared" si="2"/>
        <v>2019</v>
      </c>
      <c r="E186" s="10">
        <f t="shared" si="3"/>
        <v>33</v>
      </c>
      <c r="F186" s="10">
        <f t="shared" si="4"/>
        <v>181</v>
      </c>
      <c r="G186" s="8" t="str">
        <f t="shared" si="5"/>
        <v xml:space="preserve"> A Gestão do Conhecimento em face dos Fluxos Informacionais em contexto de fluidez – Uma investigação em uma organização civil sem fins lucrativos. </v>
      </c>
      <c r="H186" s="10" t="str">
        <f t="shared" si="6"/>
        <v xml:space="preserve">Carvalho, M. e Gouveia, L. </v>
      </c>
      <c r="I186" s="10" t="str">
        <f t="shared" si="7"/>
        <v xml:space="preserve">Carvalho, M. e Gouveia, L. </v>
      </c>
      <c r="J186" s="10" t="str">
        <f t="shared" si="8"/>
        <v xml:space="preserve">Carvalho, M.;Gouveia, L. </v>
      </c>
      <c r="K186" s="11" t="str">
        <f ca="1">IFERROR(__xludf.DUMMYFUNCTION("SPLIT(J186,"";"")"),"Carvalho, M.")</f>
        <v>Carvalho, M.</v>
      </c>
      <c r="L186" s="10" t="str">
        <f ca="1">IFERROR(__xludf.DUMMYFUNCTION("""COMPUTED_VALUE"""),"Gouveia, L. ")</f>
        <v xml:space="preserve">Gouveia, L. </v>
      </c>
      <c r="M186" s="10"/>
      <c r="N186" s="10"/>
      <c r="O186" s="10"/>
      <c r="P186" s="10"/>
      <c r="Q186" s="10"/>
      <c r="R186" s="10"/>
      <c r="S186" s="10"/>
      <c r="T186" s="10"/>
      <c r="U186" s="10"/>
      <c r="V186" s="10"/>
      <c r="W186" s="10"/>
      <c r="X186" s="10"/>
      <c r="Y186" s="10"/>
      <c r="Z186" s="10"/>
    </row>
    <row r="187" spans="1:26" ht="17.25" customHeight="1" x14ac:dyDescent="0.3">
      <c r="A187" s="10" t="s">
        <v>321</v>
      </c>
      <c r="B187" s="10">
        <f t="shared" si="0"/>
        <v>29</v>
      </c>
      <c r="C187" s="8" t="str">
        <f t="shared" si="1"/>
        <v xml:space="preserve">Almasri, A. and Gouveia, L. </v>
      </c>
      <c r="D187" s="8" t="str">
        <f t="shared" si="2"/>
        <v>2019</v>
      </c>
      <c r="E187" s="10">
        <f t="shared" si="3"/>
        <v>34</v>
      </c>
      <c r="F187" s="10">
        <f t="shared" si="4"/>
        <v>158</v>
      </c>
      <c r="G187" s="8" t="str">
        <f t="shared" si="5"/>
        <v xml:space="preserve"> Analyzing and Evaluating the Amount of Power Consumption Used by Current Power-Saving-Applications on Android Smartphones. </v>
      </c>
      <c r="H187" s="10" t="str">
        <f t="shared" si="6"/>
        <v xml:space="preserve">Almasri, A. ; Gouveia, L. </v>
      </c>
      <c r="I187" s="10" t="str">
        <f t="shared" si="7"/>
        <v xml:space="preserve">Almasri, A. ; Gouveia, L. </v>
      </c>
      <c r="J187" s="10" t="str">
        <f t="shared" si="8"/>
        <v xml:space="preserve">Almasri, A. ; Gouveia, L. </v>
      </c>
      <c r="K187" s="11" t="str">
        <f ca="1">IFERROR(__xludf.DUMMYFUNCTION("SPLIT(J187,"";"")"),"Almasri, A. ")</f>
        <v xml:space="preserve">Almasri, A. </v>
      </c>
      <c r="L187" s="10" t="str">
        <f ca="1">IFERROR(__xludf.DUMMYFUNCTION("""COMPUTED_VALUE""")," Gouveia, L. ")</f>
        <v xml:space="preserve"> Gouveia, L. </v>
      </c>
      <c r="M187" s="10"/>
      <c r="N187" s="10"/>
      <c r="O187" s="10"/>
      <c r="P187" s="10"/>
      <c r="Q187" s="10"/>
      <c r="R187" s="10"/>
      <c r="S187" s="10"/>
      <c r="T187" s="10"/>
      <c r="U187" s="10"/>
      <c r="V187" s="10"/>
      <c r="W187" s="10"/>
      <c r="X187" s="10"/>
      <c r="Y187" s="10"/>
      <c r="Z187" s="10"/>
    </row>
    <row r="188" spans="1:26" ht="17.25" customHeight="1" x14ac:dyDescent="0.3">
      <c r="A188" s="10" t="s">
        <v>322</v>
      </c>
      <c r="B188" s="10">
        <f t="shared" si="0"/>
        <v>38</v>
      </c>
      <c r="C188" s="8" t="str">
        <f t="shared" si="1"/>
        <v xml:space="preserve">Pereira, R.; Dinis, A. e Gouveia, L. </v>
      </c>
      <c r="D188" s="8" t="str">
        <f t="shared" si="2"/>
        <v>2019</v>
      </c>
      <c r="E188" s="10">
        <f t="shared" si="3"/>
        <v>43</v>
      </c>
      <c r="F188" s="10">
        <f t="shared" si="4"/>
        <v>98</v>
      </c>
      <c r="G188" s="8" t="str">
        <f t="shared" si="5"/>
        <v xml:space="preserve"> The Use of Mobile Devices in Environmental Education. </v>
      </c>
      <c r="H188" s="10" t="str">
        <f t="shared" si="6"/>
        <v xml:space="preserve">Pereira, R.; Dinis, A. e Gouveia, L. </v>
      </c>
      <c r="I188" s="10" t="str">
        <f t="shared" si="7"/>
        <v xml:space="preserve">Pereira, R.; Dinis, A. e Gouveia, L. </v>
      </c>
      <c r="J188" s="10" t="str">
        <f t="shared" si="8"/>
        <v xml:space="preserve">Pereira, R.; Dinis, A.;Gouveia, L. </v>
      </c>
      <c r="K188" s="11" t="str">
        <f ca="1">IFERROR(__xludf.DUMMYFUNCTION("SPLIT(J188,"";"")"),"Pereira, R.")</f>
        <v>Pereira, R.</v>
      </c>
      <c r="L188" s="10" t="str">
        <f ca="1">IFERROR(__xludf.DUMMYFUNCTION("""COMPUTED_VALUE""")," Dinis, A.")</f>
        <v xml:space="preserve"> Dinis, A.</v>
      </c>
      <c r="M188" s="10" t="str">
        <f ca="1">IFERROR(__xludf.DUMMYFUNCTION("""COMPUTED_VALUE"""),"Gouveia, L. ")</f>
        <v xml:space="preserve">Gouveia, L. </v>
      </c>
      <c r="N188" s="10"/>
      <c r="O188" s="10"/>
      <c r="P188" s="10"/>
      <c r="Q188" s="10"/>
      <c r="R188" s="10"/>
      <c r="S188" s="10"/>
      <c r="T188" s="10"/>
      <c r="U188" s="10"/>
      <c r="V188" s="10"/>
      <c r="W188" s="10"/>
      <c r="X188" s="10"/>
      <c r="Y188" s="10"/>
      <c r="Z188" s="10"/>
    </row>
    <row r="189" spans="1:26" ht="17.25" customHeight="1" x14ac:dyDescent="0.3">
      <c r="A189" s="10" t="s">
        <v>323</v>
      </c>
      <c r="B189" s="10">
        <f t="shared" si="0"/>
        <v>35</v>
      </c>
      <c r="C189" s="8" t="str">
        <f t="shared" si="1"/>
        <v xml:space="preserve">Sargo, S.; Gouveia, L. e Reis, P. </v>
      </c>
      <c r="D189" s="8" t="str">
        <f t="shared" si="2"/>
        <v>2019</v>
      </c>
      <c r="E189" s="10">
        <f t="shared" si="3"/>
        <v>40</v>
      </c>
      <c r="F189" s="10">
        <f t="shared" si="4"/>
        <v>119</v>
      </c>
      <c r="G189" s="8" t="str">
        <f t="shared" si="5"/>
        <v xml:space="preserve"> A Sala de Aula Invertida num Cenário Potencial de Integração com a Wikipédia. </v>
      </c>
      <c r="H189" s="10" t="str">
        <f t="shared" si="6"/>
        <v xml:space="preserve">Sargo, S.; Gouveia, L. e Reis, P. </v>
      </c>
      <c r="I189" s="10" t="str">
        <f t="shared" si="7"/>
        <v xml:space="preserve">Sargo, S.; Gouveia, L. e Reis, P. </v>
      </c>
      <c r="J189" s="10" t="str">
        <f t="shared" si="8"/>
        <v xml:space="preserve">Sargo, S.; Gouveia, L.;Reis, P. </v>
      </c>
      <c r="K189" s="11" t="str">
        <f ca="1">IFERROR(__xludf.DUMMYFUNCTION("SPLIT(J189,"";"")"),"Sargo, S.")</f>
        <v>Sargo, S.</v>
      </c>
      <c r="L189" s="10" t="str">
        <f ca="1">IFERROR(__xludf.DUMMYFUNCTION("""COMPUTED_VALUE""")," Gouveia, L.")</f>
        <v xml:space="preserve"> Gouveia, L.</v>
      </c>
      <c r="M189" s="10" t="str">
        <f ca="1">IFERROR(__xludf.DUMMYFUNCTION("""COMPUTED_VALUE"""),"Reis, P. ")</f>
        <v xml:space="preserve">Reis, P. </v>
      </c>
      <c r="N189" s="10"/>
      <c r="O189" s="10"/>
      <c r="P189" s="10"/>
      <c r="Q189" s="10"/>
      <c r="R189" s="10"/>
      <c r="S189" s="10"/>
      <c r="T189" s="10"/>
      <c r="U189" s="10"/>
      <c r="V189" s="10"/>
      <c r="W189" s="10"/>
      <c r="X189" s="10"/>
      <c r="Y189" s="10"/>
      <c r="Z189" s="10"/>
    </row>
    <row r="190" spans="1:26" ht="17.25" customHeight="1" x14ac:dyDescent="0.3">
      <c r="A190" s="10" t="s">
        <v>324</v>
      </c>
      <c r="B190" s="10">
        <f t="shared" si="0"/>
        <v>13</v>
      </c>
      <c r="C190" s="8" t="str">
        <f t="shared" si="1"/>
        <v xml:space="preserve">Gouveia, L. </v>
      </c>
      <c r="D190" s="8" t="str">
        <f t="shared" si="2"/>
        <v>2018</v>
      </c>
      <c r="E190" s="10">
        <f t="shared" si="3"/>
        <v>18</v>
      </c>
      <c r="F190" s="10">
        <f t="shared" si="4"/>
        <v>109</v>
      </c>
      <c r="G190" s="8" t="str">
        <f t="shared" si="5"/>
        <v xml:space="preserve"> Uso e exploração das TIC para melhorar a condição humana, no contexto do ensino especial. </v>
      </c>
      <c r="H190" s="10" t="str">
        <f t="shared" si="6"/>
        <v xml:space="preserve">Gouveia, L. </v>
      </c>
      <c r="I190" s="10" t="str">
        <f t="shared" si="7"/>
        <v xml:space="preserve">Gouveia, L. </v>
      </c>
      <c r="J190" s="10" t="str">
        <f t="shared" si="8"/>
        <v xml:space="preserve">Gouveia, L. </v>
      </c>
      <c r="K190" s="11" t="str">
        <f ca="1">IFERROR(__xludf.DUMMYFUNCTION("SPLIT(J190,"";"")"),"Gouveia, L. ")</f>
        <v xml:space="preserve">Gouveia, L. </v>
      </c>
      <c r="L190" s="10"/>
      <c r="M190" s="10"/>
      <c r="N190" s="10"/>
      <c r="O190" s="10"/>
      <c r="P190" s="10"/>
      <c r="Q190" s="10"/>
      <c r="R190" s="10"/>
      <c r="S190" s="10"/>
      <c r="T190" s="10"/>
      <c r="U190" s="10"/>
      <c r="V190" s="10"/>
      <c r="W190" s="10"/>
      <c r="X190" s="10"/>
      <c r="Y190" s="10"/>
      <c r="Z190" s="10"/>
    </row>
    <row r="191" spans="1:26" ht="17.25" customHeight="1" x14ac:dyDescent="0.3">
      <c r="A191" s="10" t="s">
        <v>325</v>
      </c>
      <c r="B191" s="10">
        <f t="shared" si="0"/>
        <v>26</v>
      </c>
      <c r="C191" s="8" t="str">
        <f t="shared" si="1"/>
        <v xml:space="preserve">Araújo, P. e Gouveia, L. </v>
      </c>
      <c r="D191" s="8" t="str">
        <f t="shared" si="2"/>
        <v>2018</v>
      </c>
      <c r="E191" s="10">
        <f t="shared" si="3"/>
        <v>31</v>
      </c>
      <c r="F191" s="10">
        <f t="shared" si="4"/>
        <v>151</v>
      </c>
      <c r="G191" s="8" t="str">
        <f t="shared" si="5"/>
        <v xml:space="preserve"> Educação Especial e a Cultura Digital: passos de uma trajetória de desafios e de construção de uma Educação Inclusiva. </v>
      </c>
      <c r="H191" s="10" t="str">
        <f t="shared" si="6"/>
        <v xml:space="preserve">Araújo, P. e Gouveia, L. </v>
      </c>
      <c r="I191" s="10" t="str">
        <f t="shared" si="7"/>
        <v xml:space="preserve">Araújo, P. e Gouveia, L. </v>
      </c>
      <c r="J191" s="10" t="str">
        <f t="shared" si="8"/>
        <v xml:space="preserve">Araújo, P.;Gouveia, L. </v>
      </c>
      <c r="K191" s="11" t="str">
        <f ca="1">IFERROR(__xludf.DUMMYFUNCTION("SPLIT(J191,"";"")"),"Araújo, P.")</f>
        <v>Araújo, P.</v>
      </c>
      <c r="L191" s="10" t="str">
        <f ca="1">IFERROR(__xludf.DUMMYFUNCTION("""COMPUTED_VALUE"""),"Gouveia, L. ")</f>
        <v xml:space="preserve">Gouveia, L. </v>
      </c>
      <c r="M191" s="10"/>
      <c r="N191" s="10"/>
      <c r="O191" s="10"/>
      <c r="P191" s="10"/>
      <c r="Q191" s="10"/>
      <c r="R191" s="10"/>
      <c r="S191" s="10"/>
      <c r="T191" s="10"/>
      <c r="U191" s="10"/>
      <c r="V191" s="10"/>
      <c r="W191" s="10"/>
      <c r="X191" s="10"/>
      <c r="Y191" s="10"/>
      <c r="Z191" s="10"/>
    </row>
    <row r="192" spans="1:26" ht="17.25" customHeight="1" x14ac:dyDescent="0.3">
      <c r="A192" s="10" t="s">
        <v>326</v>
      </c>
      <c r="B192" s="10">
        <f t="shared" si="0"/>
        <v>29</v>
      </c>
      <c r="C192" s="8" t="str">
        <f t="shared" si="1"/>
        <v xml:space="preserve">Domingues, F. e Gouveia, L. </v>
      </c>
      <c r="D192" s="8" t="str">
        <f t="shared" si="2"/>
        <v>2018</v>
      </c>
      <c r="E192" s="10">
        <f t="shared" si="3"/>
        <v>34</v>
      </c>
      <c r="F192" s="10">
        <f t="shared" si="4"/>
        <v>51</v>
      </c>
      <c r="G192" s="8" t="str">
        <f t="shared" si="5"/>
        <v xml:space="preserve"> Treinar o sono. </v>
      </c>
      <c r="H192" s="10" t="str">
        <f t="shared" si="6"/>
        <v xml:space="preserve">Domingues, F. e Gouveia, L. </v>
      </c>
      <c r="I192" s="10" t="str">
        <f t="shared" si="7"/>
        <v xml:space="preserve">Domingues, F. e Gouveia, L. </v>
      </c>
      <c r="J192" s="10" t="str">
        <f t="shared" si="8"/>
        <v xml:space="preserve">Domingues, F.;Gouveia, L. </v>
      </c>
      <c r="K192" s="11" t="str">
        <f ca="1">IFERROR(__xludf.DUMMYFUNCTION("SPLIT(J192,"";"")"),"Domingues, F.")</f>
        <v>Domingues, F.</v>
      </c>
      <c r="L192" s="10" t="str">
        <f ca="1">IFERROR(__xludf.DUMMYFUNCTION("""COMPUTED_VALUE"""),"Gouveia, L. ")</f>
        <v xml:space="preserve">Gouveia, L. </v>
      </c>
      <c r="M192" s="10"/>
      <c r="N192" s="10"/>
      <c r="O192" s="10"/>
      <c r="P192" s="10"/>
      <c r="Q192" s="10"/>
      <c r="R192" s="10"/>
      <c r="S192" s="10"/>
      <c r="T192" s="10"/>
      <c r="U192" s="10"/>
      <c r="V192" s="10"/>
      <c r="W192" s="10"/>
      <c r="X192" s="10"/>
      <c r="Y192" s="10"/>
      <c r="Z192" s="10"/>
    </row>
    <row r="193" spans="1:26" ht="17.25" customHeight="1" x14ac:dyDescent="0.3">
      <c r="A193" s="10" t="s">
        <v>327</v>
      </c>
      <c r="B193" s="10">
        <f t="shared" si="0"/>
        <v>26</v>
      </c>
      <c r="C193" s="8" t="str">
        <f t="shared" si="1"/>
        <v xml:space="preserve">Araújo, P. e Gouveia, L. </v>
      </c>
      <c r="D193" s="8" t="str">
        <f t="shared" si="2"/>
        <v>2018</v>
      </c>
      <c r="E193" s="10">
        <f t="shared" si="3"/>
        <v>31</v>
      </c>
      <c r="F193" s="10">
        <f t="shared" si="4"/>
        <v>85</v>
      </c>
      <c r="G193" s="8" t="str">
        <f t="shared" si="5"/>
        <v xml:space="preserve"> Educação Especial na Cidade de Betim – Minas Gerais. </v>
      </c>
      <c r="H193" s="10" t="str">
        <f t="shared" si="6"/>
        <v xml:space="preserve">Araújo, P. e Gouveia, L. </v>
      </c>
      <c r="I193" s="10" t="str">
        <f t="shared" si="7"/>
        <v xml:space="preserve">Araújo, P. e Gouveia, L. </v>
      </c>
      <c r="J193" s="10" t="str">
        <f t="shared" si="8"/>
        <v xml:space="preserve">Araújo, P.;Gouveia, L. </v>
      </c>
      <c r="K193" s="11" t="str">
        <f ca="1">IFERROR(__xludf.DUMMYFUNCTION("SPLIT(J193,"";"")"),"Araújo, P.")</f>
        <v>Araújo, P.</v>
      </c>
      <c r="L193" s="10" t="str">
        <f ca="1">IFERROR(__xludf.DUMMYFUNCTION("""COMPUTED_VALUE"""),"Gouveia, L. ")</f>
        <v xml:space="preserve">Gouveia, L. </v>
      </c>
      <c r="M193" s="10"/>
      <c r="N193" s="10"/>
      <c r="O193" s="10"/>
      <c r="P193" s="10"/>
      <c r="Q193" s="10"/>
      <c r="R193" s="10"/>
      <c r="S193" s="10"/>
      <c r="T193" s="10"/>
      <c r="U193" s="10"/>
      <c r="V193" s="10"/>
      <c r="W193" s="10"/>
      <c r="X193" s="10"/>
      <c r="Y193" s="10"/>
      <c r="Z193" s="10"/>
    </row>
    <row r="194" spans="1:26" ht="17.25" customHeight="1" x14ac:dyDescent="0.3">
      <c r="A194" s="10" t="s">
        <v>328</v>
      </c>
      <c r="B194" s="10">
        <f t="shared" si="0"/>
        <v>25</v>
      </c>
      <c r="C194" s="8" t="str">
        <f t="shared" si="1"/>
        <v xml:space="preserve">Costa, O. e Gouveia, L. </v>
      </c>
      <c r="D194" s="8" t="str">
        <f t="shared" si="2"/>
        <v>2018</v>
      </c>
      <c r="E194" s="10">
        <f t="shared" si="3"/>
        <v>30</v>
      </c>
      <c r="F194" s="10">
        <f t="shared" si="4"/>
        <v>111</v>
      </c>
      <c r="G194" s="8" t="str">
        <f t="shared" si="5"/>
        <v xml:space="preserve"> Dropout in distance learning: A reference model for an integrated alert system. </v>
      </c>
      <c r="H194" s="10" t="str">
        <f t="shared" si="6"/>
        <v xml:space="preserve">Costa, O. e Gouveia, L. </v>
      </c>
      <c r="I194" s="10" t="str">
        <f t="shared" si="7"/>
        <v xml:space="preserve">Costa, O. e Gouveia, L. </v>
      </c>
      <c r="J194" s="10" t="str">
        <f t="shared" si="8"/>
        <v xml:space="preserve">Costa, O.;Gouveia, L. </v>
      </c>
      <c r="K194" s="11" t="str">
        <f ca="1">IFERROR(__xludf.DUMMYFUNCTION("SPLIT(J194,"";"")"),"Costa, O.")</f>
        <v>Costa, O.</v>
      </c>
      <c r="L194" s="10" t="str">
        <f ca="1">IFERROR(__xludf.DUMMYFUNCTION("""COMPUTED_VALUE"""),"Gouveia, L. ")</f>
        <v xml:space="preserve">Gouveia, L. </v>
      </c>
      <c r="M194" s="10"/>
      <c r="N194" s="10"/>
      <c r="O194" s="10"/>
      <c r="P194" s="10"/>
      <c r="Q194" s="10"/>
      <c r="R194" s="10"/>
      <c r="S194" s="10"/>
      <c r="T194" s="10"/>
      <c r="U194" s="10"/>
      <c r="V194" s="10"/>
      <c r="W194" s="10"/>
      <c r="X194" s="10"/>
      <c r="Y194" s="10"/>
      <c r="Z194" s="10"/>
    </row>
    <row r="195" spans="1:26" ht="17.25" customHeight="1" x14ac:dyDescent="0.3">
      <c r="A195" s="10" t="s">
        <v>329</v>
      </c>
      <c r="B195" s="10">
        <f t="shared" si="0"/>
        <v>55</v>
      </c>
      <c r="C195" s="8" t="str">
        <f t="shared" si="1"/>
        <v xml:space="preserve">Martins, E.; Geraldes, W.; Afonseca, U. e Gouveia, L. </v>
      </c>
      <c r="D195" s="8" t="str">
        <f t="shared" si="2"/>
        <v>2018</v>
      </c>
      <c r="E195" s="10">
        <f t="shared" si="3"/>
        <v>60</v>
      </c>
      <c r="F195" s="10">
        <f t="shared" si="4"/>
        <v>132</v>
      </c>
      <c r="G195" s="8" t="str">
        <f t="shared" si="5"/>
        <v xml:space="preserve"> O Uso do WhatsApp na Aprendizagem: Uma Experiência no Ensino Superior. </v>
      </c>
      <c r="H195" s="10" t="str">
        <f t="shared" si="6"/>
        <v xml:space="preserve">Martins, E.; Geraldes, W.; Afonseca, U. e Gouveia, L. </v>
      </c>
      <c r="I195" s="10" t="str">
        <f t="shared" si="7"/>
        <v xml:space="preserve">Martins, E.; Geraldes, W.; Afonseca, U. e Gouveia, L. </v>
      </c>
      <c r="J195" s="10" t="str">
        <f t="shared" si="8"/>
        <v xml:space="preserve">Martins, E.; Geraldes, W.; Afonseca, U.;Gouveia, L. </v>
      </c>
      <c r="K195" s="11" t="str">
        <f ca="1">IFERROR(__xludf.DUMMYFUNCTION("SPLIT(J195,"";"")"),"Martins, E.")</f>
        <v>Martins, E.</v>
      </c>
      <c r="L195" s="10" t="str">
        <f ca="1">IFERROR(__xludf.DUMMYFUNCTION("""COMPUTED_VALUE""")," Geraldes, W.")</f>
        <v xml:space="preserve"> Geraldes, W.</v>
      </c>
      <c r="M195" s="10" t="str">
        <f ca="1">IFERROR(__xludf.DUMMYFUNCTION("""COMPUTED_VALUE""")," Afonseca, U.")</f>
        <v xml:space="preserve"> Afonseca, U.</v>
      </c>
      <c r="N195" s="10" t="str">
        <f ca="1">IFERROR(__xludf.DUMMYFUNCTION("""COMPUTED_VALUE"""),"Gouveia, L. ")</f>
        <v xml:space="preserve">Gouveia, L. </v>
      </c>
      <c r="O195" s="10"/>
      <c r="P195" s="10"/>
      <c r="Q195" s="10"/>
      <c r="R195" s="10"/>
      <c r="S195" s="10"/>
      <c r="T195" s="10"/>
      <c r="U195" s="10"/>
      <c r="V195" s="10"/>
      <c r="W195" s="10"/>
      <c r="X195" s="10"/>
      <c r="Y195" s="10"/>
      <c r="Z195" s="10"/>
    </row>
    <row r="196" spans="1:26" ht="17.25" customHeight="1" x14ac:dyDescent="0.3">
      <c r="A196" s="10" t="s">
        <v>330</v>
      </c>
      <c r="B196" s="10">
        <f t="shared" si="0"/>
        <v>55</v>
      </c>
      <c r="C196" s="8" t="str">
        <f t="shared" si="1"/>
        <v xml:space="preserve">Martins, E.; Geraldes, W.; Afonseca, U. e Gouveia, L. </v>
      </c>
      <c r="D196" s="8" t="str">
        <f t="shared" si="2"/>
        <v>2018</v>
      </c>
      <c r="E196" s="10">
        <f t="shared" si="3"/>
        <v>60</v>
      </c>
      <c r="F196" s="10">
        <f t="shared" si="4"/>
        <v>108</v>
      </c>
      <c r="G196" s="8" t="str">
        <f t="shared" si="5"/>
        <v xml:space="preserve"> Uso do kahoot como ferramenta de aprendizagem. </v>
      </c>
      <c r="H196" s="10" t="str">
        <f t="shared" si="6"/>
        <v xml:space="preserve">Martins, E.; Geraldes, W.; Afonseca, U. e Gouveia, L. </v>
      </c>
      <c r="I196" s="10" t="str">
        <f t="shared" si="7"/>
        <v xml:space="preserve">Martins, E.; Geraldes, W.; Afonseca, U. e Gouveia, L. </v>
      </c>
      <c r="J196" s="10" t="str">
        <f t="shared" si="8"/>
        <v xml:space="preserve">Martins, E.; Geraldes, W.; Afonseca, U.;Gouveia, L. </v>
      </c>
      <c r="K196" s="11" t="str">
        <f ca="1">IFERROR(__xludf.DUMMYFUNCTION("SPLIT(J196,"";"")"),"Martins, E.")</f>
        <v>Martins, E.</v>
      </c>
      <c r="L196" s="10" t="str">
        <f ca="1">IFERROR(__xludf.DUMMYFUNCTION("""COMPUTED_VALUE""")," Geraldes, W.")</f>
        <v xml:space="preserve"> Geraldes, W.</v>
      </c>
      <c r="M196" s="10" t="str">
        <f ca="1">IFERROR(__xludf.DUMMYFUNCTION("""COMPUTED_VALUE""")," Afonseca, U.")</f>
        <v xml:space="preserve"> Afonseca, U.</v>
      </c>
      <c r="N196" s="10" t="str">
        <f ca="1">IFERROR(__xludf.DUMMYFUNCTION("""COMPUTED_VALUE"""),"Gouveia, L. ")</f>
        <v xml:space="preserve">Gouveia, L. </v>
      </c>
      <c r="O196" s="10"/>
      <c r="P196" s="10"/>
      <c r="Q196" s="10"/>
      <c r="R196" s="10"/>
      <c r="S196" s="10"/>
      <c r="T196" s="10"/>
      <c r="U196" s="10"/>
      <c r="V196" s="10"/>
      <c r="W196" s="10"/>
      <c r="X196" s="10"/>
      <c r="Y196" s="10"/>
      <c r="Z196" s="10"/>
    </row>
    <row r="197" spans="1:26" ht="17.25" customHeight="1" x14ac:dyDescent="0.3">
      <c r="A197" s="10" t="s">
        <v>331</v>
      </c>
      <c r="B197" s="10">
        <f t="shared" si="0"/>
        <v>69</v>
      </c>
      <c r="C197" s="8" t="str">
        <f t="shared" si="1"/>
        <v xml:space="preserve">Martins, E.; Trindade, G.; Geraldes, W.; Afonseca, U. e Gouveia, L. </v>
      </c>
      <c r="D197" s="8" t="str">
        <f t="shared" si="2"/>
        <v>2018</v>
      </c>
      <c r="E197" s="10">
        <f t="shared" si="3"/>
        <v>74</v>
      </c>
      <c r="F197" s="10">
        <f t="shared" si="4"/>
        <v>134</v>
      </c>
      <c r="G197" s="8" t="str">
        <f t="shared" si="5"/>
        <v xml:space="preserve"> Desenvolvimento de Aplicativo Móvel para Carona Acadêmica. </v>
      </c>
      <c r="H197" s="10" t="str">
        <f t="shared" si="6"/>
        <v xml:space="preserve">Martins, E.; Trindade, G.; Geraldes, W.; Afonseca, U. e Gouveia, L. </v>
      </c>
      <c r="I197" s="10" t="str">
        <f t="shared" si="7"/>
        <v xml:space="preserve">Martins, E.; Trindade, G.; Geraldes, W.; Afonseca, U. e Gouveia, L. </v>
      </c>
      <c r="J197" s="10" t="str">
        <f t="shared" si="8"/>
        <v xml:space="preserve">Martins, E.; Trindade, G.; Geraldes, W.; Afonseca, U.;Gouveia, L. </v>
      </c>
      <c r="K197" s="11" t="str">
        <f ca="1">IFERROR(__xludf.DUMMYFUNCTION("SPLIT(J197,"";"")"),"Martins, E.")</f>
        <v>Martins, E.</v>
      </c>
      <c r="L197" s="10" t="str">
        <f ca="1">IFERROR(__xludf.DUMMYFUNCTION("""COMPUTED_VALUE""")," Trindade, G.")</f>
        <v xml:space="preserve"> Trindade, G.</v>
      </c>
      <c r="M197" s="10" t="str">
        <f ca="1">IFERROR(__xludf.DUMMYFUNCTION("""COMPUTED_VALUE""")," Geraldes, W.")</f>
        <v xml:space="preserve"> Geraldes, W.</v>
      </c>
      <c r="N197" s="10" t="str">
        <f ca="1">IFERROR(__xludf.DUMMYFUNCTION("""COMPUTED_VALUE""")," Afonseca, U.")</f>
        <v xml:space="preserve"> Afonseca, U.</v>
      </c>
      <c r="O197" s="10" t="str">
        <f ca="1">IFERROR(__xludf.DUMMYFUNCTION("""COMPUTED_VALUE"""),"Gouveia, L. ")</f>
        <v xml:space="preserve">Gouveia, L. </v>
      </c>
      <c r="P197" s="10"/>
      <c r="Q197" s="10"/>
      <c r="R197" s="10"/>
      <c r="S197" s="10"/>
      <c r="T197" s="10"/>
      <c r="U197" s="10"/>
      <c r="V197" s="10"/>
      <c r="W197" s="10"/>
      <c r="X197" s="10"/>
      <c r="Y197" s="10"/>
      <c r="Z197" s="10"/>
    </row>
    <row r="198" spans="1:26" ht="17.25" customHeight="1" x14ac:dyDescent="0.3">
      <c r="A198" s="10" t="s">
        <v>332</v>
      </c>
      <c r="B198" s="10">
        <f t="shared" si="0"/>
        <v>27</v>
      </c>
      <c r="C198" s="8" t="str">
        <f t="shared" si="1"/>
        <v xml:space="preserve">Silva, P. and Gouveia, L. </v>
      </c>
      <c r="D198" s="8" t="str">
        <f t="shared" si="2"/>
        <v>2018</v>
      </c>
      <c r="E198" s="10">
        <f t="shared" si="3"/>
        <v>32</v>
      </c>
      <c r="F198" s="10">
        <f t="shared" si="4"/>
        <v>118</v>
      </c>
      <c r="G198" s="8" t="str">
        <f t="shared" si="5"/>
        <v xml:space="preserve"> A Model for Construction of high Quality Learning Environments - The relevant facts. </v>
      </c>
      <c r="H198" s="10" t="str">
        <f t="shared" si="6"/>
        <v xml:space="preserve">Silva, P. ; Gouveia, L. </v>
      </c>
      <c r="I198" s="10" t="str">
        <f t="shared" si="7"/>
        <v xml:space="preserve">Silva, P. ; Gouveia, L. </v>
      </c>
      <c r="J198" s="10" t="str">
        <f t="shared" si="8"/>
        <v xml:space="preserve">Silva, P. ; Gouveia, L. </v>
      </c>
      <c r="K198" s="11" t="str">
        <f ca="1">IFERROR(__xludf.DUMMYFUNCTION("SPLIT(J198,"";"")"),"Silva, P. ")</f>
        <v xml:space="preserve">Silva, P. </v>
      </c>
      <c r="L198" s="10" t="str">
        <f ca="1">IFERROR(__xludf.DUMMYFUNCTION("""COMPUTED_VALUE""")," Gouveia, L. ")</f>
        <v xml:space="preserve"> Gouveia, L. </v>
      </c>
      <c r="M198" s="10"/>
      <c r="N198" s="10"/>
      <c r="O198" s="10"/>
      <c r="P198" s="10"/>
      <c r="Q198" s="10"/>
      <c r="R198" s="10"/>
      <c r="S198" s="10"/>
      <c r="T198" s="10"/>
      <c r="U198" s="10"/>
      <c r="V198" s="10"/>
      <c r="W198" s="10"/>
      <c r="X198" s="10"/>
      <c r="Y198" s="10"/>
      <c r="Z198" s="10"/>
    </row>
    <row r="199" spans="1:26" ht="17.25" customHeight="1" x14ac:dyDescent="0.3">
      <c r="A199" s="10" t="s">
        <v>333</v>
      </c>
      <c r="B199" s="10">
        <f t="shared" si="0"/>
        <v>27</v>
      </c>
      <c r="C199" s="8" t="str">
        <f t="shared" si="1"/>
        <v xml:space="preserve">Silva, P. and Gouveia, L. </v>
      </c>
      <c r="D199" s="8" t="str">
        <f t="shared" si="2"/>
        <v>2018</v>
      </c>
      <c r="E199" s="10">
        <f t="shared" si="3"/>
        <v>32</v>
      </c>
      <c r="F199" s="10">
        <f t="shared" si="4"/>
        <v>98</v>
      </c>
      <c r="G199" s="8" t="str">
        <f t="shared" si="5"/>
        <v xml:space="preserve"> The key factors for a learning space - time, space and activity. </v>
      </c>
      <c r="H199" s="10" t="str">
        <f t="shared" si="6"/>
        <v xml:space="preserve">Silva, P. ; Gouveia, L. </v>
      </c>
      <c r="I199" s="10" t="str">
        <f t="shared" si="7"/>
        <v xml:space="preserve">Silva, P. ; Gouveia, L. </v>
      </c>
      <c r="J199" s="10" t="str">
        <f t="shared" si="8"/>
        <v xml:space="preserve">Silva, P. ; Gouveia, L. </v>
      </c>
      <c r="K199" s="11" t="str">
        <f ca="1">IFERROR(__xludf.DUMMYFUNCTION("SPLIT(J199,"";"")"),"Silva, P. ")</f>
        <v xml:space="preserve">Silva, P. </v>
      </c>
      <c r="L199" s="10" t="str">
        <f ca="1">IFERROR(__xludf.DUMMYFUNCTION("""COMPUTED_VALUE""")," Gouveia, L. ")</f>
        <v xml:space="preserve"> Gouveia, L. </v>
      </c>
      <c r="M199" s="10"/>
      <c r="N199" s="10"/>
      <c r="O199" s="10"/>
      <c r="P199" s="10"/>
      <c r="Q199" s="10"/>
      <c r="R199" s="10"/>
      <c r="S199" s="10"/>
      <c r="T199" s="10"/>
      <c r="U199" s="10"/>
      <c r="V199" s="10"/>
      <c r="W199" s="10"/>
      <c r="X199" s="10"/>
      <c r="Y199" s="10"/>
      <c r="Z199" s="10"/>
    </row>
    <row r="200" spans="1:26" ht="17.25" customHeight="1" x14ac:dyDescent="0.3">
      <c r="A200" s="10" t="s">
        <v>334</v>
      </c>
      <c r="B200" s="10">
        <f t="shared" si="0"/>
        <v>26</v>
      </c>
      <c r="C200" s="8" t="str">
        <f t="shared" si="1"/>
        <v xml:space="preserve">Araújo, A. e Gouveia, L. </v>
      </c>
      <c r="D200" s="8" t="str">
        <f t="shared" si="2"/>
        <v>2018</v>
      </c>
      <c r="E200" s="10">
        <f t="shared" si="3"/>
        <v>31</v>
      </c>
      <c r="F200" s="10">
        <f t="shared" si="4"/>
        <v>135</v>
      </c>
      <c r="G200" s="8" t="str">
        <f t="shared" si="5"/>
        <v xml:space="preserve"> Tecnologia de Informação e Educação aplicada ao Ensino SuperiorPercepções em uma IES em Belém do Pará. </v>
      </c>
      <c r="H200" s="10" t="str">
        <f t="shared" si="6"/>
        <v xml:space="preserve">Araújo, A. e Gouveia, L. </v>
      </c>
      <c r="I200" s="10" t="str">
        <f t="shared" si="7"/>
        <v xml:space="preserve">Araújo, A. e Gouveia, L. </v>
      </c>
      <c r="J200" s="10" t="str">
        <f t="shared" si="8"/>
        <v xml:space="preserve">Araújo, A.;Gouveia, L. </v>
      </c>
      <c r="K200" s="11" t="str">
        <f ca="1">IFERROR(__xludf.DUMMYFUNCTION("SPLIT(J200,"";"")"),"Araújo, A.")</f>
        <v>Araújo, A.</v>
      </c>
      <c r="L200" s="10" t="str">
        <f ca="1">IFERROR(__xludf.DUMMYFUNCTION("""COMPUTED_VALUE"""),"Gouveia, L. ")</f>
        <v xml:space="preserve">Gouveia, L. </v>
      </c>
      <c r="M200" s="10"/>
      <c r="N200" s="10"/>
      <c r="O200" s="10"/>
      <c r="P200" s="10"/>
      <c r="Q200" s="10"/>
      <c r="R200" s="10"/>
      <c r="S200" s="10"/>
      <c r="T200" s="10"/>
      <c r="U200" s="10"/>
      <c r="V200" s="10"/>
      <c r="W200" s="10"/>
      <c r="X200" s="10"/>
      <c r="Y200" s="10"/>
      <c r="Z200" s="10"/>
    </row>
    <row r="201" spans="1:26" ht="17.25" customHeight="1" x14ac:dyDescent="0.3">
      <c r="A201" s="10" t="s">
        <v>335</v>
      </c>
      <c r="B201" s="10">
        <f t="shared" si="0"/>
        <v>13</v>
      </c>
      <c r="C201" s="8" t="str">
        <f t="shared" si="1"/>
        <v xml:space="preserve">Gouveia, L. </v>
      </c>
      <c r="D201" s="8" t="str">
        <f t="shared" si="2"/>
        <v>2018</v>
      </c>
      <c r="E201" s="10">
        <f t="shared" si="3"/>
        <v>18</v>
      </c>
      <c r="F201" s="10">
        <f t="shared" si="4"/>
        <v>114</v>
      </c>
      <c r="G201" s="8" t="str">
        <f t="shared" si="5"/>
        <v xml:space="preserve"> Geography and its digital dimensions: a cities related discussion to join European inheritage. </v>
      </c>
      <c r="H201" s="10" t="str">
        <f t="shared" si="6"/>
        <v xml:space="preserve">Gouveia, L. </v>
      </c>
      <c r="I201" s="10" t="str">
        <f t="shared" si="7"/>
        <v xml:space="preserve">Gouveia, L. </v>
      </c>
      <c r="J201" s="10" t="str">
        <f t="shared" si="8"/>
        <v xml:space="preserve">Gouveia, L. </v>
      </c>
      <c r="K201" s="11" t="str">
        <f ca="1">IFERROR(__xludf.DUMMYFUNCTION("SPLIT(J201,"";"")"),"Gouveia, L. ")</f>
        <v xml:space="preserve">Gouveia, L. </v>
      </c>
      <c r="L201" s="10"/>
      <c r="M201" s="10"/>
      <c r="N201" s="10"/>
      <c r="O201" s="10"/>
      <c r="P201" s="10"/>
      <c r="Q201" s="10"/>
      <c r="R201" s="10"/>
      <c r="S201" s="10"/>
      <c r="T201" s="10"/>
      <c r="U201" s="10"/>
      <c r="V201" s="10"/>
      <c r="W201" s="10"/>
      <c r="X201" s="10"/>
      <c r="Y201" s="10"/>
      <c r="Z201" s="10"/>
    </row>
    <row r="202" spans="1:26" ht="17.25" customHeight="1" x14ac:dyDescent="0.3">
      <c r="A202" s="10" t="s">
        <v>336</v>
      </c>
      <c r="B202" s="10">
        <f t="shared" si="0"/>
        <v>53</v>
      </c>
      <c r="C202" s="8" t="str">
        <f t="shared" si="1"/>
        <v xml:space="preserve">Sousa, A.; Agante, P.; Abrantes, S. and Gouveia, L. </v>
      </c>
      <c r="D202" s="8" t="str">
        <f t="shared" si="2"/>
        <v>2018</v>
      </c>
      <c r="E202" s="10">
        <f t="shared" si="3"/>
        <v>58</v>
      </c>
      <c r="F202" s="10">
        <f t="shared" si="4"/>
        <v>115</v>
      </c>
      <c r="G202" s="8" t="str">
        <f t="shared" si="5"/>
        <v xml:space="preserve"> LIBEROPINION – A Web Platform for Public Participation. </v>
      </c>
      <c r="H202" s="10" t="str">
        <f t="shared" si="6"/>
        <v xml:space="preserve">Sousa, A.; Agante, P.; Abrantes, S. ; Gouveia, L. </v>
      </c>
      <c r="I202" s="10" t="str">
        <f t="shared" si="7"/>
        <v xml:space="preserve">Sousa, A.; Agante, P.; Abrantes, S. ; Gouveia, L. </v>
      </c>
      <c r="J202" s="10" t="str">
        <f t="shared" si="8"/>
        <v xml:space="preserve">Sousa, A.; Agante, P.; Abrantes, S. ; Gouveia, L. </v>
      </c>
      <c r="K202" s="11" t="str">
        <f ca="1">IFERROR(__xludf.DUMMYFUNCTION("SPLIT(J202,"";"")"),"Sousa, A.")</f>
        <v>Sousa, A.</v>
      </c>
      <c r="L202" s="10" t="str">
        <f ca="1">IFERROR(__xludf.DUMMYFUNCTION("""COMPUTED_VALUE""")," Agante, P.")</f>
        <v xml:space="preserve"> Agante, P.</v>
      </c>
      <c r="M202" s="10" t="str">
        <f ca="1">IFERROR(__xludf.DUMMYFUNCTION("""COMPUTED_VALUE""")," Abrantes, S. ")</f>
        <v xml:space="preserve"> Abrantes, S. </v>
      </c>
      <c r="N202" s="10" t="str">
        <f ca="1">IFERROR(__xludf.DUMMYFUNCTION("""COMPUTED_VALUE""")," Gouveia, L. ")</f>
        <v xml:space="preserve"> Gouveia, L. </v>
      </c>
      <c r="O202" s="10"/>
      <c r="P202" s="10"/>
      <c r="Q202" s="10"/>
      <c r="R202" s="10"/>
      <c r="S202" s="10"/>
      <c r="T202" s="10"/>
      <c r="U202" s="10"/>
      <c r="V202" s="10"/>
      <c r="W202" s="10"/>
      <c r="X202" s="10"/>
      <c r="Y202" s="10"/>
      <c r="Z202" s="10"/>
    </row>
    <row r="203" spans="1:26" ht="17.25" customHeight="1" x14ac:dyDescent="0.3">
      <c r="A203" s="10" t="s">
        <v>337</v>
      </c>
      <c r="B203" s="10">
        <f t="shared" si="0"/>
        <v>26</v>
      </c>
      <c r="C203" s="8" t="str">
        <f t="shared" si="1"/>
        <v xml:space="preserve">Khan, S. and Gouveia, L. </v>
      </c>
      <c r="D203" s="8" t="str">
        <f t="shared" si="2"/>
        <v>2017</v>
      </c>
      <c r="E203" s="10">
        <f t="shared" si="3"/>
        <v>31</v>
      </c>
      <c r="F203" s="10">
        <f t="shared" si="4"/>
        <v>117</v>
      </c>
      <c r="G203" s="8" t="str">
        <f t="shared" si="5"/>
        <v xml:space="preserve"> An Empirical Factors that Influences the Adoption and Selection of Internet Service. </v>
      </c>
      <c r="H203" s="10" t="str">
        <f t="shared" si="6"/>
        <v xml:space="preserve">Khan, S. ; Gouveia, L. </v>
      </c>
      <c r="I203" s="10" t="str">
        <f t="shared" si="7"/>
        <v xml:space="preserve">Khan, S. ; Gouveia, L. </v>
      </c>
      <c r="J203" s="10" t="str">
        <f t="shared" si="8"/>
        <v xml:space="preserve">Khan, S. ; Gouveia, L. </v>
      </c>
      <c r="K203" s="11" t="str">
        <f ca="1">IFERROR(__xludf.DUMMYFUNCTION("SPLIT(J203,"";"")"),"Khan, S. ")</f>
        <v xml:space="preserve">Khan, S. </v>
      </c>
      <c r="L203" s="10" t="str">
        <f ca="1">IFERROR(__xludf.DUMMYFUNCTION("""COMPUTED_VALUE""")," Gouveia, L. ")</f>
        <v xml:space="preserve"> Gouveia, L. </v>
      </c>
      <c r="M203" s="10"/>
      <c r="N203" s="10"/>
      <c r="O203" s="10"/>
      <c r="P203" s="10"/>
      <c r="Q203" s="10"/>
      <c r="R203" s="10"/>
      <c r="S203" s="10"/>
      <c r="T203" s="10"/>
      <c r="U203" s="10"/>
      <c r="V203" s="10"/>
      <c r="W203" s="10"/>
      <c r="X203" s="10"/>
      <c r="Y203" s="10"/>
      <c r="Z203" s="10"/>
    </row>
    <row r="204" spans="1:26" ht="17.25" customHeight="1" x14ac:dyDescent="0.3">
      <c r="A204" s="10" t="s">
        <v>338</v>
      </c>
      <c r="B204" s="10">
        <f t="shared" si="0"/>
        <v>26</v>
      </c>
      <c r="C204" s="8" t="str">
        <f t="shared" si="1"/>
        <v xml:space="preserve">Araújo, P. e Gouveia, L. </v>
      </c>
      <c r="D204" s="8" t="str">
        <f t="shared" si="2"/>
        <v>2017</v>
      </c>
      <c r="E204" s="10">
        <f t="shared" si="3"/>
        <v>31</v>
      </c>
      <c r="F204" s="10">
        <f t="shared" si="4"/>
        <v>92</v>
      </c>
      <c r="G204" s="8" t="str">
        <f t="shared" si="5"/>
        <v xml:space="preserve"> Plataforma Digital: Gestão da Informação e do Conhecimento. </v>
      </c>
      <c r="H204" s="10" t="str">
        <f t="shared" si="6"/>
        <v xml:space="preserve">Araújo, P. e Gouveia, L. </v>
      </c>
      <c r="I204" s="10" t="str">
        <f t="shared" si="7"/>
        <v xml:space="preserve">Araújo, P. e Gouveia, L. </v>
      </c>
      <c r="J204" s="10" t="str">
        <f t="shared" si="8"/>
        <v xml:space="preserve">Araújo, P.;Gouveia, L. </v>
      </c>
      <c r="K204" s="11" t="str">
        <f ca="1">IFERROR(__xludf.DUMMYFUNCTION("SPLIT(J204,"";"")"),"Araújo, P.")</f>
        <v>Araújo, P.</v>
      </c>
      <c r="L204" s="10" t="str">
        <f ca="1">IFERROR(__xludf.DUMMYFUNCTION("""COMPUTED_VALUE"""),"Gouveia, L. ")</f>
        <v xml:space="preserve">Gouveia, L. </v>
      </c>
      <c r="M204" s="10"/>
      <c r="N204" s="10"/>
      <c r="O204" s="10"/>
      <c r="P204" s="10"/>
      <c r="Q204" s="10"/>
      <c r="R204" s="10"/>
      <c r="S204" s="10"/>
      <c r="T204" s="10"/>
      <c r="U204" s="10"/>
      <c r="V204" s="10"/>
      <c r="W204" s="10"/>
      <c r="X204" s="10"/>
      <c r="Y204" s="10"/>
      <c r="Z204" s="10"/>
    </row>
    <row r="205" spans="1:26" ht="17.25" customHeight="1" x14ac:dyDescent="0.3">
      <c r="A205" s="10" t="s">
        <v>339</v>
      </c>
      <c r="B205" s="10">
        <f t="shared" si="0"/>
        <v>26</v>
      </c>
      <c r="C205" s="8" t="str">
        <f t="shared" si="1"/>
        <v xml:space="preserve">Araújo, P. e Gouveia, L. </v>
      </c>
      <c r="D205" s="8" t="str">
        <f t="shared" si="2"/>
        <v>2017</v>
      </c>
      <c r="E205" s="10">
        <f t="shared" si="3"/>
        <v>31</v>
      </c>
      <c r="F205" s="10">
        <f t="shared" si="4"/>
        <v>126</v>
      </c>
      <c r="G205" s="8" t="str">
        <f t="shared" si="5"/>
        <v xml:space="preserve"> Cultura Digital: uma discussão para uso e transformação no acesso e exploração da informação. </v>
      </c>
      <c r="H205" s="10" t="str">
        <f t="shared" si="6"/>
        <v xml:space="preserve">Araújo, P. e Gouveia, L. </v>
      </c>
      <c r="I205" s="10" t="str">
        <f t="shared" si="7"/>
        <v xml:space="preserve">Araújo, P. e Gouveia, L. </v>
      </c>
      <c r="J205" s="10" t="str">
        <f t="shared" si="8"/>
        <v xml:space="preserve">Araújo, P.;Gouveia, L. </v>
      </c>
      <c r="K205" s="11" t="str">
        <f ca="1">IFERROR(__xludf.DUMMYFUNCTION("SPLIT(J205,"";"")"),"Araújo, P.")</f>
        <v>Araújo, P.</v>
      </c>
      <c r="L205" s="10" t="str">
        <f ca="1">IFERROR(__xludf.DUMMYFUNCTION("""COMPUTED_VALUE"""),"Gouveia, L. ")</f>
        <v xml:space="preserve">Gouveia, L. </v>
      </c>
      <c r="M205" s="10"/>
      <c r="N205" s="10"/>
      <c r="O205" s="10"/>
      <c r="P205" s="10"/>
      <c r="Q205" s="10"/>
      <c r="R205" s="10"/>
      <c r="S205" s="10"/>
      <c r="T205" s="10"/>
      <c r="U205" s="10"/>
      <c r="V205" s="10"/>
      <c r="W205" s="10"/>
      <c r="X205" s="10"/>
      <c r="Y205" s="10"/>
      <c r="Z205" s="10"/>
    </row>
    <row r="206" spans="1:26" ht="17.25" customHeight="1" x14ac:dyDescent="0.3">
      <c r="A206" s="10" t="s">
        <v>340</v>
      </c>
      <c r="B206" s="10">
        <f t="shared" si="0"/>
        <v>26</v>
      </c>
      <c r="C206" s="8" t="str">
        <f t="shared" si="1"/>
        <v xml:space="preserve">Salimo, G. e Gouveia, L. </v>
      </c>
      <c r="D206" s="8" t="str">
        <f t="shared" si="2"/>
        <v>2017</v>
      </c>
      <c r="E206" s="10">
        <f t="shared" si="3"/>
        <v>31</v>
      </c>
      <c r="F206" s="10">
        <f t="shared" si="4"/>
        <v>82</v>
      </c>
      <c r="G206" s="8" t="str">
        <f t="shared" si="5"/>
        <v xml:space="preserve"> Contributos para o Ensino Superior em Moçambique. </v>
      </c>
      <c r="H206" s="10" t="str">
        <f t="shared" si="6"/>
        <v xml:space="preserve">Salimo, G. e Gouveia, L. </v>
      </c>
      <c r="I206" s="10" t="str">
        <f t="shared" si="7"/>
        <v xml:space="preserve">Salimo, G. e Gouveia, L. </v>
      </c>
      <c r="J206" s="10" t="str">
        <f t="shared" si="8"/>
        <v xml:space="preserve">Salimo, G.;Gouveia, L. </v>
      </c>
      <c r="K206" s="11" t="str">
        <f ca="1">IFERROR(__xludf.DUMMYFUNCTION("SPLIT(J206,"";"")"),"Salimo, G.")</f>
        <v>Salimo, G.</v>
      </c>
      <c r="L206" s="10" t="str">
        <f ca="1">IFERROR(__xludf.DUMMYFUNCTION("""COMPUTED_VALUE"""),"Gouveia, L. ")</f>
        <v xml:space="preserve">Gouveia, L. </v>
      </c>
      <c r="M206" s="10"/>
      <c r="N206" s="10"/>
      <c r="O206" s="10"/>
      <c r="P206" s="10"/>
      <c r="Q206" s="10"/>
      <c r="R206" s="10"/>
      <c r="S206" s="10"/>
      <c r="T206" s="10"/>
      <c r="U206" s="10"/>
      <c r="V206" s="10"/>
      <c r="W206" s="10"/>
      <c r="X206" s="10"/>
      <c r="Y206" s="10"/>
      <c r="Z206" s="10"/>
    </row>
    <row r="207" spans="1:26" ht="17.25" customHeight="1" x14ac:dyDescent="0.3">
      <c r="A207" s="10" t="s">
        <v>341</v>
      </c>
      <c r="B207" s="10">
        <f t="shared" si="0"/>
        <v>26</v>
      </c>
      <c r="C207" s="8" t="str">
        <f t="shared" si="1"/>
        <v xml:space="preserve">Araújo, P. e Gouveia, L. </v>
      </c>
      <c r="D207" s="8" t="str">
        <f t="shared" si="2"/>
        <v>2017</v>
      </c>
      <c r="E207" s="10">
        <f t="shared" si="3"/>
        <v>31</v>
      </c>
      <c r="F207" s="10">
        <f t="shared" si="4"/>
        <v>165</v>
      </c>
      <c r="G207" s="8" t="str">
        <f t="shared" si="5"/>
        <v xml:space="preserve"> Governança Digital com o recurso de uma plataforma para a gestão da informação do Centro de Referência e Apoio a Educação Inclusiva. </v>
      </c>
      <c r="H207" s="10" t="str">
        <f t="shared" si="6"/>
        <v xml:space="preserve">Araújo, P. e Gouveia, L. </v>
      </c>
      <c r="I207" s="10" t="str">
        <f t="shared" si="7"/>
        <v xml:space="preserve">Araújo, P. e Gouveia, L. </v>
      </c>
      <c r="J207" s="10" t="str">
        <f t="shared" si="8"/>
        <v xml:space="preserve">Araújo, P.;Gouveia, L. </v>
      </c>
      <c r="K207" s="11" t="str">
        <f ca="1">IFERROR(__xludf.DUMMYFUNCTION("SPLIT(J207,"";"")"),"Araújo, P.")</f>
        <v>Araújo, P.</v>
      </c>
      <c r="L207" s="10" t="str">
        <f ca="1">IFERROR(__xludf.DUMMYFUNCTION("""COMPUTED_VALUE"""),"Gouveia, L. ")</f>
        <v xml:space="preserve">Gouveia, L. </v>
      </c>
      <c r="M207" s="10"/>
      <c r="N207" s="10"/>
      <c r="O207" s="10"/>
      <c r="P207" s="10"/>
      <c r="Q207" s="10"/>
      <c r="R207" s="10"/>
      <c r="S207" s="10"/>
      <c r="T207" s="10"/>
      <c r="U207" s="10"/>
      <c r="V207" s="10"/>
      <c r="W207" s="10"/>
      <c r="X207" s="10"/>
      <c r="Y207" s="10"/>
      <c r="Z207" s="10"/>
    </row>
    <row r="208" spans="1:26" ht="17.25" customHeight="1" x14ac:dyDescent="0.3">
      <c r="A208" s="10" t="s">
        <v>342</v>
      </c>
      <c r="B208" s="10">
        <f t="shared" si="0"/>
        <v>31</v>
      </c>
      <c r="C208" s="8" t="str">
        <f t="shared" si="1"/>
        <v xml:space="preserve">Daradkeh, Y. and Gouveia, L.  </v>
      </c>
      <c r="D208" s="8" t="str">
        <f t="shared" si="2"/>
        <v>2017</v>
      </c>
      <c r="E208" s="10">
        <f t="shared" si="3"/>
        <v>36</v>
      </c>
      <c r="F208" s="10">
        <f t="shared" si="4"/>
        <v>83</v>
      </c>
      <c r="G208" s="8" t="str">
        <f t="shared" si="5"/>
        <v xml:space="preserve"> Keep using day-to-day tools in the classroom. </v>
      </c>
      <c r="H208" s="10" t="str">
        <f t="shared" si="6"/>
        <v xml:space="preserve">Daradkeh, Y. ; Gouveia, L.  </v>
      </c>
      <c r="I208" s="10" t="str">
        <f t="shared" si="7"/>
        <v xml:space="preserve">Daradkeh, Y. ; Gouveia, L.  </v>
      </c>
      <c r="J208" s="10" t="str">
        <f t="shared" si="8"/>
        <v xml:space="preserve">Daradkeh, Y. ; Gouveia, L.  </v>
      </c>
      <c r="K208" s="11" t="str">
        <f ca="1">IFERROR(__xludf.DUMMYFUNCTION("SPLIT(J208,"";"")"),"Daradkeh, Y. ")</f>
        <v xml:space="preserve">Daradkeh, Y. </v>
      </c>
      <c r="L208" s="10" t="str">
        <f ca="1">IFERROR(__xludf.DUMMYFUNCTION("""COMPUTED_VALUE""")," Gouveia, L.  ")</f>
        <v xml:space="preserve"> Gouveia, L.  </v>
      </c>
      <c r="M208" s="10"/>
      <c r="N208" s="10"/>
      <c r="O208" s="10"/>
      <c r="P208" s="10"/>
      <c r="Q208" s="10"/>
      <c r="R208" s="10"/>
      <c r="S208" s="10"/>
      <c r="T208" s="10"/>
      <c r="U208" s="10"/>
      <c r="V208" s="10"/>
      <c r="W208" s="10"/>
      <c r="X208" s="10"/>
      <c r="Y208" s="10"/>
      <c r="Z208" s="10"/>
    </row>
    <row r="209" spans="1:26" ht="17.25" customHeight="1" x14ac:dyDescent="0.3">
      <c r="A209" s="10" t="s">
        <v>343</v>
      </c>
      <c r="B209" s="10">
        <f t="shared" si="0"/>
        <v>29</v>
      </c>
      <c r="C209" s="8" t="str">
        <f t="shared" si="1"/>
        <v xml:space="preserve">Quental, C. and Gouveia, L. </v>
      </c>
      <c r="D209" s="8" t="str">
        <f t="shared" si="2"/>
        <v>2016</v>
      </c>
      <c r="E209" s="10">
        <f t="shared" si="3"/>
        <v>34</v>
      </c>
      <c r="F209" s="10">
        <f t="shared" si="4"/>
        <v>99</v>
      </c>
      <c r="G209" s="8" t="str">
        <f t="shared" si="5"/>
        <v xml:space="preserve"> e-consultation as a tool for participation in teachers’ unions. </v>
      </c>
      <c r="H209" s="10" t="str">
        <f t="shared" si="6"/>
        <v xml:space="preserve">Quental, C. ; Gouveia, L. </v>
      </c>
      <c r="I209" s="10" t="str">
        <f t="shared" si="7"/>
        <v xml:space="preserve">Quental, C. ; Gouveia, L. </v>
      </c>
      <c r="J209" s="10" t="str">
        <f t="shared" si="8"/>
        <v xml:space="preserve">Quental, C. ; Gouveia, L. </v>
      </c>
      <c r="K209" s="11" t="str">
        <f ca="1">IFERROR(__xludf.DUMMYFUNCTION("SPLIT(J209,"";"")"),"Quental, C. ")</f>
        <v xml:space="preserve">Quental, C. </v>
      </c>
      <c r="L209" s="10" t="str">
        <f ca="1">IFERROR(__xludf.DUMMYFUNCTION("""COMPUTED_VALUE""")," Gouveia, L. ")</f>
        <v xml:space="preserve"> Gouveia, L. </v>
      </c>
      <c r="M209" s="10"/>
      <c r="N209" s="10"/>
      <c r="O209" s="10"/>
      <c r="P209" s="10"/>
      <c r="Q209" s="10"/>
      <c r="R209" s="10"/>
      <c r="S209" s="10"/>
      <c r="T209" s="10"/>
      <c r="U209" s="10"/>
      <c r="V209" s="10"/>
      <c r="W209" s="10"/>
      <c r="X209" s="10"/>
      <c r="Y209" s="10"/>
      <c r="Z209" s="10"/>
    </row>
    <row r="210" spans="1:26" ht="17.25" customHeight="1" x14ac:dyDescent="0.3">
      <c r="A210" s="10" t="s">
        <v>344</v>
      </c>
      <c r="B210" s="10">
        <f t="shared" si="0"/>
        <v>41</v>
      </c>
      <c r="C210" s="8" t="str">
        <f t="shared" si="1"/>
        <v xml:space="preserve">Oliveira, M.; Louzada, M. e Gouveia, L. </v>
      </c>
      <c r="D210" s="8" t="str">
        <f t="shared" si="2"/>
        <v>2016</v>
      </c>
      <c r="E210" s="10">
        <f t="shared" si="3"/>
        <v>46</v>
      </c>
      <c r="F210" s="10">
        <f t="shared" si="4"/>
        <v>162</v>
      </c>
      <c r="G210" s="8" t="str">
        <f t="shared" si="5"/>
        <v xml:space="preserve"> Desenvolvimento de um algoritmo avançado para mensuração de densidade óssea baseado na densitometria radiográfica. </v>
      </c>
      <c r="H210" s="10" t="str">
        <f t="shared" si="6"/>
        <v xml:space="preserve">Oliveira, M.; Louzada, M. e Gouveia, L. </v>
      </c>
      <c r="I210" s="10" t="str">
        <f t="shared" si="7"/>
        <v xml:space="preserve">Oliveira, M.; Louzada, M. e Gouveia, L. </v>
      </c>
      <c r="J210" s="10" t="str">
        <f t="shared" si="8"/>
        <v xml:space="preserve">Oliveira, M.; Louzada, M.;Gouveia, L. </v>
      </c>
      <c r="K210" s="11" t="str">
        <f ca="1">IFERROR(__xludf.DUMMYFUNCTION("SPLIT(J210,"";"")"),"Oliveira, M.")</f>
        <v>Oliveira, M.</v>
      </c>
      <c r="L210" s="10" t="str">
        <f ca="1">IFERROR(__xludf.DUMMYFUNCTION("""COMPUTED_VALUE""")," Louzada, M.")</f>
        <v xml:space="preserve"> Louzada, M.</v>
      </c>
      <c r="M210" s="10" t="str">
        <f ca="1">IFERROR(__xludf.DUMMYFUNCTION("""COMPUTED_VALUE"""),"Gouveia, L. ")</f>
        <v xml:space="preserve">Gouveia, L. </v>
      </c>
      <c r="N210" s="10"/>
      <c r="O210" s="10"/>
      <c r="P210" s="10"/>
      <c r="Q210" s="10"/>
      <c r="R210" s="10"/>
      <c r="S210" s="10"/>
      <c r="T210" s="10"/>
      <c r="U210" s="10"/>
      <c r="V210" s="10"/>
      <c r="W210" s="10"/>
      <c r="X210" s="10"/>
      <c r="Y210" s="10"/>
      <c r="Z210" s="10"/>
    </row>
    <row r="211" spans="1:26" ht="17.25" customHeight="1" x14ac:dyDescent="0.3">
      <c r="A211" s="10" t="s">
        <v>345</v>
      </c>
      <c r="B211" s="10">
        <f t="shared" si="0"/>
        <v>37</v>
      </c>
      <c r="C211" s="8" t="str">
        <f t="shared" si="1"/>
        <v xml:space="preserve">Daradkeh, Y; Pascal, O. Gouveia, L. </v>
      </c>
      <c r="D211" s="8" t="str">
        <f t="shared" si="2"/>
        <v>2015</v>
      </c>
      <c r="E211" s="10">
        <f t="shared" si="3"/>
        <v>42</v>
      </c>
      <c r="F211" s="10">
        <f t="shared" si="4"/>
        <v>91</v>
      </c>
      <c r="G211" s="8" t="str">
        <f t="shared" si="5"/>
        <v xml:space="preserve"> Information Overload: a preliminary discussion. </v>
      </c>
      <c r="H211" s="10" t="str">
        <f t="shared" si="6"/>
        <v xml:space="preserve">Daradkeh, Y; Pascal, O. Gouveia, L. </v>
      </c>
      <c r="I211" s="10" t="str">
        <f t="shared" si="7"/>
        <v xml:space="preserve">Daradkeh, Y; Pascal, O. Gouveia, L. </v>
      </c>
      <c r="J211" s="10" t="str">
        <f t="shared" si="8"/>
        <v xml:space="preserve">Daradkeh, Y; Pascal, O. Gouveia, L. </v>
      </c>
      <c r="K211" s="11" t="str">
        <f ca="1">IFERROR(__xludf.DUMMYFUNCTION("SPLIT(J211,"";"")"),"Daradkeh, Y")</f>
        <v>Daradkeh, Y</v>
      </c>
      <c r="L211" s="10" t="str">
        <f ca="1">IFERROR(__xludf.DUMMYFUNCTION("""COMPUTED_VALUE""")," Pascal, O. Gouveia, L. ")</f>
        <v xml:space="preserve"> Pascal, O. Gouveia, L. </v>
      </c>
      <c r="M211" s="10"/>
      <c r="N211" s="10"/>
      <c r="O211" s="10"/>
      <c r="P211" s="10"/>
      <c r="Q211" s="10"/>
      <c r="R211" s="10"/>
      <c r="S211" s="10"/>
      <c r="T211" s="10"/>
      <c r="U211" s="10"/>
      <c r="V211" s="10"/>
      <c r="W211" s="10"/>
      <c r="X211" s="10"/>
      <c r="Y211" s="10"/>
      <c r="Z211" s="10"/>
    </row>
    <row r="212" spans="1:26" ht="17.25" customHeight="1" x14ac:dyDescent="0.3">
      <c r="A212" s="10" t="s">
        <v>346</v>
      </c>
      <c r="B212" s="10">
        <f t="shared" si="0"/>
        <v>70</v>
      </c>
      <c r="C212" s="8" t="str">
        <f t="shared" si="1"/>
        <v xml:space="preserve">Oliveira, M.; Nakamura, E.; Gouveia, L.; Massunari, L. &amp; Louzada, M. </v>
      </c>
      <c r="D212" s="8" t="str">
        <f t="shared" si="2"/>
        <v>2015</v>
      </c>
      <c r="E212" s="10">
        <f t="shared" si="3"/>
        <v>75</v>
      </c>
      <c r="F212" s="10">
        <f t="shared" si="4"/>
        <v>166</v>
      </c>
      <c r="G212" s="8" t="str">
        <f t="shared" si="5"/>
        <v xml:space="preserve"> Computational solution "ODR-ATA" to mesurement of bone density from radiographic density. </v>
      </c>
      <c r="H212" s="10" t="str">
        <f t="shared" si="6"/>
        <v xml:space="preserve">Oliveira, M.; Nakamura, E.; Gouveia, L.; Massunari, L. &amp; Louzada, M. </v>
      </c>
      <c r="I212" s="10" t="str">
        <f t="shared" si="7"/>
        <v xml:space="preserve">Oliveira, M.; Nakamura, E.; Gouveia, L.; Massunari, L. &amp; Louzada, M. </v>
      </c>
      <c r="J212" s="10" t="str">
        <f t="shared" si="8"/>
        <v xml:space="preserve">Oliveira, M.; Nakamura, E.; Gouveia, L.; Massunari, L. &amp; Louzada, M. </v>
      </c>
      <c r="K212" s="11" t="str">
        <f ca="1">IFERROR(__xludf.DUMMYFUNCTION("SPLIT(J212,"";"")"),"Oliveira, M.")</f>
        <v>Oliveira, M.</v>
      </c>
      <c r="L212" s="10" t="str">
        <f ca="1">IFERROR(__xludf.DUMMYFUNCTION("""COMPUTED_VALUE""")," Nakamura, E.")</f>
        <v xml:space="preserve"> Nakamura, E.</v>
      </c>
      <c r="M212" s="10" t="str">
        <f ca="1">IFERROR(__xludf.DUMMYFUNCTION("""COMPUTED_VALUE""")," Gouveia, L.")</f>
        <v xml:space="preserve"> Gouveia, L.</v>
      </c>
      <c r="N212" s="10" t="str">
        <f ca="1">IFERROR(__xludf.DUMMYFUNCTION("""COMPUTED_VALUE""")," Massunari, L. &amp; Louzada, M. ")</f>
        <v xml:space="preserve"> Massunari, L. &amp; Louzada, M. </v>
      </c>
      <c r="O212" s="10"/>
      <c r="P212" s="10"/>
      <c r="Q212" s="10"/>
      <c r="R212" s="10"/>
      <c r="S212" s="10"/>
      <c r="T212" s="10"/>
      <c r="U212" s="10"/>
      <c r="V212" s="10"/>
      <c r="W212" s="10"/>
      <c r="X212" s="10"/>
      <c r="Y212" s="10"/>
      <c r="Z212" s="10"/>
    </row>
    <row r="213" spans="1:26" ht="17.25" customHeight="1" x14ac:dyDescent="0.3">
      <c r="A213" s="10" t="s">
        <v>347</v>
      </c>
      <c r="B213" s="10">
        <f t="shared" si="0"/>
        <v>24</v>
      </c>
      <c r="C213" s="8" t="str">
        <f t="shared" si="1"/>
        <v xml:space="preserve">Leal, J. e Gouveia, L. </v>
      </c>
      <c r="D213" s="8" t="str">
        <f t="shared" si="2"/>
        <v>2015</v>
      </c>
      <c r="E213" s="10">
        <f t="shared" si="3"/>
        <v>29</v>
      </c>
      <c r="F213" s="10">
        <f t="shared" si="4"/>
        <v>84</v>
      </c>
      <c r="G213" s="8" t="str">
        <f t="shared" si="5"/>
        <v xml:space="preserve"> MOOC: Towards a Discourse on Higher Education Change. </v>
      </c>
      <c r="H213" s="10" t="str">
        <f t="shared" si="6"/>
        <v xml:space="preserve">Leal, J. e Gouveia, L. </v>
      </c>
      <c r="I213" s="10" t="str">
        <f t="shared" si="7"/>
        <v xml:space="preserve">Leal, J. e Gouveia, L. </v>
      </c>
      <c r="J213" s="10" t="str">
        <f t="shared" si="8"/>
        <v xml:space="preserve">Leal, J.;Gouveia, L. </v>
      </c>
      <c r="K213" s="11" t="str">
        <f ca="1">IFERROR(__xludf.DUMMYFUNCTION("SPLIT(J213,"";"")"),"Leal, J.")</f>
        <v>Leal, J.</v>
      </c>
      <c r="L213" s="10" t="str">
        <f ca="1">IFERROR(__xludf.DUMMYFUNCTION("""COMPUTED_VALUE"""),"Gouveia, L. ")</f>
        <v xml:space="preserve">Gouveia, L. </v>
      </c>
      <c r="M213" s="10"/>
      <c r="N213" s="10"/>
      <c r="O213" s="10"/>
      <c r="P213" s="10"/>
      <c r="Q213" s="10"/>
      <c r="R213" s="10"/>
      <c r="S213" s="10"/>
      <c r="T213" s="10"/>
      <c r="U213" s="10"/>
      <c r="V213" s="10"/>
      <c r="W213" s="10"/>
      <c r="X213" s="10"/>
      <c r="Y213" s="10"/>
      <c r="Z213" s="10"/>
    </row>
    <row r="214" spans="1:26" ht="17.25" customHeight="1" x14ac:dyDescent="0.3">
      <c r="A214" s="10" t="s">
        <v>348</v>
      </c>
      <c r="B214" s="10">
        <f t="shared" si="0"/>
        <v>24</v>
      </c>
      <c r="C214" s="8" t="str">
        <f t="shared" si="1"/>
        <v xml:space="preserve">Leal, J. e Gouveia, L. </v>
      </c>
      <c r="D214" s="8" t="str">
        <f t="shared" si="2"/>
        <v>2014</v>
      </c>
      <c r="E214" s="10">
        <f t="shared" si="3"/>
        <v>29</v>
      </c>
      <c r="F214" s="10">
        <f t="shared" si="4"/>
        <v>163</v>
      </c>
      <c r="G214" s="8" t="str">
        <f t="shared" si="5"/>
        <v xml:space="preserve"> MOOC: qual o papel na reconceptualização da Universidade? X EUTIC, Papel das TIC no Design de Processos Informacionais e Cognitivos. </v>
      </c>
      <c r="H214" s="10" t="str">
        <f t="shared" si="6"/>
        <v xml:space="preserve">Leal, J. e Gouveia, L. </v>
      </c>
      <c r="I214" s="10" t="str">
        <f t="shared" si="7"/>
        <v xml:space="preserve">Leal, J. e Gouveia, L. </v>
      </c>
      <c r="J214" s="10" t="str">
        <f t="shared" si="8"/>
        <v xml:space="preserve">Leal, J.;Gouveia, L. </v>
      </c>
      <c r="K214" s="11" t="str">
        <f ca="1">IFERROR(__xludf.DUMMYFUNCTION("SPLIT(J214,"";"")"),"Leal, J.")</f>
        <v>Leal, J.</v>
      </c>
      <c r="L214" s="10" t="str">
        <f ca="1">IFERROR(__xludf.DUMMYFUNCTION("""COMPUTED_VALUE"""),"Gouveia, L. ")</f>
        <v xml:space="preserve">Gouveia, L. </v>
      </c>
      <c r="M214" s="10"/>
      <c r="N214" s="10"/>
      <c r="O214" s="10"/>
      <c r="P214" s="10"/>
      <c r="Q214" s="10"/>
      <c r="R214" s="10"/>
      <c r="S214" s="10"/>
      <c r="T214" s="10"/>
      <c r="U214" s="10"/>
      <c r="V214" s="10"/>
      <c r="W214" s="10"/>
      <c r="X214" s="10"/>
      <c r="Y214" s="10"/>
      <c r="Z214" s="10"/>
    </row>
    <row r="215" spans="1:26" ht="17.25" customHeight="1" x14ac:dyDescent="0.3">
      <c r="A215" s="10" t="s">
        <v>349</v>
      </c>
      <c r="B215" s="10">
        <f t="shared" si="0"/>
        <v>13</v>
      </c>
      <c r="C215" s="8" t="str">
        <f t="shared" si="1"/>
        <v xml:space="preserve">Gouveia, L. </v>
      </c>
      <c r="D215" s="8" t="str">
        <f t="shared" si="2"/>
        <v>2014</v>
      </c>
      <c r="E215" s="10">
        <f t="shared" si="3"/>
        <v>18</v>
      </c>
      <c r="F215" s="10">
        <f t="shared" si="4"/>
        <v>73</v>
      </c>
      <c r="G215" s="8" t="str">
        <f t="shared" si="5"/>
        <v xml:space="preserve"> Uma reflexão sobre o digital e o impacte no trabalho. </v>
      </c>
      <c r="H215" s="10" t="str">
        <f t="shared" si="6"/>
        <v xml:space="preserve">Gouveia, L. </v>
      </c>
      <c r="I215" s="10" t="str">
        <f t="shared" si="7"/>
        <v xml:space="preserve">Gouveia, L. </v>
      </c>
      <c r="J215" s="10" t="str">
        <f t="shared" si="8"/>
        <v xml:space="preserve">Gouveia, L. </v>
      </c>
      <c r="K215" s="11" t="str">
        <f ca="1">IFERROR(__xludf.DUMMYFUNCTION("SPLIT(J215,"";"")"),"Gouveia, L. ")</f>
        <v xml:space="preserve">Gouveia, L. </v>
      </c>
      <c r="L215" s="10"/>
      <c r="M215" s="10"/>
      <c r="N215" s="10"/>
      <c r="O215" s="10"/>
      <c r="P215" s="10"/>
      <c r="Q215" s="10"/>
      <c r="R215" s="10"/>
      <c r="S215" s="10"/>
      <c r="T215" s="10"/>
      <c r="U215" s="10"/>
      <c r="V215" s="10"/>
      <c r="W215" s="10"/>
      <c r="X215" s="10"/>
      <c r="Y215" s="10"/>
      <c r="Z215" s="10"/>
    </row>
    <row r="216" spans="1:26" ht="17.25" customHeight="1" x14ac:dyDescent="0.3">
      <c r="A216" s="10" t="s">
        <v>350</v>
      </c>
      <c r="B216" s="10">
        <f t="shared" si="0"/>
        <v>48</v>
      </c>
      <c r="C216" s="8" t="str">
        <f t="shared" si="1"/>
        <v xml:space="preserve">Sousa, A.; Agante, P.; Quental, C; Gouveia, L. </v>
      </c>
      <c r="D216" s="8" t="str">
        <f t="shared" si="2"/>
        <v>2014</v>
      </c>
      <c r="E216" s="10">
        <f t="shared" si="3"/>
        <v>53</v>
      </c>
      <c r="F216" s="10">
        <f t="shared" si="4"/>
        <v>159</v>
      </c>
      <c r="G216" s="8" t="str">
        <f t="shared" si="5"/>
        <v xml:space="preserve"> Model of Digital Mediation to support Communication between Teachers Unions and the Education Community. </v>
      </c>
      <c r="H216" s="10" t="str">
        <f t="shared" si="6"/>
        <v xml:space="preserve">Sousa, A.; Agante, P.; Quental, C; Gouveia, L. </v>
      </c>
      <c r="I216" s="10" t="str">
        <f t="shared" si="7"/>
        <v xml:space="preserve">Sousa, A.; Agante, P.; Quental, C; Gouveia, L. </v>
      </c>
      <c r="J216" s="10" t="str">
        <f t="shared" si="8"/>
        <v xml:space="preserve">Sousa, A.; Agante, P.; Quental, C; Gouveia, L. </v>
      </c>
      <c r="K216" s="11" t="str">
        <f ca="1">IFERROR(__xludf.DUMMYFUNCTION("SPLIT(J216,"";"")"),"Sousa, A.")</f>
        <v>Sousa, A.</v>
      </c>
      <c r="L216" s="10" t="str">
        <f ca="1">IFERROR(__xludf.DUMMYFUNCTION("""COMPUTED_VALUE""")," Agante, P.")</f>
        <v xml:space="preserve"> Agante, P.</v>
      </c>
      <c r="M216" s="10" t="str">
        <f ca="1">IFERROR(__xludf.DUMMYFUNCTION("""COMPUTED_VALUE""")," Quental, C")</f>
        <v xml:space="preserve"> Quental, C</v>
      </c>
      <c r="N216" s="10" t="str">
        <f ca="1">IFERROR(__xludf.DUMMYFUNCTION("""COMPUTED_VALUE""")," Gouveia, L. ")</f>
        <v xml:space="preserve"> Gouveia, L. </v>
      </c>
      <c r="O216" s="10"/>
      <c r="P216" s="10"/>
      <c r="Q216" s="10"/>
      <c r="R216" s="10"/>
      <c r="S216" s="10"/>
      <c r="T216" s="10"/>
      <c r="U216" s="10"/>
      <c r="V216" s="10"/>
      <c r="W216" s="10"/>
      <c r="X216" s="10"/>
      <c r="Y216" s="10"/>
      <c r="Z216" s="10"/>
    </row>
    <row r="217" spans="1:26" ht="17.25" customHeight="1" x14ac:dyDescent="0.3">
      <c r="A217" s="10" t="s">
        <v>351</v>
      </c>
      <c r="B217" s="10">
        <f t="shared" si="0"/>
        <v>36</v>
      </c>
      <c r="C217" s="8" t="str">
        <f t="shared" si="1"/>
        <v xml:space="preserve">Sousa, A.; Agante, P.; Gouveia, L. </v>
      </c>
      <c r="D217" s="8" t="str">
        <f t="shared" si="2"/>
        <v>2014</v>
      </c>
      <c r="E217" s="10">
        <f t="shared" si="3"/>
        <v>41</v>
      </c>
      <c r="F217" s="10">
        <f t="shared" si="4"/>
        <v>98</v>
      </c>
      <c r="G217" s="8" t="str">
        <f t="shared" si="5"/>
        <v xml:space="preserve"> Communication Model for Generalist News Media Websites. </v>
      </c>
      <c r="H217" s="10" t="str">
        <f t="shared" si="6"/>
        <v xml:space="preserve">Sousa, A.; Agante, P.; Gouveia, L. </v>
      </c>
      <c r="I217" s="10" t="str">
        <f t="shared" si="7"/>
        <v xml:space="preserve">Sousa, A.; Agante, P.; Gouveia, L. </v>
      </c>
      <c r="J217" s="10" t="str">
        <f t="shared" si="8"/>
        <v xml:space="preserve">Sousa, A.; Agante, P.; Gouveia, L. </v>
      </c>
      <c r="K217" s="11" t="str">
        <f ca="1">IFERROR(__xludf.DUMMYFUNCTION("SPLIT(J217,"";"")"),"Sousa, A.")</f>
        <v>Sousa, A.</v>
      </c>
      <c r="L217" s="10" t="str">
        <f ca="1">IFERROR(__xludf.DUMMYFUNCTION("""COMPUTED_VALUE""")," Agante, P.")</f>
        <v xml:space="preserve"> Agante, P.</v>
      </c>
      <c r="M217" s="10" t="str">
        <f ca="1">IFERROR(__xludf.DUMMYFUNCTION("""COMPUTED_VALUE""")," Gouveia, L. ")</f>
        <v xml:space="preserve"> Gouveia, L. </v>
      </c>
      <c r="N217" s="10"/>
      <c r="O217" s="10"/>
      <c r="P217" s="10"/>
      <c r="Q217" s="10"/>
      <c r="R217" s="10"/>
      <c r="S217" s="10"/>
      <c r="T217" s="10"/>
      <c r="U217" s="10"/>
      <c r="V217" s="10"/>
      <c r="W217" s="10"/>
      <c r="X217" s="10"/>
      <c r="Y217" s="10"/>
      <c r="Z217" s="10"/>
    </row>
    <row r="218" spans="1:26" ht="17.25" customHeight="1" x14ac:dyDescent="0.3">
      <c r="A218" s="10" t="s">
        <v>352</v>
      </c>
      <c r="B218" s="10">
        <f t="shared" si="0"/>
        <v>26</v>
      </c>
      <c r="C218" s="8" t="str">
        <f t="shared" si="1"/>
        <v xml:space="preserve">Salimo, G. e Gouveia, L. </v>
      </c>
      <c r="D218" s="8" t="str">
        <f t="shared" si="2"/>
        <v>2014</v>
      </c>
      <c r="E218" s="10">
        <f t="shared" si="3"/>
        <v>31</v>
      </c>
      <c r="F218" s="10">
        <f t="shared" si="4"/>
        <v>99</v>
      </c>
      <c r="G218" s="8" t="str">
        <f t="shared" si="5"/>
        <v xml:space="preserve"> Estudo preliminar para a adopção de práticas de EAD na Unizambeze. </v>
      </c>
      <c r="H218" s="10" t="str">
        <f t="shared" si="6"/>
        <v xml:space="preserve">Salimo, G. e Gouveia, L. </v>
      </c>
      <c r="I218" s="10" t="str">
        <f t="shared" si="7"/>
        <v xml:space="preserve">Salimo, G. e Gouveia, L. </v>
      </c>
      <c r="J218" s="10" t="str">
        <f t="shared" si="8"/>
        <v xml:space="preserve">Salimo, G.;Gouveia, L. </v>
      </c>
      <c r="K218" s="11" t="str">
        <f ca="1">IFERROR(__xludf.DUMMYFUNCTION("SPLIT(J218,"";"")"),"Salimo, G.")</f>
        <v>Salimo, G.</v>
      </c>
      <c r="L218" s="10" t="str">
        <f ca="1">IFERROR(__xludf.DUMMYFUNCTION("""COMPUTED_VALUE"""),"Gouveia, L. ")</f>
        <v xml:space="preserve">Gouveia, L. </v>
      </c>
      <c r="M218" s="10"/>
      <c r="N218" s="10"/>
      <c r="O218" s="10"/>
      <c r="P218" s="10"/>
      <c r="Q218" s="10"/>
      <c r="R218" s="10"/>
      <c r="S218" s="10"/>
      <c r="T218" s="10"/>
      <c r="U218" s="10"/>
      <c r="V218" s="10"/>
      <c r="W218" s="10"/>
      <c r="X218" s="10"/>
      <c r="Y218" s="10"/>
      <c r="Z218" s="10"/>
    </row>
    <row r="219" spans="1:26" ht="17.25" customHeight="1" x14ac:dyDescent="0.3">
      <c r="A219" s="10" t="s">
        <v>353</v>
      </c>
      <c r="B219" s="10">
        <f t="shared" si="0"/>
        <v>36</v>
      </c>
      <c r="C219" s="8" t="str">
        <f t="shared" si="1"/>
        <v xml:space="preserve">Sousa, A.; Agante, P.; Gouveia, L. </v>
      </c>
      <c r="D219" s="8" t="str">
        <f t="shared" si="2"/>
        <v>2014</v>
      </c>
      <c r="E219" s="10">
        <f t="shared" si="3"/>
        <v>41</v>
      </c>
      <c r="F219" s="10">
        <f t="shared" si="4"/>
        <v>136</v>
      </c>
      <c r="G219" s="8" t="str">
        <f t="shared" si="5"/>
        <v xml:space="preserve"> Proposta de um Modelo Funcional para iniciativas de mediação digital em campanhas eleitorais. </v>
      </c>
      <c r="H219" s="10" t="str">
        <f t="shared" si="6"/>
        <v xml:space="preserve">Sousa, A.; Agante, P.; Gouveia, L. </v>
      </c>
      <c r="I219" s="10" t="str">
        <f t="shared" si="7"/>
        <v xml:space="preserve">Sousa, A.; Agante, P.; Gouveia, L. </v>
      </c>
      <c r="J219" s="10" t="str">
        <f t="shared" si="8"/>
        <v xml:space="preserve">Sousa, A.; Agante, P.; Gouveia, L. </v>
      </c>
      <c r="K219" s="11" t="str">
        <f ca="1">IFERROR(__xludf.DUMMYFUNCTION("SPLIT(J219,"";"")"),"Sousa, A.")</f>
        <v>Sousa, A.</v>
      </c>
      <c r="L219" s="10" t="str">
        <f ca="1">IFERROR(__xludf.DUMMYFUNCTION("""COMPUTED_VALUE""")," Agante, P.")</f>
        <v xml:space="preserve"> Agante, P.</v>
      </c>
      <c r="M219" s="10" t="str">
        <f ca="1">IFERROR(__xludf.DUMMYFUNCTION("""COMPUTED_VALUE""")," Gouveia, L. ")</f>
        <v xml:space="preserve"> Gouveia, L. </v>
      </c>
      <c r="N219" s="10"/>
      <c r="O219" s="10"/>
      <c r="P219" s="10"/>
      <c r="Q219" s="10"/>
      <c r="R219" s="10"/>
      <c r="S219" s="10"/>
      <c r="T219" s="10"/>
      <c r="U219" s="10"/>
      <c r="V219" s="10"/>
      <c r="W219" s="10"/>
      <c r="X219" s="10"/>
      <c r="Y219" s="10"/>
      <c r="Z219" s="10"/>
    </row>
    <row r="220" spans="1:26" ht="17.25" customHeight="1" x14ac:dyDescent="0.3">
      <c r="A220" s="10" t="s">
        <v>354</v>
      </c>
      <c r="B220" s="10">
        <f t="shared" si="0"/>
        <v>25</v>
      </c>
      <c r="C220" s="8" t="str">
        <f t="shared" si="1"/>
        <v xml:space="preserve">Rurato, P.; Gouveia, L. </v>
      </c>
      <c r="D220" s="8" t="str">
        <f t="shared" si="2"/>
        <v>2014</v>
      </c>
      <c r="E220" s="10">
        <f t="shared" si="3"/>
        <v>30</v>
      </c>
      <c r="F220" s="10">
        <f t="shared" si="4"/>
        <v>128</v>
      </c>
      <c r="G220" s="8" t="str">
        <f t="shared" si="5"/>
        <v xml:space="preserve"> The importance of the learner’s characteristics in distance learning environments: a case study. </v>
      </c>
      <c r="H220" s="10" t="str">
        <f t="shared" si="6"/>
        <v xml:space="preserve">Rurato, P.; Gouveia, L. </v>
      </c>
      <c r="I220" s="10" t="str">
        <f t="shared" si="7"/>
        <v xml:space="preserve">Rurato, P.; Gouveia, L. </v>
      </c>
      <c r="J220" s="10" t="str">
        <f t="shared" si="8"/>
        <v xml:space="preserve">Rurato, P.; Gouveia, L. </v>
      </c>
      <c r="K220" s="11" t="str">
        <f ca="1">IFERROR(__xludf.DUMMYFUNCTION("SPLIT(J220,"";"")"),"Rurato, P.")</f>
        <v>Rurato, P.</v>
      </c>
      <c r="L220" s="10" t="str">
        <f ca="1">IFERROR(__xludf.DUMMYFUNCTION("""COMPUTED_VALUE""")," Gouveia, L. ")</f>
        <v xml:space="preserve"> Gouveia, L. </v>
      </c>
      <c r="M220" s="10"/>
      <c r="N220" s="10"/>
      <c r="O220" s="10"/>
      <c r="P220" s="10"/>
      <c r="Q220" s="10"/>
      <c r="R220" s="10"/>
      <c r="S220" s="10"/>
      <c r="T220" s="10"/>
      <c r="U220" s="10"/>
      <c r="V220" s="10"/>
      <c r="W220" s="10"/>
      <c r="X220" s="10"/>
      <c r="Y220" s="10"/>
      <c r="Z220" s="10"/>
    </row>
    <row r="221" spans="1:26" ht="17.25" customHeight="1" x14ac:dyDescent="0.3">
      <c r="A221" s="10" t="s">
        <v>355</v>
      </c>
      <c r="B221" s="10">
        <f t="shared" si="0"/>
        <v>26</v>
      </c>
      <c r="C221" s="8" t="str">
        <f t="shared" si="1"/>
        <v xml:space="preserve">Quental, C.; Gouveia, L. </v>
      </c>
      <c r="D221" s="8" t="str">
        <f t="shared" si="2"/>
        <v>2014</v>
      </c>
      <c r="E221" s="10">
        <f t="shared" si="3"/>
        <v>31</v>
      </c>
      <c r="F221" s="10">
        <f t="shared" si="4"/>
        <v>151</v>
      </c>
      <c r="G221" s="8" t="str">
        <f t="shared" si="5"/>
        <v xml:space="preserve"> Participação pública com recurso a meios digitais: será que os políticos utilizam novos meios com estratégias antigas. </v>
      </c>
      <c r="H221" s="10" t="str">
        <f t="shared" si="6"/>
        <v xml:space="preserve">Quental, C.; Gouveia, L. </v>
      </c>
      <c r="I221" s="10" t="str">
        <f t="shared" si="7"/>
        <v xml:space="preserve">Quental, C.; Gouveia, L. </v>
      </c>
      <c r="J221" s="10" t="str">
        <f t="shared" si="8"/>
        <v xml:space="preserve">Quental, C.; Gouveia, L. </v>
      </c>
      <c r="K221" s="11" t="str">
        <f ca="1">IFERROR(__xludf.DUMMYFUNCTION("SPLIT(J221,"";"")"),"Quental, C.")</f>
        <v>Quental, C.</v>
      </c>
      <c r="L221" s="10" t="str">
        <f ca="1">IFERROR(__xludf.DUMMYFUNCTION("""COMPUTED_VALUE""")," Gouveia, L. ")</f>
        <v xml:space="preserve"> Gouveia, L. </v>
      </c>
      <c r="M221" s="10"/>
      <c r="N221" s="10"/>
      <c r="O221" s="10"/>
      <c r="P221" s="10"/>
      <c r="Q221" s="10"/>
      <c r="R221" s="10"/>
      <c r="S221" s="10"/>
      <c r="T221" s="10"/>
      <c r="U221" s="10"/>
      <c r="V221" s="10"/>
      <c r="W221" s="10"/>
      <c r="X221" s="10"/>
      <c r="Y221" s="10"/>
      <c r="Z221" s="10"/>
    </row>
    <row r="222" spans="1:26" ht="17.25" customHeight="1" x14ac:dyDescent="0.3">
      <c r="A222" s="10" t="s">
        <v>356</v>
      </c>
      <c r="B222" s="10">
        <f t="shared" si="0"/>
        <v>23</v>
      </c>
      <c r="C222" s="8" t="str">
        <f t="shared" si="1"/>
        <v xml:space="preserve">Leal, J.; Gouveia, L. </v>
      </c>
      <c r="D222" s="8" t="str">
        <f t="shared" si="2"/>
        <v>2014</v>
      </c>
      <c r="E222" s="10">
        <f t="shared" si="3"/>
        <v>28</v>
      </c>
      <c r="F222" s="10">
        <f t="shared" si="4"/>
        <v>82</v>
      </c>
      <c r="G222" s="8" t="str">
        <f t="shared" si="5"/>
        <v xml:space="preserve"> MOOC e reconceptualização do Ensino na Universidade. </v>
      </c>
      <c r="H222" s="10" t="str">
        <f t="shared" si="6"/>
        <v xml:space="preserve">Leal, J.; Gouveia, L. </v>
      </c>
      <c r="I222" s="10" t="str">
        <f t="shared" si="7"/>
        <v xml:space="preserve">Leal, J.; Gouveia, L. </v>
      </c>
      <c r="J222" s="10" t="str">
        <f t="shared" si="8"/>
        <v xml:space="preserve">Leal, J.; Gouveia, L. </v>
      </c>
      <c r="K222" s="11" t="str">
        <f ca="1">IFERROR(__xludf.DUMMYFUNCTION("SPLIT(J222,"";"")"),"Leal, J.")</f>
        <v>Leal, J.</v>
      </c>
      <c r="L222" s="10" t="str">
        <f ca="1">IFERROR(__xludf.DUMMYFUNCTION("""COMPUTED_VALUE""")," Gouveia, L. ")</f>
        <v xml:space="preserve"> Gouveia, L. </v>
      </c>
      <c r="M222" s="10"/>
      <c r="N222" s="10"/>
      <c r="O222" s="10"/>
      <c r="P222" s="10"/>
      <c r="Q222" s="10"/>
      <c r="R222" s="10"/>
      <c r="S222" s="10"/>
      <c r="T222" s="10"/>
      <c r="U222" s="10"/>
      <c r="V222" s="10"/>
      <c r="W222" s="10"/>
      <c r="X222" s="10"/>
      <c r="Y222" s="10"/>
      <c r="Z222" s="10"/>
    </row>
    <row r="223" spans="1:26" ht="17.25" customHeight="1" x14ac:dyDescent="0.3">
      <c r="A223" s="10" t="s">
        <v>357</v>
      </c>
      <c r="B223" s="10">
        <f t="shared" si="0"/>
        <v>36</v>
      </c>
      <c r="C223" s="8" t="str">
        <f t="shared" si="1"/>
        <v xml:space="preserve">Sousa, A.; Agante, P.; Gouveia, L. </v>
      </c>
      <c r="D223" s="8" t="str">
        <f t="shared" si="2"/>
        <v>2014</v>
      </c>
      <c r="E223" s="10">
        <f t="shared" si="3"/>
        <v>41</v>
      </c>
      <c r="F223" s="10">
        <f t="shared" si="4"/>
        <v>92</v>
      </c>
      <c r="G223" s="8" t="str">
        <f t="shared" si="5"/>
        <v xml:space="preserve"> Communication Model for Sports Media Web Portals. </v>
      </c>
      <c r="H223" s="10" t="str">
        <f t="shared" si="6"/>
        <v xml:space="preserve">Sousa, A.; Agante, P.; Gouveia, L. </v>
      </c>
      <c r="I223" s="10" t="str">
        <f t="shared" si="7"/>
        <v xml:space="preserve">Sousa, A.; Agante, P.; Gouveia, L. </v>
      </c>
      <c r="J223" s="10" t="str">
        <f t="shared" si="8"/>
        <v xml:space="preserve">Sousa, A.; Agante, P.; Gouveia, L. </v>
      </c>
      <c r="K223" s="11" t="str">
        <f ca="1">IFERROR(__xludf.DUMMYFUNCTION("SPLIT(J223,"";"")"),"Sousa, A.")</f>
        <v>Sousa, A.</v>
      </c>
      <c r="L223" s="10" t="str">
        <f ca="1">IFERROR(__xludf.DUMMYFUNCTION("""COMPUTED_VALUE""")," Agante, P.")</f>
        <v xml:space="preserve"> Agante, P.</v>
      </c>
      <c r="M223" s="10" t="str">
        <f ca="1">IFERROR(__xludf.DUMMYFUNCTION("""COMPUTED_VALUE""")," Gouveia, L. ")</f>
        <v xml:space="preserve"> Gouveia, L. </v>
      </c>
      <c r="N223" s="10"/>
      <c r="O223" s="10"/>
      <c r="P223" s="10"/>
      <c r="Q223" s="10"/>
      <c r="R223" s="10"/>
      <c r="S223" s="10"/>
      <c r="T223" s="10"/>
      <c r="U223" s="10"/>
      <c r="V223" s="10"/>
      <c r="W223" s="10"/>
      <c r="X223" s="10"/>
      <c r="Y223" s="10"/>
      <c r="Z223" s="10"/>
    </row>
    <row r="224" spans="1:26" ht="17.25" customHeight="1" x14ac:dyDescent="0.3">
      <c r="A224" s="10" t="s">
        <v>358</v>
      </c>
      <c r="B224" s="10">
        <f t="shared" si="0"/>
        <v>37</v>
      </c>
      <c r="C224" s="8" t="str">
        <f t="shared" si="1"/>
        <v xml:space="preserve">Martins, S.; Lopes, A.; Gouveia, L. </v>
      </c>
      <c r="D224" s="8" t="str">
        <f t="shared" si="2"/>
        <v>2014</v>
      </c>
      <c r="E224" s="10">
        <f t="shared" si="3"/>
        <v>42</v>
      </c>
      <c r="F224" s="10">
        <f t="shared" si="4"/>
        <v>142</v>
      </c>
      <c r="G224" s="8" t="str">
        <f t="shared" si="5"/>
        <v xml:space="preserve"> Issues and specifications on a prescription system for controlling patient takes and  drugs usage. </v>
      </c>
      <c r="H224" s="10" t="str">
        <f t="shared" si="6"/>
        <v xml:space="preserve">Martins, S.; Lopes, A.; Gouveia, L. </v>
      </c>
      <c r="I224" s="10" t="str">
        <f t="shared" si="7"/>
        <v xml:space="preserve">Martins, S.; Lopes, A.; Gouveia, L. </v>
      </c>
      <c r="J224" s="10" t="str">
        <f t="shared" si="8"/>
        <v xml:space="preserve">Martins, S.; Lopes, A.; Gouveia, L. </v>
      </c>
      <c r="K224" s="11" t="str">
        <f ca="1">IFERROR(__xludf.DUMMYFUNCTION("SPLIT(J224,"";"")"),"Martins, S.")</f>
        <v>Martins, S.</v>
      </c>
      <c r="L224" s="10" t="str">
        <f ca="1">IFERROR(__xludf.DUMMYFUNCTION("""COMPUTED_VALUE""")," Lopes, A.")</f>
        <v xml:space="preserve"> Lopes, A.</v>
      </c>
      <c r="M224" s="10" t="str">
        <f ca="1">IFERROR(__xludf.DUMMYFUNCTION("""COMPUTED_VALUE""")," Gouveia, L. ")</f>
        <v xml:space="preserve"> Gouveia, L. </v>
      </c>
      <c r="N224" s="10"/>
      <c r="O224" s="10"/>
      <c r="P224" s="10"/>
      <c r="Q224" s="10"/>
      <c r="R224" s="10"/>
      <c r="S224" s="10"/>
      <c r="T224" s="10"/>
      <c r="U224" s="10"/>
      <c r="V224" s="10"/>
      <c r="W224" s="10"/>
      <c r="X224" s="10"/>
      <c r="Y224" s="10"/>
      <c r="Z224" s="10"/>
    </row>
    <row r="225" spans="1:26" ht="17.25" customHeight="1" x14ac:dyDescent="0.3">
      <c r="A225" s="10" t="s">
        <v>359</v>
      </c>
      <c r="B225" s="10">
        <f t="shared" si="0"/>
        <v>39</v>
      </c>
      <c r="C225" s="8" t="str">
        <f t="shared" si="1"/>
        <v xml:space="preserve">Sousa, A.; Agante, P. and Gouveia, L. </v>
      </c>
      <c r="D225" s="8" t="str">
        <f t="shared" si="2"/>
        <v>2013</v>
      </c>
      <c r="E225" s="10">
        <f t="shared" si="3"/>
        <v>44</v>
      </c>
      <c r="F225" s="10">
        <f t="shared" si="4"/>
        <v>126</v>
      </c>
      <c r="G225" s="8" t="str">
        <f t="shared" si="5"/>
        <v xml:space="preserve"> Model of Digital Mediation for Direct Public Participation in electoral Periods. </v>
      </c>
      <c r="H225" s="10" t="str">
        <f t="shared" si="6"/>
        <v xml:space="preserve">Sousa, A.; Agante, P. ; Gouveia, L. </v>
      </c>
      <c r="I225" s="10" t="str">
        <f t="shared" si="7"/>
        <v xml:space="preserve">Sousa, A.; Agante, P. ; Gouveia, L. </v>
      </c>
      <c r="J225" s="10" t="str">
        <f t="shared" si="8"/>
        <v xml:space="preserve">Sousa, A.; Agante, P. ; Gouveia, L. </v>
      </c>
      <c r="K225" s="11" t="str">
        <f ca="1">IFERROR(__xludf.DUMMYFUNCTION("SPLIT(J225,"";"")"),"Sousa, A.")</f>
        <v>Sousa, A.</v>
      </c>
      <c r="L225" s="10" t="str">
        <f ca="1">IFERROR(__xludf.DUMMYFUNCTION("""COMPUTED_VALUE""")," Agante, P. ")</f>
        <v xml:space="preserve"> Agante, P. </v>
      </c>
      <c r="M225" s="10" t="str">
        <f ca="1">IFERROR(__xludf.DUMMYFUNCTION("""COMPUTED_VALUE""")," Gouveia, L. ")</f>
        <v xml:space="preserve"> Gouveia, L. </v>
      </c>
      <c r="N225" s="10"/>
      <c r="O225" s="10"/>
      <c r="P225" s="10"/>
      <c r="Q225" s="10"/>
      <c r="R225" s="10"/>
      <c r="S225" s="10"/>
      <c r="T225" s="10"/>
      <c r="U225" s="10"/>
      <c r="V225" s="10"/>
      <c r="W225" s="10"/>
      <c r="X225" s="10"/>
      <c r="Y225" s="10"/>
      <c r="Z225" s="10"/>
    </row>
    <row r="226" spans="1:26" ht="17.25" customHeight="1" x14ac:dyDescent="0.3">
      <c r="A226" s="10" t="s">
        <v>360</v>
      </c>
      <c r="B226" s="10">
        <f t="shared" si="0"/>
        <v>26</v>
      </c>
      <c r="C226" s="8" t="str">
        <f t="shared" si="1"/>
        <v xml:space="preserve">Silva, P and Gouveia, L. </v>
      </c>
      <c r="D226" s="8" t="str">
        <f t="shared" si="2"/>
        <v>2013</v>
      </c>
      <c r="E226" s="10">
        <f t="shared" si="3"/>
        <v>31</v>
      </c>
      <c r="F226" s="10">
        <f t="shared" si="4"/>
        <v>138</v>
      </c>
      <c r="G226" s="8" t="str">
        <f t="shared" si="5"/>
        <v xml:space="preserve"> The Impact of Digital in Learning Spaces: An Analysis on the Perspective of Teachers in Higher Education. </v>
      </c>
      <c r="H226" s="10" t="str">
        <f t="shared" si="6"/>
        <v xml:space="preserve">Silva, P ; Gouveia, L. </v>
      </c>
      <c r="I226" s="10" t="str">
        <f t="shared" si="7"/>
        <v xml:space="preserve">Silva, P ; Gouveia, L. </v>
      </c>
      <c r="J226" s="10" t="str">
        <f t="shared" si="8"/>
        <v xml:space="preserve">Silva, P ; Gouveia, L. </v>
      </c>
      <c r="K226" s="11" t="str">
        <f ca="1">IFERROR(__xludf.DUMMYFUNCTION("SPLIT(J226,"";"")"),"Silva, P ")</f>
        <v xml:space="preserve">Silva, P </v>
      </c>
      <c r="L226" s="10" t="str">
        <f ca="1">IFERROR(__xludf.DUMMYFUNCTION("""COMPUTED_VALUE""")," Gouveia, L. ")</f>
        <v xml:space="preserve"> Gouveia, L. </v>
      </c>
      <c r="M226" s="10"/>
      <c r="N226" s="10"/>
      <c r="O226" s="10"/>
      <c r="P226" s="10"/>
      <c r="Q226" s="10"/>
      <c r="R226" s="10"/>
      <c r="S226" s="10"/>
      <c r="T226" s="10"/>
      <c r="U226" s="10"/>
      <c r="V226" s="10"/>
      <c r="W226" s="10"/>
      <c r="X226" s="10"/>
      <c r="Y226" s="10"/>
      <c r="Z226" s="10"/>
    </row>
    <row r="227" spans="1:26" ht="17.25" customHeight="1" x14ac:dyDescent="0.3">
      <c r="A227" s="10" t="s">
        <v>361</v>
      </c>
      <c r="B227" s="10">
        <f t="shared" si="0"/>
        <v>26</v>
      </c>
      <c r="C227" s="8" t="str">
        <f t="shared" si="1"/>
        <v xml:space="preserve">Robalo, A. e Gouveia, L. </v>
      </c>
      <c r="D227" s="8" t="str">
        <f t="shared" si="2"/>
        <v>2013</v>
      </c>
      <c r="E227" s="10">
        <f t="shared" si="3"/>
        <v>31</v>
      </c>
      <c r="F227" s="10">
        <f t="shared" si="4"/>
        <v>113</v>
      </c>
      <c r="G227" s="8" t="str">
        <f t="shared" si="5"/>
        <v xml:space="preserve"> As Tecnologias na Educação: um novo olhar pedagógico no ambiente virtual Edmodo. </v>
      </c>
      <c r="H227" s="10" t="str">
        <f t="shared" si="6"/>
        <v xml:space="preserve">Robalo, A. e Gouveia, L. </v>
      </c>
      <c r="I227" s="10" t="str">
        <f t="shared" si="7"/>
        <v xml:space="preserve">Robalo, A. e Gouveia, L. </v>
      </c>
      <c r="J227" s="10" t="str">
        <f t="shared" si="8"/>
        <v xml:space="preserve">Robalo, A.;Gouveia, L. </v>
      </c>
      <c r="K227" s="11" t="str">
        <f ca="1">IFERROR(__xludf.DUMMYFUNCTION("SPLIT(J227,"";"")"),"Robalo, A.")</f>
        <v>Robalo, A.</v>
      </c>
      <c r="L227" s="10" t="str">
        <f ca="1">IFERROR(__xludf.DUMMYFUNCTION("""COMPUTED_VALUE"""),"Gouveia, L. ")</f>
        <v xml:space="preserve">Gouveia, L. </v>
      </c>
      <c r="M227" s="10"/>
      <c r="N227" s="10"/>
      <c r="O227" s="10"/>
      <c r="P227" s="10"/>
      <c r="Q227" s="10"/>
      <c r="R227" s="10"/>
      <c r="S227" s="10"/>
      <c r="T227" s="10"/>
      <c r="U227" s="10"/>
      <c r="V227" s="10"/>
      <c r="W227" s="10"/>
      <c r="X227" s="10"/>
      <c r="Y227" s="10"/>
      <c r="Z227" s="10"/>
    </row>
    <row r="228" spans="1:26" ht="17.25" customHeight="1" x14ac:dyDescent="0.3">
      <c r="A228" s="10" t="s">
        <v>362</v>
      </c>
      <c r="B228" s="10">
        <f t="shared" si="0"/>
        <v>13</v>
      </c>
      <c r="C228" s="8" t="str">
        <f t="shared" si="1"/>
        <v xml:space="preserve">Gouveia, L. </v>
      </c>
      <c r="D228" s="8" t="str">
        <f t="shared" si="2"/>
        <v>2012</v>
      </c>
      <c r="E228" s="10">
        <f t="shared" si="3"/>
        <v>18</v>
      </c>
      <c r="F228" s="10">
        <f t="shared" si="4"/>
        <v>67</v>
      </c>
      <c r="G228" s="8" t="str">
        <f t="shared" si="5"/>
        <v xml:space="preserve"> The Information Warfare - how it can affect us. </v>
      </c>
      <c r="H228" s="10" t="str">
        <f t="shared" si="6"/>
        <v xml:space="preserve">Gouveia, L. </v>
      </c>
      <c r="I228" s="10" t="str">
        <f t="shared" si="7"/>
        <v xml:space="preserve">Gouveia, L. </v>
      </c>
      <c r="J228" s="10" t="str">
        <f t="shared" si="8"/>
        <v xml:space="preserve">Gouveia, L. </v>
      </c>
      <c r="K228" s="11" t="str">
        <f ca="1">IFERROR(__xludf.DUMMYFUNCTION("SPLIT(J228,"";"")"),"Gouveia, L. ")</f>
        <v xml:space="preserve">Gouveia, L. </v>
      </c>
      <c r="L228" s="10"/>
      <c r="M228" s="10"/>
      <c r="N228" s="10"/>
      <c r="O228" s="10"/>
      <c r="P228" s="10"/>
      <c r="Q228" s="10"/>
      <c r="R228" s="10"/>
      <c r="S228" s="10"/>
      <c r="T228" s="10"/>
      <c r="U228" s="10"/>
      <c r="V228" s="10"/>
      <c r="W228" s="10"/>
      <c r="X228" s="10"/>
      <c r="Y228" s="10"/>
      <c r="Z228" s="10"/>
    </row>
    <row r="229" spans="1:26" ht="17.25" customHeight="1" x14ac:dyDescent="0.3">
      <c r="A229" s="10" t="s">
        <v>363</v>
      </c>
      <c r="B229" s="10">
        <f t="shared" si="0"/>
        <v>25</v>
      </c>
      <c r="C229" s="8" t="str">
        <f t="shared" si="1"/>
        <v xml:space="preserve">Sousa, A. e Gouveia, L. </v>
      </c>
      <c r="D229" s="8" t="str">
        <f t="shared" si="2"/>
        <v>2012</v>
      </c>
      <c r="E229" s="10">
        <f t="shared" si="3"/>
        <v>30</v>
      </c>
      <c r="F229" s="10">
        <f t="shared" si="4"/>
        <v>120</v>
      </c>
      <c r="G229" s="8" t="str">
        <f t="shared" si="5"/>
        <v xml:space="preserve"> Proposta de mediação digital para a participação pública directa em períodos eleitorais. </v>
      </c>
      <c r="H229" s="10" t="str">
        <f t="shared" si="6"/>
        <v xml:space="preserve">Sousa, A. e Gouveia, L. </v>
      </c>
      <c r="I229" s="10" t="str">
        <f t="shared" si="7"/>
        <v xml:space="preserve">Sousa, A. e Gouveia, L. </v>
      </c>
      <c r="J229" s="10" t="str">
        <f t="shared" si="8"/>
        <v xml:space="preserve">Sousa, A.;Gouveia, L. </v>
      </c>
      <c r="K229" s="11" t="str">
        <f ca="1">IFERROR(__xludf.DUMMYFUNCTION("SPLIT(J229,"";"")"),"Sousa, A.")</f>
        <v>Sousa, A.</v>
      </c>
      <c r="L229" s="10" t="str">
        <f ca="1">IFERROR(__xludf.DUMMYFUNCTION("""COMPUTED_VALUE"""),"Gouveia, L. ")</f>
        <v xml:space="preserve">Gouveia, L. </v>
      </c>
      <c r="M229" s="10"/>
      <c r="N229" s="10"/>
      <c r="O229" s="10"/>
      <c r="P229" s="10"/>
      <c r="Q229" s="10"/>
      <c r="R229" s="10"/>
      <c r="S229" s="10"/>
      <c r="T229" s="10"/>
      <c r="U229" s="10"/>
      <c r="V229" s="10"/>
      <c r="W229" s="10"/>
      <c r="X229" s="10"/>
      <c r="Y229" s="10"/>
      <c r="Z229" s="10"/>
    </row>
    <row r="230" spans="1:26" ht="17.25" customHeight="1" x14ac:dyDescent="0.3">
      <c r="A230" s="10" t="s">
        <v>364</v>
      </c>
      <c r="B230" s="10">
        <f t="shared" si="0"/>
        <v>29</v>
      </c>
      <c r="C230" s="8" t="str">
        <f t="shared" si="1"/>
        <v xml:space="preserve">Fidalgo, F. and Gouveia, L. </v>
      </c>
      <c r="D230" s="8" t="str">
        <f t="shared" si="2"/>
        <v>2012</v>
      </c>
      <c r="E230" s="10">
        <f t="shared" si="3"/>
        <v>34</v>
      </c>
      <c r="F230" s="10">
        <f t="shared" si="4"/>
        <v>105</v>
      </c>
      <c r="G230" s="8" t="str">
        <f t="shared" si="5"/>
        <v xml:space="preserve"> Turnover and ICT Contribution in Organizational Knowledge Management. </v>
      </c>
      <c r="H230" s="10" t="str">
        <f t="shared" si="6"/>
        <v xml:space="preserve">Fidalgo, F. ; Gouveia, L. </v>
      </c>
      <c r="I230" s="10" t="str">
        <f t="shared" si="7"/>
        <v xml:space="preserve">Fidalgo, F. ; Gouveia, L. </v>
      </c>
      <c r="J230" s="10" t="str">
        <f t="shared" si="8"/>
        <v xml:space="preserve">Fidalgo, F. ; Gouveia, L. </v>
      </c>
      <c r="K230" s="11" t="str">
        <f ca="1">IFERROR(__xludf.DUMMYFUNCTION("SPLIT(J230,"";"")"),"Fidalgo, F. ")</f>
        <v xml:space="preserve">Fidalgo, F. </v>
      </c>
      <c r="L230" s="10" t="str">
        <f ca="1">IFERROR(__xludf.DUMMYFUNCTION("""COMPUTED_VALUE""")," Gouveia, L. ")</f>
        <v xml:space="preserve"> Gouveia, L. </v>
      </c>
      <c r="M230" s="10"/>
      <c r="N230" s="10"/>
      <c r="O230" s="10"/>
      <c r="P230" s="10"/>
      <c r="Q230" s="10"/>
      <c r="R230" s="10"/>
      <c r="S230" s="10"/>
      <c r="T230" s="10"/>
      <c r="U230" s="10"/>
      <c r="V230" s="10"/>
      <c r="W230" s="10"/>
      <c r="X230" s="10"/>
      <c r="Y230" s="10"/>
      <c r="Z230" s="10"/>
    </row>
    <row r="231" spans="1:26" ht="17.25" customHeight="1" x14ac:dyDescent="0.3">
      <c r="A231" s="10" t="s">
        <v>365</v>
      </c>
      <c r="B231" s="10">
        <f t="shared" si="0"/>
        <v>28</v>
      </c>
      <c r="C231" s="8" t="str">
        <f t="shared" si="1"/>
        <v xml:space="preserve">Abrantes, S. e Gouveia, L. </v>
      </c>
      <c r="D231" s="8" t="str">
        <f t="shared" si="2"/>
        <v>2011</v>
      </c>
      <c r="E231" s="10">
        <f t="shared" si="3"/>
        <v>33</v>
      </c>
      <c r="F231" s="10">
        <f t="shared" si="4"/>
        <v>159</v>
      </c>
      <c r="G231" s="8" t="str">
        <f t="shared" si="5"/>
        <v xml:space="preserve"> Assessing the use of m-learning support in an higher education context - A study approach based in the innovation spreading. </v>
      </c>
      <c r="H231" s="10" t="str">
        <f t="shared" si="6"/>
        <v xml:space="preserve">Abrantes, S. e Gouveia, L. </v>
      </c>
      <c r="I231" s="10" t="str">
        <f t="shared" si="7"/>
        <v xml:space="preserve">Abrantes, S. e Gouveia, L. </v>
      </c>
      <c r="J231" s="10" t="str">
        <f t="shared" si="8"/>
        <v xml:space="preserve">Abrantes, S.;Gouveia, L. </v>
      </c>
      <c r="K231" s="11" t="str">
        <f ca="1">IFERROR(__xludf.DUMMYFUNCTION("SPLIT(J231,"";"")"),"Abrantes, S.")</f>
        <v>Abrantes, S.</v>
      </c>
      <c r="L231" s="10" t="str">
        <f ca="1">IFERROR(__xludf.DUMMYFUNCTION("""COMPUTED_VALUE"""),"Gouveia, L. ")</f>
        <v xml:space="preserve">Gouveia, L. </v>
      </c>
      <c r="M231" s="10"/>
      <c r="N231" s="10"/>
      <c r="O231" s="10"/>
      <c r="P231" s="10"/>
      <c r="Q231" s="10"/>
      <c r="R231" s="10"/>
      <c r="S231" s="10"/>
      <c r="T231" s="10"/>
      <c r="U231" s="10"/>
      <c r="V231" s="10"/>
      <c r="W231" s="10"/>
      <c r="X231" s="10"/>
      <c r="Y231" s="10"/>
      <c r="Z231" s="10"/>
    </row>
    <row r="232" spans="1:26" ht="17.25" customHeight="1" x14ac:dyDescent="0.3">
      <c r="A232" s="10" t="s">
        <v>366</v>
      </c>
      <c r="B232" s="10">
        <f t="shared" si="0"/>
        <v>40</v>
      </c>
      <c r="C232" s="8" t="str">
        <f t="shared" si="1"/>
        <v xml:space="preserve">Peres, P.; Gouveia, L. and Pimenta, P. </v>
      </c>
      <c r="D232" s="8" t="str">
        <f t="shared" si="2"/>
        <v>2011</v>
      </c>
      <c r="E232" s="10">
        <f t="shared" si="3"/>
        <v>45</v>
      </c>
      <c r="F232" s="10">
        <f t="shared" si="4"/>
        <v>95</v>
      </c>
      <c r="G232" s="8" t="str">
        <f t="shared" si="5"/>
        <v xml:space="preserve"> Blended-learning Strategies in Higher Education. </v>
      </c>
      <c r="H232" s="10" t="str">
        <f t="shared" si="6"/>
        <v xml:space="preserve">Peres, P.; Gouveia, L. ; Pimenta, P. </v>
      </c>
      <c r="I232" s="10" t="str">
        <f t="shared" si="7"/>
        <v xml:space="preserve">Peres, P.; Gouveia, L. ; Pimenta, P. </v>
      </c>
      <c r="J232" s="10" t="str">
        <f t="shared" si="8"/>
        <v xml:space="preserve">Peres, P.; Gouveia, L. ; Pimenta, P. </v>
      </c>
      <c r="K232" s="11" t="str">
        <f ca="1">IFERROR(__xludf.DUMMYFUNCTION("SPLIT(J232,"";"")"),"Peres, P.")</f>
        <v>Peres, P.</v>
      </c>
      <c r="L232" s="10" t="str">
        <f ca="1">IFERROR(__xludf.DUMMYFUNCTION("""COMPUTED_VALUE""")," Gouveia, L. ")</f>
        <v xml:space="preserve"> Gouveia, L. </v>
      </c>
      <c r="M232" s="10" t="str">
        <f ca="1">IFERROR(__xludf.DUMMYFUNCTION("""COMPUTED_VALUE""")," Pimenta, P. ")</f>
        <v xml:space="preserve"> Pimenta, P. </v>
      </c>
      <c r="N232" s="10"/>
      <c r="O232" s="10"/>
      <c r="P232" s="10"/>
      <c r="Q232" s="10"/>
      <c r="R232" s="10"/>
      <c r="S232" s="10"/>
      <c r="T232" s="10"/>
      <c r="U232" s="10"/>
      <c r="V232" s="10"/>
      <c r="W232" s="10"/>
      <c r="X232" s="10"/>
      <c r="Y232" s="10"/>
      <c r="Z232" s="10"/>
    </row>
    <row r="233" spans="1:26" ht="17.25" customHeight="1" x14ac:dyDescent="0.3">
      <c r="A233" s="10" t="s">
        <v>367</v>
      </c>
      <c r="B233" s="10">
        <f t="shared" si="0"/>
        <v>28</v>
      </c>
      <c r="C233" s="8" t="str">
        <f t="shared" si="1"/>
        <v xml:space="preserve">Abrantes, S. e Gouveia, L. </v>
      </c>
      <c r="D233" s="8" t="str">
        <f t="shared" si="2"/>
        <v>2011</v>
      </c>
      <c r="E233" s="10">
        <f t="shared" si="3"/>
        <v>33</v>
      </c>
      <c r="F233" s="10">
        <f t="shared" si="4"/>
        <v>132</v>
      </c>
      <c r="G233" s="8" t="str">
        <f t="shared" si="5"/>
        <v xml:space="preserve"> Assessing Messaging Activity In An Online Discussion Forum Using an Innovation Adoption Approach. </v>
      </c>
      <c r="H233" s="10" t="str">
        <f t="shared" si="6"/>
        <v xml:space="preserve">Abrantes, S. e Gouveia, L. </v>
      </c>
      <c r="I233" s="10" t="str">
        <f t="shared" si="7"/>
        <v xml:space="preserve">Abrantes, S. e Gouveia, L. </v>
      </c>
      <c r="J233" s="10" t="str">
        <f t="shared" si="8"/>
        <v xml:space="preserve">Abrantes, S.;Gouveia, L. </v>
      </c>
      <c r="K233" s="11" t="str">
        <f ca="1">IFERROR(__xludf.DUMMYFUNCTION("SPLIT(J233,"";"")"),"Abrantes, S.")</f>
        <v>Abrantes, S.</v>
      </c>
      <c r="L233" s="10" t="str">
        <f ca="1">IFERROR(__xludf.DUMMYFUNCTION("""COMPUTED_VALUE"""),"Gouveia, L. ")</f>
        <v xml:space="preserve">Gouveia, L. </v>
      </c>
      <c r="M233" s="10"/>
      <c r="N233" s="10"/>
      <c r="O233" s="10"/>
      <c r="P233" s="10"/>
      <c r="Q233" s="10"/>
      <c r="R233" s="10"/>
      <c r="S233" s="10"/>
      <c r="T233" s="10"/>
      <c r="U233" s="10"/>
      <c r="V233" s="10"/>
      <c r="W233" s="10"/>
      <c r="X233" s="10"/>
      <c r="Y233" s="10"/>
      <c r="Z233" s="10"/>
    </row>
    <row r="234" spans="1:26" ht="17.25" customHeight="1" x14ac:dyDescent="0.3">
      <c r="A234" s="10" t="s">
        <v>368</v>
      </c>
      <c r="B234" s="10">
        <f t="shared" si="0"/>
        <v>25</v>
      </c>
      <c r="C234" s="8" t="str">
        <f t="shared" si="1"/>
        <v xml:space="preserve">Silva, P. e Gouveia, L. </v>
      </c>
      <c r="D234" s="8" t="str">
        <f t="shared" si="2"/>
        <v>2011</v>
      </c>
      <c r="E234" s="10">
        <f t="shared" si="3"/>
        <v>30</v>
      </c>
      <c r="F234" s="10">
        <f t="shared" si="4"/>
        <v>100</v>
      </c>
      <c r="G234" s="8" t="str">
        <f t="shared" si="5"/>
        <v xml:space="preserve"> On Learning Spaces in Higher Education: Space as an Agent of Change. </v>
      </c>
      <c r="H234" s="10" t="str">
        <f t="shared" si="6"/>
        <v xml:space="preserve">Silva, P. e Gouveia, L. </v>
      </c>
      <c r="I234" s="10" t="str">
        <f t="shared" si="7"/>
        <v xml:space="preserve">Silva, P. e Gouveia, L. </v>
      </c>
      <c r="J234" s="10" t="str">
        <f t="shared" si="8"/>
        <v xml:space="preserve">Silva, P.;Gouveia, L. </v>
      </c>
      <c r="K234" s="11" t="str">
        <f ca="1">IFERROR(__xludf.DUMMYFUNCTION("SPLIT(J234,"";"")"),"Silva, P.")</f>
        <v>Silva, P.</v>
      </c>
      <c r="L234" s="10" t="str">
        <f ca="1">IFERROR(__xludf.DUMMYFUNCTION("""COMPUTED_VALUE"""),"Gouveia, L. ")</f>
        <v xml:space="preserve">Gouveia, L. </v>
      </c>
      <c r="M234" s="10"/>
      <c r="N234" s="10"/>
      <c r="O234" s="10"/>
      <c r="P234" s="10"/>
      <c r="Q234" s="10"/>
      <c r="R234" s="10"/>
      <c r="S234" s="10"/>
      <c r="T234" s="10"/>
      <c r="U234" s="10"/>
      <c r="V234" s="10"/>
      <c r="W234" s="10"/>
      <c r="X234" s="10"/>
      <c r="Y234" s="10"/>
      <c r="Z234" s="10"/>
    </row>
    <row r="235" spans="1:26" ht="17.25" customHeight="1" x14ac:dyDescent="0.3">
      <c r="A235" s="10" t="s">
        <v>369</v>
      </c>
      <c r="B235" s="10">
        <f t="shared" si="0"/>
        <v>28</v>
      </c>
      <c r="C235" s="8" t="str">
        <f t="shared" si="1"/>
        <v xml:space="preserve">Abrantes, S. e Gouveia, L. </v>
      </c>
      <c r="D235" s="8" t="str">
        <f t="shared" si="2"/>
        <v>2011</v>
      </c>
      <c r="E235" s="10">
        <f t="shared" si="3"/>
        <v>33</v>
      </c>
      <c r="F235" s="10">
        <f t="shared" si="4"/>
        <v>164</v>
      </c>
      <c r="G235" s="8" t="str">
        <f t="shared" si="5"/>
        <v xml:space="preserve"> Comparing Google Groups use by evaluating flow experience and generated messages in laptop and desktop higher education students. </v>
      </c>
      <c r="H235" s="10" t="str">
        <f t="shared" si="6"/>
        <v xml:space="preserve">Abrantes, S. e Gouveia, L. </v>
      </c>
      <c r="I235" s="10" t="str">
        <f t="shared" si="7"/>
        <v xml:space="preserve">Abrantes, S. e Gouveia, L. </v>
      </c>
      <c r="J235" s="10" t="str">
        <f t="shared" si="8"/>
        <v xml:space="preserve">Abrantes, S.;Gouveia, L. </v>
      </c>
      <c r="K235" s="11" t="str">
        <f ca="1">IFERROR(__xludf.DUMMYFUNCTION("SPLIT(J235,"";"")"),"Abrantes, S.")</f>
        <v>Abrantes, S.</v>
      </c>
      <c r="L235" s="10" t="str">
        <f ca="1">IFERROR(__xludf.DUMMYFUNCTION("""COMPUTED_VALUE"""),"Gouveia, L. ")</f>
        <v xml:space="preserve">Gouveia, L. </v>
      </c>
      <c r="M235" s="10"/>
      <c r="N235" s="10"/>
      <c r="O235" s="10"/>
      <c r="P235" s="10"/>
      <c r="Q235" s="10"/>
      <c r="R235" s="10"/>
      <c r="S235" s="10"/>
      <c r="T235" s="10"/>
      <c r="U235" s="10"/>
      <c r="V235" s="10"/>
      <c r="W235" s="10"/>
      <c r="X235" s="10"/>
      <c r="Y235" s="10"/>
      <c r="Z235" s="10"/>
    </row>
    <row r="236" spans="1:26" ht="17.25" customHeight="1" x14ac:dyDescent="0.3">
      <c r="A236" s="10" t="s">
        <v>370</v>
      </c>
      <c r="B236" s="10">
        <f t="shared" si="0"/>
        <v>27</v>
      </c>
      <c r="C236" s="8" t="str">
        <f t="shared" si="1"/>
        <v xml:space="preserve">Fidalgo, F. e Gouveia, L. </v>
      </c>
      <c r="D236" s="8" t="str">
        <f t="shared" si="2"/>
        <v>2011</v>
      </c>
      <c r="E236" s="10">
        <f t="shared" si="3"/>
        <v>32</v>
      </c>
      <c r="F236" s="10">
        <f t="shared" si="4"/>
        <v>101</v>
      </c>
      <c r="G236" s="8" t="str">
        <f t="shared" si="5"/>
        <v xml:space="preserve"> O impacto da rotatividade na Gestão do Conhecimento Organizacional. </v>
      </c>
      <c r="H236" s="10" t="str">
        <f t="shared" si="6"/>
        <v xml:space="preserve">Fidalgo, F. e Gouveia, L. </v>
      </c>
      <c r="I236" s="10" t="str">
        <f t="shared" si="7"/>
        <v xml:space="preserve">Fidalgo, F. e Gouveia, L. </v>
      </c>
      <c r="J236" s="10" t="str">
        <f t="shared" si="8"/>
        <v xml:space="preserve">Fidalgo, F.;Gouveia, L. </v>
      </c>
      <c r="K236" s="11" t="str">
        <f ca="1">IFERROR(__xludf.DUMMYFUNCTION("SPLIT(J236,"";"")"),"Fidalgo, F.")</f>
        <v>Fidalgo, F.</v>
      </c>
      <c r="L236" s="10" t="str">
        <f ca="1">IFERROR(__xludf.DUMMYFUNCTION("""COMPUTED_VALUE"""),"Gouveia, L. ")</f>
        <v xml:space="preserve">Gouveia, L. </v>
      </c>
      <c r="M236" s="10"/>
      <c r="N236" s="10"/>
      <c r="O236" s="10"/>
      <c r="P236" s="10"/>
      <c r="Q236" s="10"/>
      <c r="R236" s="10"/>
      <c r="S236" s="10"/>
      <c r="T236" s="10"/>
      <c r="U236" s="10"/>
      <c r="V236" s="10"/>
      <c r="W236" s="10"/>
      <c r="X236" s="10"/>
      <c r="Y236" s="10"/>
      <c r="Z236" s="10"/>
    </row>
    <row r="237" spans="1:26" ht="17.25" customHeight="1" x14ac:dyDescent="0.3">
      <c r="A237" s="10" t="s">
        <v>371</v>
      </c>
      <c r="B237" s="10">
        <f t="shared" si="0"/>
        <v>28</v>
      </c>
      <c r="C237" s="8" t="str">
        <f t="shared" si="1"/>
        <v xml:space="preserve">Abrantes, S. e Gouveia, L. </v>
      </c>
      <c r="D237" s="8" t="str">
        <f t="shared" si="2"/>
        <v>2011</v>
      </c>
      <c r="E237" s="10">
        <f t="shared" si="3"/>
        <v>33</v>
      </c>
      <c r="F237" s="10">
        <f t="shared" si="4"/>
        <v>159</v>
      </c>
      <c r="G237" s="8" t="str">
        <f t="shared" si="5"/>
        <v xml:space="preserve"> Avaliação do uso do Google Groups com desktops ou laptops enquanto ambiente colaborativo: o caso da qualidade das mensagens. </v>
      </c>
      <c r="H237" s="10" t="str">
        <f t="shared" si="6"/>
        <v xml:space="preserve">Abrantes, S. e Gouveia, L. </v>
      </c>
      <c r="I237" s="10" t="str">
        <f t="shared" si="7"/>
        <v xml:space="preserve">Abrantes, S. e Gouveia, L. </v>
      </c>
      <c r="J237" s="10" t="str">
        <f t="shared" si="8"/>
        <v xml:space="preserve">Abrantes, S.;Gouveia, L. </v>
      </c>
      <c r="K237" s="11" t="str">
        <f ca="1">IFERROR(__xludf.DUMMYFUNCTION("SPLIT(J237,"";"")"),"Abrantes, S.")</f>
        <v>Abrantes, S.</v>
      </c>
      <c r="L237" s="10" t="str">
        <f ca="1">IFERROR(__xludf.DUMMYFUNCTION("""COMPUTED_VALUE"""),"Gouveia, L. ")</f>
        <v xml:space="preserve">Gouveia, L. </v>
      </c>
      <c r="M237" s="10"/>
      <c r="N237" s="10"/>
      <c r="O237" s="10"/>
      <c r="P237" s="10"/>
      <c r="Q237" s="10"/>
      <c r="R237" s="10"/>
      <c r="S237" s="10"/>
      <c r="T237" s="10"/>
      <c r="U237" s="10"/>
      <c r="V237" s="10"/>
      <c r="W237" s="10"/>
      <c r="X237" s="10"/>
      <c r="Y237" s="10"/>
      <c r="Z237" s="10"/>
    </row>
    <row r="238" spans="1:26" ht="17.25" customHeight="1" x14ac:dyDescent="0.3">
      <c r="A238" s="10" t="s">
        <v>372</v>
      </c>
      <c r="B238" s="10">
        <f t="shared" si="0"/>
        <v>25</v>
      </c>
      <c r="C238" s="8" t="str">
        <f t="shared" si="1"/>
        <v xml:space="preserve">Sousa, A. e Gouveia, L. </v>
      </c>
      <c r="D238" s="8" t="str">
        <f t="shared" si="2"/>
        <v>2011</v>
      </c>
      <c r="E238" s="10">
        <f t="shared" si="3"/>
        <v>30</v>
      </c>
      <c r="F238" s="10">
        <f t="shared" si="4"/>
        <v>106</v>
      </c>
      <c r="G238" s="8" t="str">
        <f t="shared" si="5"/>
        <v xml:space="preserve"> Governómetro: uma Aplicação Web para Monitorizar a Actividade Governativa. </v>
      </c>
      <c r="H238" s="10" t="str">
        <f t="shared" si="6"/>
        <v xml:space="preserve">Sousa, A. e Gouveia, L. </v>
      </c>
      <c r="I238" s="10" t="str">
        <f t="shared" si="7"/>
        <v xml:space="preserve">Sousa, A. e Gouveia, L. </v>
      </c>
      <c r="J238" s="10" t="str">
        <f t="shared" si="8"/>
        <v xml:space="preserve">Sousa, A.;Gouveia, L. </v>
      </c>
      <c r="K238" s="11" t="str">
        <f ca="1">IFERROR(__xludf.DUMMYFUNCTION("SPLIT(J238,"";"")"),"Sousa, A.")</f>
        <v>Sousa, A.</v>
      </c>
      <c r="L238" s="10" t="str">
        <f ca="1">IFERROR(__xludf.DUMMYFUNCTION("""COMPUTED_VALUE"""),"Gouveia, L. ")</f>
        <v xml:space="preserve">Gouveia, L. </v>
      </c>
      <c r="M238" s="10"/>
      <c r="N238" s="10"/>
      <c r="O238" s="10"/>
      <c r="P238" s="10"/>
      <c r="Q238" s="10"/>
      <c r="R238" s="10"/>
      <c r="S238" s="10"/>
      <c r="T238" s="10"/>
      <c r="U238" s="10"/>
      <c r="V238" s="10"/>
      <c r="W238" s="10"/>
      <c r="X238" s="10"/>
      <c r="Y238" s="10"/>
      <c r="Z238" s="10"/>
    </row>
    <row r="239" spans="1:26" ht="17.25" customHeight="1" x14ac:dyDescent="0.3">
      <c r="A239" s="10" t="s">
        <v>373</v>
      </c>
      <c r="B239" s="10">
        <f t="shared" si="0"/>
        <v>39</v>
      </c>
      <c r="C239" s="8" t="str">
        <f t="shared" si="1"/>
        <v xml:space="preserve">Peres, P. e Pimenta, P. e Gouveia, L. </v>
      </c>
      <c r="D239" s="8" t="str">
        <f t="shared" si="2"/>
        <v>2011</v>
      </c>
      <c r="E239" s="10">
        <f t="shared" si="3"/>
        <v>44</v>
      </c>
      <c r="F239" s="10">
        <f t="shared" si="4"/>
        <v>108</v>
      </c>
      <c r="G239" s="8" t="str">
        <f t="shared" si="5"/>
        <v xml:space="preserve"> Planeamento pedagógico: documentos, mobilidade e reutilização. </v>
      </c>
      <c r="H239" s="10" t="str">
        <f t="shared" si="6"/>
        <v xml:space="preserve">Peres, P. e Pimenta, P. e Gouveia, L. </v>
      </c>
      <c r="I239" s="10" t="str">
        <f t="shared" si="7"/>
        <v xml:space="preserve">Peres, P. e Pimenta, P. e Gouveia, L. </v>
      </c>
      <c r="J239" s="10" t="str">
        <f t="shared" si="8"/>
        <v xml:space="preserve">Peres, P.;Pimenta, P.;Gouveia, L. </v>
      </c>
      <c r="K239" s="11" t="str">
        <f ca="1">IFERROR(__xludf.DUMMYFUNCTION("SPLIT(J239,"";"")"),"Peres, P.")</f>
        <v>Peres, P.</v>
      </c>
      <c r="L239" s="10" t="str">
        <f ca="1">IFERROR(__xludf.DUMMYFUNCTION("""COMPUTED_VALUE"""),"Pimenta, P.")</f>
        <v>Pimenta, P.</v>
      </c>
      <c r="M239" s="10" t="str">
        <f ca="1">IFERROR(__xludf.DUMMYFUNCTION("""COMPUTED_VALUE"""),"Gouveia, L. ")</f>
        <v xml:space="preserve">Gouveia, L. </v>
      </c>
      <c r="N239" s="10"/>
      <c r="O239" s="10"/>
      <c r="P239" s="10"/>
      <c r="Q239" s="10"/>
      <c r="R239" s="10"/>
      <c r="S239" s="10"/>
      <c r="T239" s="10"/>
      <c r="U239" s="10"/>
      <c r="V239" s="10"/>
      <c r="W239" s="10"/>
      <c r="X239" s="10"/>
      <c r="Y239" s="10"/>
      <c r="Z239" s="10"/>
    </row>
    <row r="240" spans="1:26" ht="17.25" customHeight="1" x14ac:dyDescent="0.3">
      <c r="A240" s="10" t="s">
        <v>374</v>
      </c>
      <c r="B240" s="10">
        <f t="shared" si="0"/>
        <v>25</v>
      </c>
      <c r="C240" s="8" t="str">
        <f t="shared" si="1"/>
        <v xml:space="preserve">Peres, P. e Gouveia, L. </v>
      </c>
      <c r="D240" s="8" t="str">
        <f t="shared" si="2"/>
        <v>2011</v>
      </c>
      <c r="E240" s="10">
        <f t="shared" si="3"/>
        <v>30</v>
      </c>
      <c r="F240" s="10">
        <f t="shared" si="4"/>
        <v>108</v>
      </c>
      <c r="G240" s="8" t="str">
        <f t="shared" si="5"/>
        <v xml:space="preserve"> The e-learning in the Portuguese Higher Education: past, present and future. </v>
      </c>
      <c r="H240" s="10" t="str">
        <f t="shared" si="6"/>
        <v xml:space="preserve">Peres, P. e Gouveia, L. </v>
      </c>
      <c r="I240" s="10" t="str">
        <f t="shared" si="7"/>
        <v xml:space="preserve">Peres, P. e Gouveia, L. </v>
      </c>
      <c r="J240" s="10" t="str">
        <f t="shared" si="8"/>
        <v xml:space="preserve">Peres, P.;Gouveia, L. </v>
      </c>
      <c r="K240" s="11" t="str">
        <f ca="1">IFERROR(__xludf.DUMMYFUNCTION("SPLIT(J240,"";"")"),"Peres, P.")</f>
        <v>Peres, P.</v>
      </c>
      <c r="L240" s="10" t="str">
        <f ca="1">IFERROR(__xludf.DUMMYFUNCTION("""COMPUTED_VALUE"""),"Gouveia, L. ")</f>
        <v xml:space="preserve">Gouveia, L. </v>
      </c>
      <c r="M240" s="10"/>
      <c r="N240" s="10"/>
      <c r="O240" s="10"/>
      <c r="P240" s="10"/>
      <c r="Q240" s="10"/>
      <c r="R240" s="10"/>
      <c r="S240" s="10"/>
      <c r="T240" s="10"/>
      <c r="U240" s="10"/>
      <c r="V240" s="10"/>
      <c r="W240" s="10"/>
      <c r="X240" s="10"/>
      <c r="Y240" s="10"/>
      <c r="Z240" s="10"/>
    </row>
    <row r="241" spans="1:26" ht="17.25" customHeight="1" x14ac:dyDescent="0.3">
      <c r="A241" s="10" t="s">
        <v>375</v>
      </c>
      <c r="B241" s="10">
        <f t="shared" si="0"/>
        <v>27</v>
      </c>
      <c r="C241" s="8" t="str">
        <f t="shared" si="1"/>
        <v xml:space="preserve">Silva, P. and Gouveia, L. </v>
      </c>
      <c r="D241" s="8" t="str">
        <f t="shared" si="2"/>
        <v>2011</v>
      </c>
      <c r="E241" s="10">
        <f t="shared" si="3"/>
        <v>32</v>
      </c>
      <c r="F241" s="10">
        <f t="shared" si="4"/>
        <v>81</v>
      </c>
      <c r="G241" s="8" t="str">
        <f t="shared" si="5"/>
        <v xml:space="preserve"> Learning Spaces Framework Qualitative findings. </v>
      </c>
      <c r="H241" s="10" t="str">
        <f t="shared" si="6"/>
        <v xml:space="preserve">Silva, P. ; Gouveia, L. </v>
      </c>
      <c r="I241" s="10" t="str">
        <f t="shared" si="7"/>
        <v xml:space="preserve">Silva, P. ; Gouveia, L. </v>
      </c>
      <c r="J241" s="10" t="str">
        <f t="shared" si="8"/>
        <v xml:space="preserve">Silva, P. ; Gouveia, L. </v>
      </c>
      <c r="K241" s="11" t="str">
        <f ca="1">IFERROR(__xludf.DUMMYFUNCTION("SPLIT(J241,"";"")"),"Silva, P. ")</f>
        <v xml:space="preserve">Silva, P. </v>
      </c>
      <c r="L241" s="10" t="str">
        <f ca="1">IFERROR(__xludf.DUMMYFUNCTION("""COMPUTED_VALUE""")," Gouveia, L. ")</f>
        <v xml:space="preserve"> Gouveia, L. </v>
      </c>
      <c r="M241" s="10"/>
      <c r="N241" s="10"/>
      <c r="O241" s="10"/>
      <c r="P241" s="10"/>
      <c r="Q241" s="10"/>
      <c r="R241" s="10"/>
      <c r="S241" s="10"/>
      <c r="T241" s="10"/>
      <c r="U241" s="10"/>
      <c r="V241" s="10"/>
      <c r="W241" s="10"/>
      <c r="X241" s="10"/>
      <c r="Y241" s="10"/>
      <c r="Z241" s="10"/>
    </row>
    <row r="242" spans="1:26" ht="17.25" customHeight="1" x14ac:dyDescent="0.3">
      <c r="A242" s="10" t="s">
        <v>376</v>
      </c>
      <c r="B242" s="10">
        <f t="shared" si="0"/>
        <v>82</v>
      </c>
      <c r="C242" s="8" t="str">
        <f t="shared" si="1"/>
        <v xml:space="preserve">Dias, A.; Santos, C.; Costa, C.; Gouveia, L.; Peres, P.; Simões, P. e Torrão, S. </v>
      </c>
      <c r="D242" s="8" t="str">
        <f t="shared" si="2"/>
        <v>2010</v>
      </c>
      <c r="E242" s="10">
        <f t="shared" si="3"/>
        <v>87</v>
      </c>
      <c r="F242" s="10">
        <f t="shared" si="4"/>
        <v>147</v>
      </c>
      <c r="G242" s="8" t="str">
        <f t="shared" si="5"/>
        <v xml:space="preserve"> Workshop sobre LMS vs PLE: fusão ou choque? TICEduca 2010. </v>
      </c>
      <c r="H242" s="10" t="str">
        <f t="shared" si="6"/>
        <v xml:space="preserve">Dias, A.; Santos, C.; Costa, C.; Gouveia, L.; Peres, P.; Simões, P. e Torrão, S. </v>
      </c>
      <c r="I242" s="10" t="str">
        <f t="shared" si="7"/>
        <v xml:space="preserve">Dias, A.; Santos, C.; Costa, C.; Gouveia, L.; Peres, P.; Simões, P. e Torrão, S. </v>
      </c>
      <c r="J242" s="10" t="str">
        <f t="shared" si="8"/>
        <v xml:space="preserve">Dias, A.; Santos, C.; Costa, C.; Gouveia, L.; Peres, P.; Simões, P.;Torrão, S. </v>
      </c>
      <c r="K242" s="11" t="str">
        <f ca="1">IFERROR(__xludf.DUMMYFUNCTION("SPLIT(J242,"";"")"),"Dias, A.")</f>
        <v>Dias, A.</v>
      </c>
      <c r="L242" s="10" t="str">
        <f ca="1">IFERROR(__xludf.DUMMYFUNCTION("""COMPUTED_VALUE""")," Santos, C.")</f>
        <v xml:space="preserve"> Santos, C.</v>
      </c>
      <c r="M242" s="10" t="str">
        <f ca="1">IFERROR(__xludf.DUMMYFUNCTION("""COMPUTED_VALUE""")," Costa, C.")</f>
        <v xml:space="preserve"> Costa, C.</v>
      </c>
      <c r="N242" s="10" t="str">
        <f ca="1">IFERROR(__xludf.DUMMYFUNCTION("""COMPUTED_VALUE""")," Gouveia, L.")</f>
        <v xml:space="preserve"> Gouveia, L.</v>
      </c>
      <c r="O242" s="10" t="str">
        <f ca="1">IFERROR(__xludf.DUMMYFUNCTION("""COMPUTED_VALUE""")," Peres, P.")</f>
        <v xml:space="preserve"> Peres, P.</v>
      </c>
      <c r="P242" s="10" t="str">
        <f ca="1">IFERROR(__xludf.DUMMYFUNCTION("""COMPUTED_VALUE""")," Simões, P.")</f>
        <v xml:space="preserve"> Simões, P.</v>
      </c>
      <c r="Q242" s="10" t="str">
        <f ca="1">IFERROR(__xludf.DUMMYFUNCTION("""COMPUTED_VALUE"""),"Torrão, S. ")</f>
        <v xml:space="preserve">Torrão, S. </v>
      </c>
      <c r="R242" s="10"/>
      <c r="S242" s="10"/>
      <c r="T242" s="10"/>
      <c r="U242" s="10"/>
      <c r="V242" s="10"/>
      <c r="W242" s="10"/>
      <c r="X242" s="10"/>
      <c r="Y242" s="10"/>
      <c r="Z242" s="10"/>
    </row>
    <row r="243" spans="1:26" ht="17.25" customHeight="1" x14ac:dyDescent="0.3">
      <c r="A243" s="10" t="s">
        <v>377</v>
      </c>
      <c r="B243" s="10">
        <f t="shared" si="0"/>
        <v>28</v>
      </c>
      <c r="C243" s="8" t="str">
        <f t="shared" si="1"/>
        <v xml:space="preserve">Abrantes, S. e Gouveia, L. </v>
      </c>
      <c r="D243" s="8" t="str">
        <f t="shared" si="2"/>
        <v>2010</v>
      </c>
      <c r="E243" s="10">
        <f t="shared" si="3"/>
        <v>33</v>
      </c>
      <c r="F243" s="10">
        <f t="shared" si="4"/>
        <v>157</v>
      </c>
      <c r="G243" s="8" t="str">
        <f t="shared" si="5"/>
        <v xml:space="preserve"> A comparison study on early adoption of mobile devices and desktops within collaborative environments in higher education. </v>
      </c>
      <c r="H243" s="10" t="str">
        <f t="shared" si="6"/>
        <v xml:space="preserve">Abrantes, S. e Gouveia, L. </v>
      </c>
      <c r="I243" s="10" t="str">
        <f t="shared" si="7"/>
        <v xml:space="preserve">Abrantes, S. e Gouveia, L. </v>
      </c>
      <c r="J243" s="10" t="str">
        <f t="shared" si="8"/>
        <v xml:space="preserve">Abrantes, S.;Gouveia, L. </v>
      </c>
      <c r="K243" s="11" t="str">
        <f ca="1">IFERROR(__xludf.DUMMYFUNCTION("SPLIT(J243,"";"")"),"Abrantes, S.")</f>
        <v>Abrantes, S.</v>
      </c>
      <c r="L243" s="10" t="str">
        <f ca="1">IFERROR(__xludf.DUMMYFUNCTION("""COMPUTED_VALUE"""),"Gouveia, L. ")</f>
        <v xml:space="preserve">Gouveia, L. </v>
      </c>
      <c r="M243" s="10"/>
      <c r="N243" s="10"/>
      <c r="O243" s="10"/>
      <c r="P243" s="10"/>
      <c r="Q243" s="10"/>
      <c r="R243" s="10"/>
      <c r="S243" s="10"/>
      <c r="T243" s="10"/>
      <c r="U243" s="10"/>
      <c r="V243" s="10"/>
      <c r="W243" s="10"/>
      <c r="X243" s="10"/>
      <c r="Y243" s="10"/>
      <c r="Z243" s="10"/>
    </row>
    <row r="244" spans="1:26" ht="17.25" customHeight="1" x14ac:dyDescent="0.3">
      <c r="A244" s="10" t="s">
        <v>378</v>
      </c>
      <c r="B244" s="10">
        <f t="shared" si="0"/>
        <v>39</v>
      </c>
      <c r="C244" s="8" t="str">
        <f t="shared" si="1"/>
        <v xml:space="preserve">Sousa, A.; Agante, P. and Gouveia, L. </v>
      </c>
      <c r="D244" s="8" t="str">
        <f t="shared" si="2"/>
        <v>2010</v>
      </c>
      <c r="E244" s="10">
        <f t="shared" si="3"/>
        <v>44</v>
      </c>
      <c r="F244" s="10">
        <f t="shared" si="4"/>
        <v>101</v>
      </c>
      <c r="G244" s="8" t="str">
        <f t="shared" si="5"/>
        <v xml:space="preserve"> Liberopinion: a Web Platform for Enhancing e-Democracy. </v>
      </c>
      <c r="H244" s="10" t="str">
        <f t="shared" si="6"/>
        <v xml:space="preserve">Sousa, A.; Agante, P. ; Gouveia, L. </v>
      </c>
      <c r="I244" s="10" t="str">
        <f t="shared" si="7"/>
        <v xml:space="preserve">Sousa, A.; Agante, P. ; Gouveia, L. </v>
      </c>
      <c r="J244" s="10" t="str">
        <f t="shared" si="8"/>
        <v xml:space="preserve">Sousa, A.; Agante, P. ; Gouveia, L. </v>
      </c>
      <c r="K244" s="11" t="str">
        <f ca="1">IFERROR(__xludf.DUMMYFUNCTION("SPLIT(J244,"";"")"),"Sousa, A.")</f>
        <v>Sousa, A.</v>
      </c>
      <c r="L244" s="10" t="str">
        <f ca="1">IFERROR(__xludf.DUMMYFUNCTION("""COMPUTED_VALUE""")," Agante, P. ")</f>
        <v xml:space="preserve"> Agante, P. </v>
      </c>
      <c r="M244" s="10" t="str">
        <f ca="1">IFERROR(__xludf.DUMMYFUNCTION("""COMPUTED_VALUE""")," Gouveia, L. ")</f>
        <v xml:space="preserve"> Gouveia, L. </v>
      </c>
      <c r="N244" s="10"/>
      <c r="O244" s="10"/>
      <c r="P244" s="10"/>
      <c r="Q244" s="10"/>
      <c r="R244" s="10"/>
      <c r="S244" s="10"/>
      <c r="T244" s="10"/>
      <c r="U244" s="10"/>
      <c r="V244" s="10"/>
      <c r="W244" s="10"/>
      <c r="X244" s="10"/>
      <c r="Y244" s="10"/>
      <c r="Z244" s="10"/>
    </row>
    <row r="245" spans="1:26" ht="17.25" customHeight="1" x14ac:dyDescent="0.3">
      <c r="A245" s="10" t="s">
        <v>379</v>
      </c>
      <c r="B245" s="10">
        <f t="shared" si="0"/>
        <v>39</v>
      </c>
      <c r="C245" s="8" t="str">
        <f t="shared" si="1"/>
        <v xml:space="preserve">Sousa, A.; Agante, P. and Gouveia, L. </v>
      </c>
      <c r="D245" s="8" t="str">
        <f t="shared" si="2"/>
        <v>2010</v>
      </c>
      <c r="E245" s="10">
        <f t="shared" si="3"/>
        <v>44</v>
      </c>
      <c r="F245" s="10">
        <f t="shared" si="4"/>
        <v>93</v>
      </c>
      <c r="G245" s="8" t="str">
        <f t="shared" si="5"/>
        <v xml:space="preserve"> Governmeter: monitoring government performance. </v>
      </c>
      <c r="H245" s="10" t="str">
        <f t="shared" si="6"/>
        <v xml:space="preserve">Sousa, A.; Agante, P. ; Gouveia, L. </v>
      </c>
      <c r="I245" s="10" t="str">
        <f t="shared" si="7"/>
        <v xml:space="preserve">Sousa, A.; Agante, P. ; Gouveia, L. </v>
      </c>
      <c r="J245" s="10" t="str">
        <f t="shared" si="8"/>
        <v xml:space="preserve">Sousa, A.; Agante, P. ; Gouveia, L. </v>
      </c>
      <c r="K245" s="11" t="str">
        <f ca="1">IFERROR(__xludf.DUMMYFUNCTION("SPLIT(J245,"";"")"),"Sousa, A.")</f>
        <v>Sousa, A.</v>
      </c>
      <c r="L245" s="10" t="str">
        <f ca="1">IFERROR(__xludf.DUMMYFUNCTION("""COMPUTED_VALUE""")," Agante, P. ")</f>
        <v xml:space="preserve"> Agante, P. </v>
      </c>
      <c r="M245" s="10" t="str">
        <f ca="1">IFERROR(__xludf.DUMMYFUNCTION("""COMPUTED_VALUE""")," Gouveia, L. ")</f>
        <v xml:space="preserve"> Gouveia, L. </v>
      </c>
      <c r="N245" s="10"/>
      <c r="O245" s="10"/>
      <c r="P245" s="10"/>
      <c r="Q245" s="10"/>
      <c r="R245" s="10"/>
      <c r="S245" s="10"/>
      <c r="T245" s="10"/>
      <c r="U245" s="10"/>
      <c r="V245" s="10"/>
      <c r="W245" s="10"/>
      <c r="X245" s="10"/>
      <c r="Y245" s="10"/>
      <c r="Z245" s="10"/>
    </row>
    <row r="246" spans="1:26" ht="17.25" customHeight="1" x14ac:dyDescent="0.3">
      <c r="A246" s="10" t="s">
        <v>380</v>
      </c>
      <c r="B246" s="10">
        <f t="shared" si="0"/>
        <v>39</v>
      </c>
      <c r="C246" s="8" t="str">
        <f t="shared" si="1"/>
        <v xml:space="preserve">Sousa, A.; Agante, P. and Gouveia, L. </v>
      </c>
      <c r="D246" s="8" t="str">
        <f t="shared" si="2"/>
        <v>2010</v>
      </c>
      <c r="E246" s="10">
        <f t="shared" si="3"/>
        <v>44</v>
      </c>
      <c r="F246" s="10">
        <f t="shared" si="4"/>
        <v>101</v>
      </c>
      <c r="G246" s="8" t="str">
        <f t="shared" si="5"/>
        <v xml:space="preserve"> Liberopinion: a Web Platform for Enhancing e-Democracy. </v>
      </c>
      <c r="H246" s="10" t="str">
        <f t="shared" si="6"/>
        <v xml:space="preserve">Sousa, A.; Agante, P. ; Gouveia, L. </v>
      </c>
      <c r="I246" s="10" t="str">
        <f t="shared" si="7"/>
        <v xml:space="preserve">Sousa, A.; Agante, P. ; Gouveia, L. </v>
      </c>
      <c r="J246" s="10" t="str">
        <f t="shared" si="8"/>
        <v xml:space="preserve">Sousa, A.; Agante, P. ; Gouveia, L. </v>
      </c>
      <c r="K246" s="11" t="str">
        <f ca="1">IFERROR(__xludf.DUMMYFUNCTION("SPLIT(J246,"";"")"),"Sousa, A.")</f>
        <v>Sousa, A.</v>
      </c>
      <c r="L246" s="10" t="str">
        <f ca="1">IFERROR(__xludf.DUMMYFUNCTION("""COMPUTED_VALUE""")," Agante, P. ")</f>
        <v xml:space="preserve"> Agante, P. </v>
      </c>
      <c r="M246" s="10" t="str">
        <f ca="1">IFERROR(__xludf.DUMMYFUNCTION("""COMPUTED_VALUE""")," Gouveia, L. ")</f>
        <v xml:space="preserve"> Gouveia, L. </v>
      </c>
      <c r="N246" s="10"/>
      <c r="O246" s="10"/>
      <c r="P246" s="10"/>
      <c r="Q246" s="10"/>
      <c r="R246" s="10"/>
      <c r="S246" s="10"/>
      <c r="T246" s="10"/>
      <c r="U246" s="10"/>
      <c r="V246" s="10"/>
      <c r="W246" s="10"/>
      <c r="X246" s="10"/>
      <c r="Y246" s="10"/>
      <c r="Z246" s="10"/>
    </row>
    <row r="247" spans="1:26" ht="17.25" customHeight="1" x14ac:dyDescent="0.3">
      <c r="A247" s="10" t="s">
        <v>381</v>
      </c>
      <c r="B247" s="10">
        <f t="shared" si="0"/>
        <v>28</v>
      </c>
      <c r="C247" s="8" t="str">
        <f t="shared" si="1"/>
        <v xml:space="preserve">Abrantes, S. e Gouveia, L. </v>
      </c>
      <c r="D247" s="8" t="str">
        <f t="shared" si="2"/>
        <v>2010</v>
      </c>
      <c r="E247" s="10">
        <f t="shared" si="3"/>
        <v>33</v>
      </c>
      <c r="F247" s="10">
        <f t="shared" si="4"/>
        <v>86</v>
      </c>
      <c r="G247" s="8" t="str">
        <f t="shared" si="5"/>
        <v xml:space="preserve"> Laptops vs Desktops in a Google Groups environment. </v>
      </c>
      <c r="H247" s="10" t="str">
        <f t="shared" si="6"/>
        <v xml:space="preserve">Abrantes, S. e Gouveia, L. </v>
      </c>
      <c r="I247" s="10" t="str">
        <f t="shared" si="7"/>
        <v xml:space="preserve">Abrantes, S. e Gouveia, L. </v>
      </c>
      <c r="J247" s="10" t="str">
        <f t="shared" si="8"/>
        <v xml:space="preserve">Abrantes, S.;Gouveia, L. </v>
      </c>
      <c r="K247" s="11" t="str">
        <f ca="1">IFERROR(__xludf.DUMMYFUNCTION("SPLIT(J247,"";"")"),"Abrantes, S.")</f>
        <v>Abrantes, S.</v>
      </c>
      <c r="L247" s="10" t="str">
        <f ca="1">IFERROR(__xludf.DUMMYFUNCTION("""COMPUTED_VALUE"""),"Gouveia, L. ")</f>
        <v xml:space="preserve">Gouveia, L. </v>
      </c>
      <c r="M247" s="10"/>
      <c r="N247" s="10"/>
      <c r="O247" s="10"/>
      <c r="P247" s="10"/>
      <c r="Q247" s="10"/>
      <c r="R247" s="10"/>
      <c r="S247" s="10"/>
      <c r="T247" s="10"/>
      <c r="U247" s="10"/>
      <c r="V247" s="10"/>
      <c r="W247" s="10"/>
      <c r="X247" s="10"/>
      <c r="Y247" s="10"/>
      <c r="Z247" s="10"/>
    </row>
    <row r="248" spans="1:26" ht="17.25" customHeight="1" x14ac:dyDescent="0.3">
      <c r="A248" s="10" t="s">
        <v>382</v>
      </c>
      <c r="B248" s="10">
        <f t="shared" si="0"/>
        <v>28</v>
      </c>
      <c r="C248" s="8" t="str">
        <f t="shared" si="1"/>
        <v xml:space="preserve">Abrantes, S. e Gouveia, L. </v>
      </c>
      <c r="D248" s="8" t="str">
        <f t="shared" si="2"/>
        <v>2010</v>
      </c>
      <c r="E248" s="10">
        <f t="shared" si="3"/>
        <v>33</v>
      </c>
      <c r="F248" s="10">
        <f t="shared" si="4"/>
        <v>116</v>
      </c>
      <c r="G248" s="8" t="str">
        <f t="shared" si="5"/>
        <v xml:space="preserve"> A study on the usage of mobile devices in collaborative environments vs desktops. </v>
      </c>
      <c r="H248" s="10" t="str">
        <f t="shared" si="6"/>
        <v xml:space="preserve">Abrantes, S. e Gouveia, L. </v>
      </c>
      <c r="I248" s="10" t="str">
        <f t="shared" si="7"/>
        <v xml:space="preserve">Abrantes, S. e Gouveia, L. </v>
      </c>
      <c r="J248" s="10" t="str">
        <f t="shared" si="8"/>
        <v xml:space="preserve">Abrantes, S.;Gouveia, L. </v>
      </c>
      <c r="K248" s="11" t="str">
        <f ca="1">IFERROR(__xludf.DUMMYFUNCTION("SPLIT(J248,"";"")"),"Abrantes, S.")</f>
        <v>Abrantes, S.</v>
      </c>
      <c r="L248" s="10" t="str">
        <f ca="1">IFERROR(__xludf.DUMMYFUNCTION("""COMPUTED_VALUE"""),"Gouveia, L. ")</f>
        <v xml:space="preserve">Gouveia, L. </v>
      </c>
      <c r="M248" s="10"/>
      <c r="N248" s="10"/>
      <c r="O248" s="10"/>
      <c r="P248" s="10"/>
      <c r="Q248" s="10"/>
      <c r="R248" s="10"/>
      <c r="S248" s="10"/>
      <c r="T248" s="10"/>
      <c r="U248" s="10"/>
      <c r="V248" s="10"/>
      <c r="W248" s="10"/>
      <c r="X248" s="10"/>
      <c r="Y248" s="10"/>
      <c r="Z248" s="10"/>
    </row>
    <row r="249" spans="1:26" ht="17.25" customHeight="1" x14ac:dyDescent="0.3">
      <c r="A249" s="10" t="s">
        <v>383</v>
      </c>
      <c r="B249" s="10">
        <f t="shared" si="0"/>
        <v>25</v>
      </c>
      <c r="C249" s="8" t="str">
        <f t="shared" si="1"/>
        <v xml:space="preserve">Sousa, A. e Gouveia, L. </v>
      </c>
      <c r="D249" s="8" t="str">
        <f t="shared" si="2"/>
        <v>2010</v>
      </c>
      <c r="E249" s="10">
        <f t="shared" si="3"/>
        <v>30</v>
      </c>
      <c r="F249" s="10">
        <f t="shared" si="4"/>
        <v>77</v>
      </c>
      <c r="G249" s="8" t="str">
        <f t="shared" si="5"/>
        <v xml:space="preserve"> Liberopinion: uma plataforma para Eleições 2.0</v>
      </c>
      <c r="H249" s="10" t="str">
        <f t="shared" si="6"/>
        <v xml:space="preserve">Sousa, A. e Gouveia, L. </v>
      </c>
      <c r="I249" s="10" t="str">
        <f t="shared" si="7"/>
        <v xml:space="preserve">Sousa, A. e Gouveia, L. </v>
      </c>
      <c r="J249" s="10" t="str">
        <f t="shared" si="8"/>
        <v xml:space="preserve">Sousa, A.;Gouveia, L. </v>
      </c>
      <c r="K249" s="11" t="str">
        <f ca="1">IFERROR(__xludf.DUMMYFUNCTION("SPLIT(J249,"";"")"),"Sousa, A.")</f>
        <v>Sousa, A.</v>
      </c>
      <c r="L249" s="10" t="str">
        <f ca="1">IFERROR(__xludf.DUMMYFUNCTION("""COMPUTED_VALUE"""),"Gouveia, L. ")</f>
        <v xml:space="preserve">Gouveia, L. </v>
      </c>
      <c r="M249" s="10"/>
      <c r="N249" s="10"/>
      <c r="O249" s="10"/>
      <c r="P249" s="10"/>
      <c r="Q249" s="10"/>
      <c r="R249" s="10"/>
      <c r="S249" s="10"/>
      <c r="T249" s="10"/>
      <c r="U249" s="10"/>
      <c r="V249" s="10"/>
      <c r="W249" s="10"/>
      <c r="X249" s="10"/>
      <c r="Y249" s="10"/>
      <c r="Z249" s="10"/>
    </row>
    <row r="250" spans="1:26" ht="17.25" customHeight="1" x14ac:dyDescent="0.3">
      <c r="A250" s="10" t="s">
        <v>384</v>
      </c>
      <c r="B250" s="10">
        <f t="shared" si="0"/>
        <v>28</v>
      </c>
      <c r="C250" s="8" t="str">
        <f t="shared" si="1"/>
        <v xml:space="preserve">Abrantes, S. e Gouveia, L. </v>
      </c>
      <c r="D250" s="8" t="str">
        <f t="shared" si="2"/>
        <v>2010</v>
      </c>
      <c r="E250" s="10">
        <f t="shared" si="3"/>
        <v>33</v>
      </c>
      <c r="F250" s="10">
        <f t="shared" si="4"/>
        <v>84</v>
      </c>
      <c r="G250" s="8" t="str">
        <f t="shared" si="5"/>
        <v xml:space="preserve"> Using Google Groups in an m-learning environment. </v>
      </c>
      <c r="H250" s="10" t="str">
        <f t="shared" si="6"/>
        <v xml:space="preserve">Abrantes, S. e Gouveia, L. </v>
      </c>
      <c r="I250" s="10" t="str">
        <f t="shared" si="7"/>
        <v xml:space="preserve">Abrantes, S. e Gouveia, L. </v>
      </c>
      <c r="J250" s="10" t="str">
        <f t="shared" si="8"/>
        <v xml:space="preserve">Abrantes, S.;Gouveia, L. </v>
      </c>
      <c r="K250" s="11" t="str">
        <f ca="1">IFERROR(__xludf.DUMMYFUNCTION("SPLIT(J250,"";"")"),"Abrantes, S.")</f>
        <v>Abrantes, S.</v>
      </c>
      <c r="L250" s="10" t="str">
        <f ca="1">IFERROR(__xludf.DUMMYFUNCTION("""COMPUTED_VALUE"""),"Gouveia, L. ")</f>
        <v xml:space="preserve">Gouveia, L. </v>
      </c>
      <c r="M250" s="10"/>
      <c r="N250" s="10"/>
      <c r="O250" s="10"/>
      <c r="P250" s="10"/>
      <c r="Q250" s="10"/>
      <c r="R250" s="10"/>
      <c r="S250" s="10"/>
      <c r="T250" s="10"/>
      <c r="U250" s="10"/>
      <c r="V250" s="10"/>
      <c r="W250" s="10"/>
      <c r="X250" s="10"/>
      <c r="Y250" s="10"/>
      <c r="Z250" s="10"/>
    </row>
    <row r="251" spans="1:26" ht="17.25" customHeight="1" x14ac:dyDescent="0.3">
      <c r="A251" s="10" t="s">
        <v>385</v>
      </c>
      <c r="B251" s="10">
        <f t="shared" si="0"/>
        <v>28</v>
      </c>
      <c r="C251" s="8" t="str">
        <f t="shared" si="1"/>
        <v xml:space="preserve">Abrantes, S. e Gouveia, L. </v>
      </c>
      <c r="D251" s="8" t="str">
        <f t="shared" si="2"/>
        <v>2010</v>
      </c>
      <c r="E251" s="10">
        <f t="shared" si="3"/>
        <v>33</v>
      </c>
      <c r="F251" s="10">
        <f t="shared" si="4"/>
        <v>57</v>
      </c>
      <c r="G251" s="8" t="str">
        <f t="shared" si="5"/>
        <v xml:space="preserve"> Learning Environments. </v>
      </c>
      <c r="H251" s="10" t="str">
        <f t="shared" si="6"/>
        <v xml:space="preserve">Abrantes, S. e Gouveia, L. </v>
      </c>
      <c r="I251" s="10" t="str">
        <f t="shared" si="7"/>
        <v xml:space="preserve">Abrantes, S. e Gouveia, L. </v>
      </c>
      <c r="J251" s="10" t="str">
        <f t="shared" si="8"/>
        <v xml:space="preserve">Abrantes, S.;Gouveia, L. </v>
      </c>
      <c r="K251" s="11" t="str">
        <f ca="1">IFERROR(__xludf.DUMMYFUNCTION("SPLIT(J251,"";"")"),"Abrantes, S.")</f>
        <v>Abrantes, S.</v>
      </c>
      <c r="L251" s="10" t="str">
        <f ca="1">IFERROR(__xludf.DUMMYFUNCTION("""COMPUTED_VALUE"""),"Gouveia, L. ")</f>
        <v xml:space="preserve">Gouveia, L. </v>
      </c>
      <c r="M251" s="10"/>
      <c r="N251" s="10"/>
      <c r="O251" s="10"/>
      <c r="P251" s="10"/>
      <c r="Q251" s="10"/>
      <c r="R251" s="10"/>
      <c r="S251" s="10"/>
      <c r="T251" s="10"/>
      <c r="U251" s="10"/>
      <c r="V251" s="10"/>
      <c r="W251" s="10"/>
      <c r="X251" s="10"/>
      <c r="Y251" s="10"/>
      <c r="Z251" s="10"/>
    </row>
    <row r="252" spans="1:26" ht="17.25" customHeight="1" x14ac:dyDescent="0.3">
      <c r="A252" s="10" t="s">
        <v>386</v>
      </c>
      <c r="B252" s="10">
        <f t="shared" si="0"/>
        <v>39</v>
      </c>
      <c r="C252" s="8" t="str">
        <f t="shared" si="1"/>
        <v xml:space="preserve">Sousa, A.; Agante, P. and Gouveia, L. </v>
      </c>
      <c r="D252" s="8" t="str">
        <f t="shared" si="2"/>
        <v>2010</v>
      </c>
      <c r="E252" s="10">
        <f t="shared" si="3"/>
        <v>44</v>
      </c>
      <c r="F252" s="10">
        <f t="shared" si="4"/>
        <v>99</v>
      </c>
      <c r="G252" s="8" t="str">
        <f t="shared" si="5"/>
        <v xml:space="preserve"> Liberopinion as an enabling platform for elections 2.0</v>
      </c>
      <c r="H252" s="10" t="str">
        <f t="shared" si="6"/>
        <v xml:space="preserve">Sousa, A.; Agante, P. ; Gouveia, L. </v>
      </c>
      <c r="I252" s="10" t="str">
        <f t="shared" si="7"/>
        <v xml:space="preserve">Sousa, A.; Agante, P. ; Gouveia, L. </v>
      </c>
      <c r="J252" s="10" t="str">
        <f t="shared" si="8"/>
        <v xml:space="preserve">Sousa, A.; Agante, P. ; Gouveia, L. </v>
      </c>
      <c r="K252" s="11" t="str">
        <f ca="1">IFERROR(__xludf.DUMMYFUNCTION("SPLIT(J252,"";"")"),"Sousa, A.")</f>
        <v>Sousa, A.</v>
      </c>
      <c r="L252" s="10" t="str">
        <f ca="1">IFERROR(__xludf.DUMMYFUNCTION("""COMPUTED_VALUE""")," Agante, P. ")</f>
        <v xml:space="preserve"> Agante, P. </v>
      </c>
      <c r="M252" s="10" t="str">
        <f ca="1">IFERROR(__xludf.DUMMYFUNCTION("""COMPUTED_VALUE""")," Gouveia, L. ")</f>
        <v xml:space="preserve"> Gouveia, L. </v>
      </c>
      <c r="N252" s="10"/>
      <c r="O252" s="10"/>
      <c r="P252" s="10"/>
      <c r="Q252" s="10"/>
      <c r="R252" s="10"/>
      <c r="S252" s="10"/>
      <c r="T252" s="10"/>
      <c r="U252" s="10"/>
      <c r="V252" s="10"/>
      <c r="W252" s="10"/>
      <c r="X252" s="10"/>
      <c r="Y252" s="10"/>
      <c r="Z252" s="10"/>
    </row>
    <row r="253" spans="1:26" ht="17.25" customHeight="1" x14ac:dyDescent="0.3">
      <c r="A253" s="10" t="s">
        <v>387</v>
      </c>
      <c r="B253" s="10">
        <f t="shared" si="0"/>
        <v>25</v>
      </c>
      <c r="C253" s="8" t="str">
        <f t="shared" si="1"/>
        <v xml:space="preserve">Silva, P. e Gouveia, L. </v>
      </c>
      <c r="D253" s="8" t="str">
        <f t="shared" si="2"/>
        <v>2010</v>
      </c>
      <c r="E253" s="10">
        <f t="shared" si="3"/>
        <v>30</v>
      </c>
      <c r="F253" s="10">
        <f t="shared" si="4"/>
        <v>76</v>
      </c>
      <c r="G253" s="8" t="str">
        <f t="shared" si="5"/>
        <v xml:space="preserve"> A geração digital no novo mundo empresarial. </v>
      </c>
      <c r="H253" s="10" t="str">
        <f t="shared" si="6"/>
        <v xml:space="preserve">Silva, P. e Gouveia, L. </v>
      </c>
      <c r="I253" s="10" t="str">
        <f t="shared" si="7"/>
        <v xml:space="preserve">Silva, P. e Gouveia, L. </v>
      </c>
      <c r="J253" s="10" t="str">
        <f t="shared" si="8"/>
        <v xml:space="preserve">Silva, P.;Gouveia, L. </v>
      </c>
      <c r="K253" s="11" t="str">
        <f ca="1">IFERROR(__xludf.DUMMYFUNCTION("SPLIT(J253,"";"")"),"Silva, P.")</f>
        <v>Silva, P.</v>
      </c>
      <c r="L253" s="10" t="str">
        <f ca="1">IFERROR(__xludf.DUMMYFUNCTION("""COMPUTED_VALUE"""),"Gouveia, L. ")</f>
        <v xml:space="preserve">Gouveia, L. </v>
      </c>
      <c r="M253" s="10"/>
      <c r="N253" s="10"/>
      <c r="O253" s="10"/>
      <c r="P253" s="10"/>
      <c r="Q253" s="10"/>
      <c r="R253" s="10"/>
      <c r="S253" s="10"/>
      <c r="T253" s="10"/>
      <c r="U253" s="10"/>
      <c r="V253" s="10"/>
      <c r="W253" s="10"/>
      <c r="X253" s="10"/>
      <c r="Y253" s="10"/>
      <c r="Z253" s="10"/>
    </row>
    <row r="254" spans="1:26" ht="17.25" customHeight="1" x14ac:dyDescent="0.3">
      <c r="A254" s="10" t="s">
        <v>388</v>
      </c>
      <c r="B254" s="10">
        <f t="shared" si="0"/>
        <v>13</v>
      </c>
      <c r="C254" s="8" t="str">
        <f t="shared" si="1"/>
        <v xml:space="preserve">Gouveia, L. </v>
      </c>
      <c r="D254" s="8" t="str">
        <f t="shared" si="2"/>
        <v>2009</v>
      </c>
      <c r="E254" s="10">
        <f t="shared" si="3"/>
        <v>18</v>
      </c>
      <c r="F254" s="10">
        <f t="shared" si="4"/>
        <v>73</v>
      </c>
      <c r="G254" s="8" t="str">
        <f t="shared" si="5"/>
        <v xml:space="preserve"> O Conceito de Rede no Digital face aos Media Sociais. </v>
      </c>
      <c r="H254" s="10" t="str">
        <f t="shared" si="6"/>
        <v xml:space="preserve">Gouveia, L. </v>
      </c>
      <c r="I254" s="10" t="str">
        <f t="shared" si="7"/>
        <v xml:space="preserve">Gouveia, L. </v>
      </c>
      <c r="J254" s="10" t="str">
        <f t="shared" si="8"/>
        <v xml:space="preserve">Gouveia, L. </v>
      </c>
      <c r="K254" s="11" t="str">
        <f ca="1">IFERROR(__xludf.DUMMYFUNCTION("SPLIT(J254,"";"")"),"Gouveia, L. ")</f>
        <v xml:space="preserve">Gouveia, L. </v>
      </c>
      <c r="L254" s="10"/>
      <c r="M254" s="10"/>
      <c r="N254" s="10"/>
      <c r="O254" s="10"/>
      <c r="P254" s="10"/>
      <c r="Q254" s="10"/>
      <c r="R254" s="10"/>
      <c r="S254" s="10"/>
      <c r="T254" s="10"/>
      <c r="U254" s="10"/>
      <c r="V254" s="10"/>
      <c r="W254" s="10"/>
      <c r="X254" s="10"/>
      <c r="Y254" s="10"/>
      <c r="Z254" s="10"/>
    </row>
    <row r="255" spans="1:26" ht="17.25" customHeight="1" x14ac:dyDescent="0.3">
      <c r="A255" s="10" t="s">
        <v>389</v>
      </c>
      <c r="B255" s="10">
        <f t="shared" si="0"/>
        <v>27</v>
      </c>
      <c r="C255" s="8" t="str">
        <f t="shared" si="1"/>
        <v xml:space="preserve">Gouveia, L. e Gouveia, F. </v>
      </c>
      <c r="D255" s="8" t="str">
        <f t="shared" si="2"/>
        <v>2009</v>
      </c>
      <c r="E255" s="10">
        <f t="shared" si="3"/>
        <v>32</v>
      </c>
      <c r="F255" s="10">
        <f t="shared" si="4"/>
        <v>127</v>
      </c>
      <c r="G255" s="8" t="str">
        <f t="shared" si="5"/>
        <v xml:space="preserve"> Sakai as a Collaborative Open-source learning platform for use at University Fernando Pessoa. </v>
      </c>
      <c r="H255" s="10" t="str">
        <f t="shared" si="6"/>
        <v xml:space="preserve">Gouveia, L. e Gouveia, F. </v>
      </c>
      <c r="I255" s="10" t="str">
        <f t="shared" si="7"/>
        <v xml:space="preserve">Gouveia, L. e Gouveia, F. </v>
      </c>
      <c r="J255" s="10" t="str">
        <f t="shared" si="8"/>
        <v xml:space="preserve">Gouveia, L.;Gouveia, F. </v>
      </c>
      <c r="K255" s="11" t="str">
        <f ca="1">IFERROR(__xludf.DUMMYFUNCTION("SPLIT(J255,"";"")"),"Gouveia, L.")</f>
        <v>Gouveia, L.</v>
      </c>
      <c r="L255" s="10" t="str">
        <f ca="1">IFERROR(__xludf.DUMMYFUNCTION("""COMPUTED_VALUE"""),"Gouveia, F. ")</f>
        <v xml:space="preserve">Gouveia, F. </v>
      </c>
      <c r="M255" s="10"/>
      <c r="N255" s="10"/>
      <c r="O255" s="10"/>
      <c r="P255" s="10"/>
      <c r="Q255" s="10"/>
      <c r="R255" s="10"/>
      <c r="S255" s="10"/>
      <c r="T255" s="10"/>
      <c r="U255" s="10"/>
      <c r="V255" s="10"/>
      <c r="W255" s="10"/>
      <c r="X255" s="10"/>
      <c r="Y255" s="10"/>
      <c r="Z255" s="10"/>
    </row>
    <row r="256" spans="1:26" ht="17.25" customHeight="1" x14ac:dyDescent="0.3">
      <c r="A256" s="10" t="s">
        <v>390</v>
      </c>
      <c r="B256" s="10">
        <f t="shared" si="0"/>
        <v>27</v>
      </c>
      <c r="C256" s="8" t="str">
        <f t="shared" si="1"/>
        <v xml:space="preserve">Gouveia, L. e Gouveia, F. </v>
      </c>
      <c r="D256" s="8" t="str">
        <f t="shared" si="2"/>
        <v>2009</v>
      </c>
      <c r="E256" s="10">
        <f t="shared" si="3"/>
        <v>32</v>
      </c>
      <c r="F256" s="10">
        <f t="shared" si="4"/>
        <v>71</v>
      </c>
      <c r="G256" s="8" t="str">
        <f t="shared" si="5"/>
        <v xml:space="preserve"> Sakai experience from a real setting. </v>
      </c>
      <c r="H256" s="10" t="str">
        <f t="shared" si="6"/>
        <v xml:space="preserve">Gouveia, L. e Gouveia, F. </v>
      </c>
      <c r="I256" s="10" t="str">
        <f t="shared" si="7"/>
        <v xml:space="preserve">Gouveia, L. e Gouveia, F. </v>
      </c>
      <c r="J256" s="10" t="str">
        <f t="shared" si="8"/>
        <v xml:space="preserve">Gouveia, L.;Gouveia, F. </v>
      </c>
      <c r="K256" s="11" t="str">
        <f ca="1">IFERROR(__xludf.DUMMYFUNCTION("SPLIT(J256,"";"")"),"Gouveia, L.")</f>
        <v>Gouveia, L.</v>
      </c>
      <c r="L256" s="10" t="str">
        <f ca="1">IFERROR(__xludf.DUMMYFUNCTION("""COMPUTED_VALUE"""),"Gouveia, F. ")</f>
        <v xml:space="preserve">Gouveia, F. </v>
      </c>
      <c r="M256" s="10"/>
      <c r="N256" s="10"/>
      <c r="O256" s="10"/>
      <c r="P256" s="10"/>
      <c r="Q256" s="10"/>
      <c r="R256" s="10"/>
      <c r="S256" s="10"/>
      <c r="T256" s="10"/>
      <c r="U256" s="10"/>
      <c r="V256" s="10"/>
      <c r="W256" s="10"/>
      <c r="X256" s="10"/>
      <c r="Y256" s="10"/>
      <c r="Z256" s="10"/>
    </row>
    <row r="257" spans="1:26" ht="17.25" customHeight="1" x14ac:dyDescent="0.3">
      <c r="A257" s="10" t="s">
        <v>391</v>
      </c>
      <c r="B257" s="10">
        <f t="shared" si="0"/>
        <v>27</v>
      </c>
      <c r="C257" s="8" t="str">
        <f t="shared" si="1"/>
        <v xml:space="preserve">Simões, L. e Gouveia, L . </v>
      </c>
      <c r="D257" s="8" t="str">
        <f t="shared" si="2"/>
        <v>2009</v>
      </c>
      <c r="E257" s="10" t="e">
        <f t="shared" si="3"/>
        <v>#VALUE!</v>
      </c>
      <c r="F257" s="10" t="e">
        <f t="shared" si="4"/>
        <v>#VALUE!</v>
      </c>
      <c r="G257" s="8" t="e">
        <f t="shared" si="5"/>
        <v>#VALUE!</v>
      </c>
      <c r="H257" s="10" t="str">
        <f t="shared" si="6"/>
        <v xml:space="preserve">Simões, L. e Gouveia, L . </v>
      </c>
      <c r="I257" s="10" t="str">
        <f t="shared" si="7"/>
        <v xml:space="preserve">Simões, L. e Gouveia, L . </v>
      </c>
      <c r="J257" s="10" t="str">
        <f t="shared" si="8"/>
        <v xml:space="preserve">Simões, L.;Gouveia, L . </v>
      </c>
      <c r="K257" s="11" t="str">
        <f ca="1">IFERROR(__xludf.DUMMYFUNCTION("SPLIT(J257,"";"")"),"Simões, L.")</f>
        <v>Simões, L.</v>
      </c>
      <c r="L257" s="10" t="str">
        <f ca="1">IFERROR(__xludf.DUMMYFUNCTION("""COMPUTED_VALUE"""),"Gouveia, L . ")</f>
        <v xml:space="preserve">Gouveia, L . </v>
      </c>
      <c r="M257" s="10"/>
      <c r="N257" s="10"/>
      <c r="O257" s="10"/>
      <c r="P257" s="10"/>
      <c r="Q257" s="10"/>
      <c r="R257" s="10"/>
      <c r="S257" s="10"/>
      <c r="T257" s="10"/>
      <c r="U257" s="10"/>
      <c r="V257" s="10"/>
      <c r="W257" s="10"/>
      <c r="X257" s="10"/>
      <c r="Y257" s="10"/>
      <c r="Z257" s="10"/>
    </row>
    <row r="258" spans="1:26" ht="17.25" customHeight="1" x14ac:dyDescent="0.3">
      <c r="A258" s="10" t="s">
        <v>392</v>
      </c>
      <c r="B258" s="10">
        <f t="shared" si="0"/>
        <v>39</v>
      </c>
      <c r="C258" s="8" t="str">
        <f t="shared" si="1"/>
        <v xml:space="preserve">Gaio, S.; Gouveia, L. and Gouveia, J. </v>
      </c>
      <c r="D258" s="8" t="str">
        <f t="shared" si="2"/>
        <v>2008</v>
      </c>
      <c r="E258" s="10">
        <f t="shared" si="3"/>
        <v>44</v>
      </c>
      <c r="F258" s="10">
        <f t="shared" si="4"/>
        <v>130</v>
      </c>
      <c r="G258" s="8" t="str">
        <f t="shared" si="5"/>
        <v xml:space="preserve"> Netorwork Based Branding: a collaborative model for the development of place brands. </v>
      </c>
      <c r="H258" s="10" t="str">
        <f t="shared" si="6"/>
        <v xml:space="preserve">Gaio, S.; Gouveia, L. ; Gouveia, J. </v>
      </c>
      <c r="I258" s="10" t="str">
        <f t="shared" si="7"/>
        <v xml:space="preserve">Gaio, S.; Gouveia, L. ; Gouveia, J. </v>
      </c>
      <c r="J258" s="10" t="str">
        <f t="shared" si="8"/>
        <v xml:space="preserve">Gaio, S.; Gouveia, L. ; Gouveia, J. </v>
      </c>
      <c r="K258" s="11" t="str">
        <f ca="1">IFERROR(__xludf.DUMMYFUNCTION("SPLIT(J258,"";"")"),"Gaio, S.")</f>
        <v>Gaio, S.</v>
      </c>
      <c r="L258" s="10" t="str">
        <f ca="1">IFERROR(__xludf.DUMMYFUNCTION("""COMPUTED_VALUE""")," Gouveia, L. ")</f>
        <v xml:space="preserve"> Gouveia, L. </v>
      </c>
      <c r="M258" s="10" t="str">
        <f ca="1">IFERROR(__xludf.DUMMYFUNCTION("""COMPUTED_VALUE""")," Gouveia, J. ")</f>
        <v xml:space="preserve"> Gouveia, J. </v>
      </c>
      <c r="N258" s="10"/>
      <c r="O258" s="10"/>
      <c r="P258" s="10"/>
      <c r="Q258" s="10"/>
      <c r="R258" s="10"/>
      <c r="S258" s="10"/>
      <c r="T258" s="10"/>
      <c r="U258" s="10"/>
      <c r="V258" s="10"/>
      <c r="W258" s="10"/>
      <c r="X258" s="10"/>
      <c r="Y258" s="10"/>
      <c r="Z258" s="10"/>
    </row>
    <row r="259" spans="1:26" ht="17.25" customHeight="1" x14ac:dyDescent="0.3">
      <c r="A259" s="10" t="s">
        <v>393</v>
      </c>
      <c r="B259" s="10">
        <f t="shared" si="0"/>
        <v>25</v>
      </c>
      <c r="C259" s="8" t="str">
        <f t="shared" si="1"/>
        <v xml:space="preserve">Silva, P. e Gouveia, L. </v>
      </c>
      <c r="D259" s="8" t="str">
        <f t="shared" si="2"/>
        <v>2008</v>
      </c>
      <c r="E259" s="10">
        <f t="shared" si="3"/>
        <v>30</v>
      </c>
      <c r="F259" s="10">
        <f t="shared" si="4"/>
        <v>47</v>
      </c>
      <c r="G259" s="8" t="str">
        <f t="shared" si="5"/>
        <v xml:space="preserve"> Learning space. </v>
      </c>
      <c r="H259" s="10" t="str">
        <f t="shared" si="6"/>
        <v xml:space="preserve">Silva, P. e Gouveia, L. </v>
      </c>
      <c r="I259" s="10" t="str">
        <f t="shared" si="7"/>
        <v xml:space="preserve">Silva, P. e Gouveia, L. </v>
      </c>
      <c r="J259" s="10" t="str">
        <f t="shared" si="8"/>
        <v xml:space="preserve">Silva, P.;Gouveia, L. </v>
      </c>
      <c r="K259" s="11" t="str">
        <f ca="1">IFERROR(__xludf.DUMMYFUNCTION("SPLIT(J259,"";"")"),"Silva, P.")</f>
        <v>Silva, P.</v>
      </c>
      <c r="L259" s="10" t="str">
        <f ca="1">IFERROR(__xludf.DUMMYFUNCTION("""COMPUTED_VALUE"""),"Gouveia, L. ")</f>
        <v xml:space="preserve">Gouveia, L. </v>
      </c>
      <c r="M259" s="10"/>
      <c r="N259" s="10"/>
      <c r="O259" s="10"/>
      <c r="P259" s="10"/>
      <c r="Q259" s="10"/>
      <c r="R259" s="10"/>
      <c r="S259" s="10"/>
      <c r="T259" s="10"/>
      <c r="U259" s="10"/>
      <c r="V259" s="10"/>
      <c r="W259" s="10"/>
      <c r="X259" s="10"/>
      <c r="Y259" s="10"/>
      <c r="Z259" s="10"/>
    </row>
    <row r="260" spans="1:26" ht="17.25" customHeight="1" x14ac:dyDescent="0.3">
      <c r="A260" s="10" t="s">
        <v>394</v>
      </c>
      <c r="B260" s="10">
        <f t="shared" si="0"/>
        <v>26</v>
      </c>
      <c r="C260" s="8" t="str">
        <f t="shared" si="1"/>
        <v xml:space="preserve">Simões, L. e Gouveia, L. </v>
      </c>
      <c r="D260" s="8" t="str">
        <f t="shared" si="2"/>
        <v>2008</v>
      </c>
      <c r="E260" s="10">
        <f t="shared" si="3"/>
        <v>31</v>
      </c>
      <c r="F260" s="10">
        <f t="shared" si="4"/>
        <v>39</v>
      </c>
      <c r="G260" s="8" t="str">
        <f t="shared" si="5"/>
        <v xml:space="preserve"> Web 2.0</v>
      </c>
      <c r="H260" s="10" t="str">
        <f t="shared" si="6"/>
        <v xml:space="preserve">Simões, L. e Gouveia, L. </v>
      </c>
      <c r="I260" s="10" t="str">
        <f t="shared" si="7"/>
        <v xml:space="preserve">Simões, L. e Gouveia, L. </v>
      </c>
      <c r="J260" s="10" t="str">
        <f t="shared" si="8"/>
        <v xml:space="preserve">Simões, L.;Gouveia, L. </v>
      </c>
      <c r="K260" s="11" t="str">
        <f ca="1">IFERROR(__xludf.DUMMYFUNCTION("SPLIT(J260,"";"")"),"Simões, L.")</f>
        <v>Simões, L.</v>
      </c>
      <c r="L260" s="10" t="str">
        <f ca="1">IFERROR(__xludf.DUMMYFUNCTION("""COMPUTED_VALUE"""),"Gouveia, L. ")</f>
        <v xml:space="preserve">Gouveia, L. </v>
      </c>
      <c r="M260" s="10"/>
      <c r="N260" s="10"/>
      <c r="O260" s="10"/>
      <c r="P260" s="10"/>
      <c r="Q260" s="10"/>
      <c r="R260" s="10"/>
      <c r="S260" s="10"/>
      <c r="T260" s="10"/>
      <c r="U260" s="10"/>
      <c r="V260" s="10"/>
      <c r="W260" s="10"/>
      <c r="X260" s="10"/>
      <c r="Y260" s="10"/>
      <c r="Z260" s="10"/>
    </row>
    <row r="261" spans="1:26" ht="17.25" customHeight="1" x14ac:dyDescent="0.3">
      <c r="A261" s="10" t="s">
        <v>395</v>
      </c>
      <c r="B261" s="10">
        <f t="shared" si="0"/>
        <v>28</v>
      </c>
      <c r="C261" s="8" t="str">
        <f t="shared" si="1"/>
        <v xml:space="preserve">Gouveia, J.  e Gouveia, L. </v>
      </c>
      <c r="D261" s="8" t="str">
        <f t="shared" si="2"/>
        <v>2007</v>
      </c>
      <c r="E261" s="10">
        <f t="shared" si="3"/>
        <v>33</v>
      </c>
      <c r="F261" s="10">
        <f t="shared" si="4"/>
        <v>108</v>
      </c>
      <c r="G261" s="8" t="str">
        <f t="shared" si="5"/>
        <v xml:space="preserve"> Resultados de uma abordagem de cidade digital para a administração local. </v>
      </c>
      <c r="H261" s="10" t="str">
        <f t="shared" si="6"/>
        <v xml:space="preserve">Gouveia, J.  e Gouveia, L. </v>
      </c>
      <c r="I261" s="10" t="str">
        <f t="shared" si="7"/>
        <v xml:space="preserve">Gouveia, J.  e Gouveia, L. </v>
      </c>
      <c r="J261" s="10" t="str">
        <f t="shared" si="8"/>
        <v xml:space="preserve">Gouveia, J. ;Gouveia, L. </v>
      </c>
      <c r="K261" s="11" t="str">
        <f ca="1">IFERROR(__xludf.DUMMYFUNCTION("SPLIT(J261,"";"")"),"Gouveia, J. ")</f>
        <v>Gouveia, J. </v>
      </c>
      <c r="L261" s="10" t="str">
        <f ca="1">IFERROR(__xludf.DUMMYFUNCTION("""COMPUTED_VALUE"""),"Gouveia, L. ")</f>
        <v xml:space="preserve">Gouveia, L. </v>
      </c>
      <c r="M261" s="10"/>
      <c r="N261" s="10"/>
      <c r="O261" s="10"/>
      <c r="P261" s="10"/>
      <c r="Q261" s="10"/>
      <c r="R261" s="10"/>
      <c r="S261" s="10"/>
      <c r="T261" s="10"/>
      <c r="U261" s="10"/>
      <c r="V261" s="10"/>
      <c r="W261" s="10"/>
      <c r="X261" s="10"/>
      <c r="Y261" s="10"/>
      <c r="Z261" s="10"/>
    </row>
    <row r="262" spans="1:26" ht="17.25" customHeight="1" x14ac:dyDescent="0.3">
      <c r="A262" s="10" t="s">
        <v>396</v>
      </c>
      <c r="B262" s="10">
        <f t="shared" si="0"/>
        <v>28</v>
      </c>
      <c r="C262" s="8" t="str">
        <f t="shared" si="1"/>
        <v xml:space="preserve">Gouveia, J.  e Gouveia, L. </v>
      </c>
      <c r="D262" s="8" t="str">
        <f t="shared" si="2"/>
        <v>2007</v>
      </c>
      <c r="E262" s="10">
        <f t="shared" si="3"/>
        <v>33</v>
      </c>
      <c r="F262" s="10">
        <f t="shared" si="4"/>
        <v>101</v>
      </c>
      <c r="G262" s="8" t="str">
        <f t="shared" si="5"/>
        <v xml:space="preserve"> Uma perspectiva orientada ao território para o local e-government. </v>
      </c>
      <c r="H262" s="10" t="str">
        <f t="shared" si="6"/>
        <v xml:space="preserve">Gouveia, J.  e Gouveia, L. </v>
      </c>
      <c r="I262" s="10" t="str">
        <f t="shared" si="7"/>
        <v xml:space="preserve">Gouveia, J.  e Gouveia, L. </v>
      </c>
      <c r="J262" s="10" t="str">
        <f t="shared" si="8"/>
        <v xml:space="preserve">Gouveia, J. ;Gouveia, L. </v>
      </c>
      <c r="K262" s="11" t="str">
        <f ca="1">IFERROR(__xludf.DUMMYFUNCTION("SPLIT(J262,"";"")"),"Gouveia, J. ")</f>
        <v>Gouveia, J. </v>
      </c>
      <c r="L262" s="10" t="str">
        <f ca="1">IFERROR(__xludf.DUMMYFUNCTION("""COMPUTED_VALUE"""),"Gouveia, L. ")</f>
        <v xml:space="preserve">Gouveia, L. </v>
      </c>
      <c r="M262" s="10"/>
      <c r="N262" s="10"/>
      <c r="O262" s="10"/>
      <c r="P262" s="10"/>
      <c r="Q262" s="10"/>
      <c r="R262" s="10"/>
      <c r="S262" s="10"/>
      <c r="T262" s="10"/>
      <c r="U262" s="10"/>
      <c r="V262" s="10"/>
      <c r="W262" s="10"/>
      <c r="X262" s="10"/>
      <c r="Y262" s="10"/>
      <c r="Z262" s="10"/>
    </row>
    <row r="263" spans="1:26" ht="17.25" customHeight="1" x14ac:dyDescent="0.3">
      <c r="A263" s="10" t="s">
        <v>397</v>
      </c>
      <c r="B263" s="10">
        <f t="shared" si="0"/>
        <v>30</v>
      </c>
      <c r="C263" s="8" t="str">
        <f t="shared" si="1"/>
        <v xml:space="preserve">Abrantes, S. and Gouveia, L. </v>
      </c>
      <c r="D263" s="8" t="str">
        <f t="shared" si="2"/>
        <v>2007</v>
      </c>
      <c r="E263" s="10">
        <f t="shared" si="3"/>
        <v>35</v>
      </c>
      <c r="F263" s="10">
        <f t="shared" si="4"/>
        <v>113</v>
      </c>
      <c r="G263" s="8" t="str">
        <f t="shared" si="5"/>
        <v xml:space="preserve"> An approach to teaching with computer games by applying the flow experience. </v>
      </c>
      <c r="H263" s="10" t="str">
        <f t="shared" si="6"/>
        <v xml:space="preserve">Abrantes, S. ; Gouveia, L. </v>
      </c>
      <c r="I263" s="10" t="str">
        <f t="shared" si="7"/>
        <v xml:space="preserve">Abrantes, S. ; Gouveia, L. </v>
      </c>
      <c r="J263" s="10" t="str">
        <f t="shared" si="8"/>
        <v xml:space="preserve">Abrantes, S. ; Gouveia, L. </v>
      </c>
      <c r="K263" s="11" t="str">
        <f ca="1">IFERROR(__xludf.DUMMYFUNCTION("SPLIT(J263,"";"")"),"Abrantes, S. ")</f>
        <v xml:space="preserve">Abrantes, S. </v>
      </c>
      <c r="L263" s="10" t="str">
        <f ca="1">IFERROR(__xludf.DUMMYFUNCTION("""COMPUTED_VALUE""")," Gouveia, L. ")</f>
        <v xml:space="preserve"> Gouveia, L. </v>
      </c>
      <c r="M263" s="10"/>
      <c r="N263" s="10"/>
      <c r="O263" s="10"/>
      <c r="P263" s="10"/>
      <c r="Q263" s="10"/>
      <c r="R263" s="10"/>
      <c r="S263" s="10"/>
      <c r="T263" s="10"/>
      <c r="U263" s="10"/>
      <c r="V263" s="10"/>
      <c r="W263" s="10"/>
      <c r="X263" s="10"/>
      <c r="Y263" s="10"/>
      <c r="Z263" s="10"/>
    </row>
    <row r="264" spans="1:26" ht="17.25" customHeight="1" x14ac:dyDescent="0.3">
      <c r="A264" s="10" t="s">
        <v>398</v>
      </c>
      <c r="B264" s="10">
        <f t="shared" si="0"/>
        <v>31</v>
      </c>
      <c r="C264" s="8" t="str">
        <f t="shared" si="1"/>
        <v xml:space="preserve">Constantino, J. e Gouveia, L. </v>
      </c>
      <c r="D264" s="8" t="str">
        <f t="shared" si="2"/>
        <v>2007</v>
      </c>
      <c r="E264" s="10">
        <f t="shared" si="3"/>
        <v>36</v>
      </c>
      <c r="F264" s="10">
        <f t="shared" si="4"/>
        <v>96</v>
      </c>
      <c r="G264" s="8" t="str">
        <f t="shared" si="5"/>
        <v xml:space="preserve"> Towards an e-participation engine: where people tak place. </v>
      </c>
      <c r="H264" s="10" t="str">
        <f t="shared" si="6"/>
        <v xml:space="preserve">Constantino, J. e Gouveia, L. </v>
      </c>
      <c r="I264" s="10" t="str">
        <f t="shared" si="7"/>
        <v xml:space="preserve">Constantino, J. e Gouveia, L. </v>
      </c>
      <c r="J264" s="10" t="str">
        <f t="shared" si="8"/>
        <v xml:space="preserve">Constantino, J.;Gouveia, L. </v>
      </c>
      <c r="K264" s="11" t="str">
        <f ca="1">IFERROR(__xludf.DUMMYFUNCTION("SPLIT(J264,"";"")"),"Constantino, J.")</f>
        <v>Constantino, J.</v>
      </c>
      <c r="L264" s="10" t="str">
        <f ca="1">IFERROR(__xludf.DUMMYFUNCTION("""COMPUTED_VALUE"""),"Gouveia, L. ")</f>
        <v xml:space="preserve">Gouveia, L. </v>
      </c>
      <c r="M264" s="10"/>
      <c r="N264" s="10"/>
      <c r="O264" s="10"/>
      <c r="P264" s="10"/>
      <c r="Q264" s="10"/>
      <c r="R264" s="10"/>
      <c r="S264" s="10"/>
      <c r="T264" s="10"/>
      <c r="U264" s="10"/>
      <c r="V264" s="10"/>
      <c r="W264" s="10"/>
      <c r="X264" s="10"/>
      <c r="Y264" s="10"/>
      <c r="Z264" s="10"/>
    </row>
    <row r="265" spans="1:26" ht="17.25" customHeight="1" x14ac:dyDescent="0.3">
      <c r="A265" s="10" t="s">
        <v>399</v>
      </c>
      <c r="B265" s="10">
        <f t="shared" si="0"/>
        <v>13</v>
      </c>
      <c r="C265" s="8" t="str">
        <f t="shared" si="1"/>
        <v xml:space="preserve">Gouveia, L. </v>
      </c>
      <c r="D265" s="8" t="str">
        <f t="shared" si="2"/>
        <v>2007</v>
      </c>
      <c r="E265" s="10">
        <f t="shared" si="3"/>
        <v>18</v>
      </c>
      <c r="F265" s="10">
        <f t="shared" si="4"/>
        <v>64</v>
      </c>
      <c r="G265" s="8" t="str">
        <f t="shared" si="5"/>
        <v xml:space="preserve"> A digital approach to our time-space living. </v>
      </c>
      <c r="H265" s="10" t="str">
        <f t="shared" si="6"/>
        <v xml:space="preserve">Gouveia, L. </v>
      </c>
      <c r="I265" s="10" t="str">
        <f t="shared" si="7"/>
        <v xml:space="preserve">Gouveia, L. </v>
      </c>
      <c r="J265" s="10" t="str">
        <f t="shared" si="8"/>
        <v xml:space="preserve">Gouveia, L. </v>
      </c>
      <c r="K265" s="11" t="str">
        <f ca="1">IFERROR(__xludf.DUMMYFUNCTION("SPLIT(J265,"";"")"),"Gouveia, L. ")</f>
        <v xml:space="preserve">Gouveia, L. </v>
      </c>
      <c r="L265" s="10"/>
      <c r="M265" s="10"/>
      <c r="N265" s="10"/>
      <c r="O265" s="10"/>
      <c r="P265" s="10"/>
      <c r="Q265" s="10"/>
      <c r="R265" s="10"/>
      <c r="S265" s="10"/>
      <c r="T265" s="10"/>
      <c r="U265" s="10"/>
      <c r="V265" s="10"/>
      <c r="W265" s="10"/>
      <c r="X265" s="10"/>
      <c r="Y265" s="10"/>
      <c r="Z265" s="10"/>
    </row>
    <row r="266" spans="1:26" ht="17.25" customHeight="1" x14ac:dyDescent="0.3">
      <c r="A266" s="10" t="s">
        <v>400</v>
      </c>
      <c r="B266" s="10">
        <f t="shared" si="0"/>
        <v>26</v>
      </c>
      <c r="C266" s="8" t="str">
        <f t="shared" si="1"/>
        <v xml:space="preserve">Gouveia, L. and Reis, P. </v>
      </c>
      <c r="D266" s="8" t="str">
        <f t="shared" si="2"/>
        <v>2007</v>
      </c>
      <c r="E266" s="10">
        <f t="shared" si="3"/>
        <v>31</v>
      </c>
      <c r="F266" s="10">
        <f t="shared" si="4"/>
        <v>122</v>
      </c>
      <c r="G266" s="8" t="str">
        <f t="shared" si="5"/>
        <v xml:space="preserve"> Language learning using the Sakai collaborative learning environment: current experience. </v>
      </c>
      <c r="H266" s="10" t="str">
        <f t="shared" si="6"/>
        <v xml:space="preserve">Gouveia, L. ; Reis, P. </v>
      </c>
      <c r="I266" s="10" t="str">
        <f t="shared" si="7"/>
        <v xml:space="preserve">Gouveia, L. ; Reis, P. </v>
      </c>
      <c r="J266" s="10" t="str">
        <f t="shared" si="8"/>
        <v xml:space="preserve">Gouveia, L. ; Reis, P. </v>
      </c>
      <c r="K266" s="11" t="str">
        <f ca="1">IFERROR(__xludf.DUMMYFUNCTION("SPLIT(J266,"";"")"),"Gouveia, L. ")</f>
        <v xml:space="preserve">Gouveia, L. </v>
      </c>
      <c r="L266" s="10" t="str">
        <f ca="1">IFERROR(__xludf.DUMMYFUNCTION("""COMPUTED_VALUE""")," Reis, P. ")</f>
        <v xml:space="preserve"> Reis, P. </v>
      </c>
      <c r="M266" s="10"/>
      <c r="N266" s="10"/>
      <c r="O266" s="10"/>
      <c r="P266" s="10"/>
      <c r="Q266" s="10"/>
      <c r="R266" s="10"/>
      <c r="S266" s="10"/>
      <c r="T266" s="10"/>
      <c r="U266" s="10"/>
      <c r="V266" s="10"/>
      <c r="W266" s="10"/>
      <c r="X266" s="10"/>
      <c r="Y266" s="10"/>
      <c r="Z266" s="10"/>
    </row>
    <row r="267" spans="1:26" ht="17.25" customHeight="1" x14ac:dyDescent="0.3">
      <c r="A267" s="10" t="s">
        <v>401</v>
      </c>
      <c r="B267" s="10">
        <f t="shared" si="0"/>
        <v>50</v>
      </c>
      <c r="C267" s="8" t="str">
        <f t="shared" si="1"/>
        <v xml:space="preserve">Trigo, M.; Gouveia, L.; Quoniam, L. e Riccio, E. </v>
      </c>
      <c r="D267" s="8" t="str">
        <f t="shared" si="2"/>
        <v>2007</v>
      </c>
      <c r="E267" s="10">
        <f t="shared" si="3"/>
        <v>55</v>
      </c>
      <c r="F267" s="10">
        <f t="shared" si="4"/>
        <v>138</v>
      </c>
      <c r="G267" s="8" t="str">
        <f t="shared" si="5"/>
        <v xml:space="preserve"> Using Competitive Intelligence as a Strategic Tool in a Higher Education Context. </v>
      </c>
      <c r="H267" s="10" t="str">
        <f t="shared" si="6"/>
        <v xml:space="preserve">Trigo, M.; Gouveia, L.; Quoniam, L. e Riccio, E. </v>
      </c>
      <c r="I267" s="10" t="str">
        <f t="shared" si="7"/>
        <v xml:space="preserve">Trigo, M.; Gouveia, L.; Quoniam, L. e Riccio, E. </v>
      </c>
      <c r="J267" s="10" t="str">
        <f t="shared" si="8"/>
        <v xml:space="preserve">Trigo, M.; Gouveia, L.; Quoniam, L.;Riccio, E. </v>
      </c>
      <c r="K267" s="11" t="str">
        <f ca="1">IFERROR(__xludf.DUMMYFUNCTION("SPLIT(J267,"";"")"),"Trigo, M.")</f>
        <v>Trigo, M.</v>
      </c>
      <c r="L267" s="10" t="str">
        <f ca="1">IFERROR(__xludf.DUMMYFUNCTION("""COMPUTED_VALUE""")," Gouveia, L.")</f>
        <v xml:space="preserve"> Gouveia, L.</v>
      </c>
      <c r="M267" s="10" t="str">
        <f ca="1">IFERROR(__xludf.DUMMYFUNCTION("""COMPUTED_VALUE""")," Quoniam, L.")</f>
        <v xml:space="preserve"> Quoniam, L.</v>
      </c>
      <c r="N267" s="10" t="str">
        <f ca="1">IFERROR(__xludf.DUMMYFUNCTION("""COMPUTED_VALUE"""),"Riccio, E. ")</f>
        <v xml:space="preserve">Riccio, E. </v>
      </c>
      <c r="O267" s="10"/>
      <c r="P267" s="10"/>
      <c r="Q267" s="10"/>
      <c r="R267" s="10"/>
      <c r="S267" s="10"/>
      <c r="T267" s="10"/>
      <c r="U267" s="10"/>
      <c r="V267" s="10"/>
      <c r="W267" s="10"/>
      <c r="X267" s="10"/>
      <c r="Y267" s="10"/>
      <c r="Z267" s="10"/>
    </row>
    <row r="268" spans="1:26" ht="17.25" customHeight="1" x14ac:dyDescent="0.3">
      <c r="A268" s="10" t="s">
        <v>402</v>
      </c>
      <c r="B268" s="10">
        <f t="shared" si="0"/>
        <v>25</v>
      </c>
      <c r="C268" s="8" t="str">
        <f t="shared" si="1"/>
        <v xml:space="preserve">Clara, P. e Gouveia, L. </v>
      </c>
      <c r="D268" s="8" t="str">
        <f t="shared" si="2"/>
        <v>2007</v>
      </c>
      <c r="E268" s="10">
        <f t="shared" si="3"/>
        <v>30</v>
      </c>
      <c r="F268" s="10">
        <f t="shared" si="4"/>
        <v>102</v>
      </c>
      <c r="G268" s="8" t="str">
        <f t="shared" si="5"/>
        <v xml:space="preserve"> Recurso a computadores por utilizadores com deficiência: um caso real. </v>
      </c>
      <c r="H268" s="10" t="str">
        <f t="shared" si="6"/>
        <v xml:space="preserve">Clara, P. e Gouveia, L. </v>
      </c>
      <c r="I268" s="10" t="str">
        <f t="shared" si="7"/>
        <v xml:space="preserve">Clara, P. e Gouveia, L. </v>
      </c>
      <c r="J268" s="10" t="str">
        <f t="shared" si="8"/>
        <v xml:space="preserve">Clara, P.;Gouveia, L. </v>
      </c>
      <c r="K268" s="11" t="str">
        <f ca="1">IFERROR(__xludf.DUMMYFUNCTION("SPLIT(J268,"";"")"),"Clara, P.")</f>
        <v>Clara, P.</v>
      </c>
      <c r="L268" s="10" t="str">
        <f ca="1">IFERROR(__xludf.DUMMYFUNCTION("""COMPUTED_VALUE"""),"Gouveia, L. ")</f>
        <v xml:space="preserve">Gouveia, L. </v>
      </c>
      <c r="M268" s="10"/>
      <c r="N268" s="10"/>
      <c r="O268" s="10"/>
      <c r="P268" s="10"/>
      <c r="Q268" s="10"/>
      <c r="R268" s="10"/>
      <c r="S268" s="10"/>
      <c r="T268" s="10"/>
      <c r="U268" s="10"/>
      <c r="V268" s="10"/>
      <c r="W268" s="10"/>
      <c r="X268" s="10"/>
      <c r="Y268" s="10"/>
      <c r="Z268" s="10"/>
    </row>
    <row r="269" spans="1:26" ht="17.25" customHeight="1" x14ac:dyDescent="0.3">
      <c r="A269" s="10" t="s">
        <v>403</v>
      </c>
      <c r="B269" s="10">
        <f t="shared" si="0"/>
        <v>25</v>
      </c>
      <c r="C269" s="8" t="str">
        <f t="shared" si="1"/>
        <v xml:space="preserve">Trigo, M. e Gouveia, L. </v>
      </c>
      <c r="D269" s="8" t="str">
        <f t="shared" si="2"/>
        <v>2007</v>
      </c>
      <c r="E269" s="10">
        <f t="shared" si="3"/>
        <v>30</v>
      </c>
      <c r="F269" s="10">
        <f t="shared" si="4"/>
        <v>125</v>
      </c>
      <c r="G269" s="8" t="str">
        <f t="shared" si="5"/>
        <v xml:space="preserve"> A Universidade Corporativa: reflexão sobre a motivação, benefícios e implicações do conceito. </v>
      </c>
      <c r="H269" s="10" t="str">
        <f t="shared" si="6"/>
        <v xml:space="preserve">Trigo, M. e Gouveia, L. </v>
      </c>
      <c r="I269" s="10" t="str">
        <f t="shared" si="7"/>
        <v xml:space="preserve">Trigo, M. e Gouveia, L. </v>
      </c>
      <c r="J269" s="10" t="str">
        <f t="shared" si="8"/>
        <v xml:space="preserve">Trigo, M.;Gouveia, L. </v>
      </c>
      <c r="K269" s="11" t="str">
        <f ca="1">IFERROR(__xludf.DUMMYFUNCTION("SPLIT(J269,"";"")"),"Trigo, M.")</f>
        <v>Trigo, M.</v>
      </c>
      <c r="L269" s="10" t="str">
        <f ca="1">IFERROR(__xludf.DUMMYFUNCTION("""COMPUTED_VALUE"""),"Gouveia, L. ")</f>
        <v xml:space="preserve">Gouveia, L. </v>
      </c>
      <c r="M269" s="10"/>
      <c r="N269" s="10"/>
      <c r="O269" s="10"/>
      <c r="P269" s="10"/>
      <c r="Q269" s="10"/>
      <c r="R269" s="10"/>
      <c r="S269" s="10"/>
      <c r="T269" s="10"/>
      <c r="U269" s="10"/>
      <c r="V269" s="10"/>
      <c r="W269" s="10"/>
      <c r="X269" s="10"/>
      <c r="Y269" s="10"/>
      <c r="Z269" s="10"/>
    </row>
    <row r="270" spans="1:26" ht="17.25" customHeight="1" x14ac:dyDescent="0.3">
      <c r="A270" s="10" t="s">
        <v>404</v>
      </c>
      <c r="B270" s="10">
        <f t="shared" si="0"/>
        <v>27</v>
      </c>
      <c r="C270" s="8" t="str">
        <f t="shared" si="1"/>
        <v xml:space="preserve">Gouveia, L. e Gouveia, F. </v>
      </c>
      <c r="D270" s="8" t="str">
        <f t="shared" si="2"/>
        <v>2006</v>
      </c>
      <c r="E270" s="10">
        <f t="shared" si="3"/>
        <v>32</v>
      </c>
      <c r="F270" s="10">
        <f t="shared" si="4"/>
        <v>123</v>
      </c>
      <c r="G270" s="8" t="str">
        <f t="shared" si="5"/>
        <v xml:space="preserve"> Using Sakai as a collaborative learning environment to support higher education activity. </v>
      </c>
      <c r="H270" s="10" t="str">
        <f t="shared" si="6"/>
        <v xml:space="preserve">Gouveia, L. e Gouveia, F. </v>
      </c>
      <c r="I270" s="10" t="str">
        <f t="shared" si="7"/>
        <v xml:space="preserve">Gouveia, L. e Gouveia, F. </v>
      </c>
      <c r="J270" s="10" t="str">
        <f t="shared" si="8"/>
        <v xml:space="preserve">Gouveia, L.;Gouveia, F. </v>
      </c>
      <c r="K270" s="11" t="str">
        <f ca="1">IFERROR(__xludf.DUMMYFUNCTION("SPLIT(J270,"";"")"),"Gouveia, L.")</f>
        <v>Gouveia, L.</v>
      </c>
      <c r="L270" s="10" t="str">
        <f ca="1">IFERROR(__xludf.DUMMYFUNCTION("""COMPUTED_VALUE"""),"Gouveia, F. ")</f>
        <v xml:space="preserve">Gouveia, F. </v>
      </c>
      <c r="M270" s="10"/>
      <c r="N270" s="10"/>
      <c r="O270" s="10"/>
      <c r="P270" s="10"/>
      <c r="Q270" s="10"/>
      <c r="R270" s="10"/>
      <c r="S270" s="10"/>
      <c r="T270" s="10"/>
      <c r="U270" s="10"/>
      <c r="V270" s="10"/>
      <c r="W270" s="10"/>
      <c r="X270" s="10"/>
      <c r="Y270" s="10"/>
      <c r="Z270" s="10"/>
    </row>
    <row r="271" spans="1:26" ht="17.25" customHeight="1" x14ac:dyDescent="0.3">
      <c r="A271" s="10" t="s">
        <v>405</v>
      </c>
      <c r="B271" s="10">
        <f t="shared" si="0"/>
        <v>37</v>
      </c>
      <c r="C271" s="8" t="str">
        <f t="shared" si="1"/>
        <v xml:space="preserve">Gaio, S.; Gouveia, J. e Gouveia, L. </v>
      </c>
      <c r="D271" s="8" t="str">
        <f t="shared" si="2"/>
        <v>2006</v>
      </c>
      <c r="E271" s="10">
        <f t="shared" si="3"/>
        <v>42</v>
      </c>
      <c r="F271" s="10">
        <f t="shared" si="4"/>
        <v>134</v>
      </c>
      <c r="G271" s="8" t="str">
        <f t="shared" si="5"/>
        <v xml:space="preserve"> O Branding e a Dimensão digital da cidade: Dinâmicas e Contributos para a competitividade. </v>
      </c>
      <c r="H271" s="10" t="str">
        <f t="shared" si="6"/>
        <v xml:space="preserve">Gaio, S.; Gouveia, J. e Gouveia, L. </v>
      </c>
      <c r="I271" s="10" t="str">
        <f t="shared" si="7"/>
        <v xml:space="preserve">Gaio, S.; Gouveia, J. e Gouveia, L. </v>
      </c>
      <c r="J271" s="10" t="str">
        <f t="shared" si="8"/>
        <v xml:space="preserve">Gaio, S.; Gouveia, J.;Gouveia, L. </v>
      </c>
      <c r="K271" s="11" t="str">
        <f ca="1">IFERROR(__xludf.DUMMYFUNCTION("SPLIT(J271,"";"")"),"Gaio, S.")</f>
        <v>Gaio, S.</v>
      </c>
      <c r="L271" s="10" t="str">
        <f ca="1">IFERROR(__xludf.DUMMYFUNCTION("""COMPUTED_VALUE""")," Gouveia, J.")</f>
        <v xml:space="preserve"> Gouveia, J.</v>
      </c>
      <c r="M271" s="10" t="str">
        <f ca="1">IFERROR(__xludf.DUMMYFUNCTION("""COMPUTED_VALUE"""),"Gouveia, L. ")</f>
        <v xml:space="preserve">Gouveia, L. </v>
      </c>
      <c r="N271" s="10"/>
      <c r="O271" s="10"/>
      <c r="P271" s="10"/>
      <c r="Q271" s="10"/>
      <c r="R271" s="10"/>
      <c r="S271" s="10"/>
      <c r="T271" s="10"/>
      <c r="U271" s="10"/>
      <c r="V271" s="10"/>
      <c r="W271" s="10"/>
      <c r="X271" s="10"/>
      <c r="Y271" s="10"/>
      <c r="Z271" s="10"/>
    </row>
    <row r="272" spans="1:26" ht="17.25" customHeight="1" x14ac:dyDescent="0.3">
      <c r="A272" s="10" t="s">
        <v>406</v>
      </c>
      <c r="B272" s="10">
        <f t="shared" si="0"/>
        <v>37</v>
      </c>
      <c r="C272" s="8" t="str">
        <f t="shared" si="1"/>
        <v xml:space="preserve">Gaio, S.; Gouveia, J. e Gouveia, L. </v>
      </c>
      <c r="D272" s="8" t="str">
        <f t="shared" si="2"/>
        <v>2006</v>
      </c>
      <c r="E272" s="10">
        <f t="shared" si="3"/>
        <v>42</v>
      </c>
      <c r="F272" s="10">
        <f t="shared" si="4"/>
        <v>153</v>
      </c>
      <c r="G272" s="8" t="str">
        <f t="shared" si="5"/>
        <v xml:space="preserve"> Do Território Esperado ao Território Experimentado: A Identidade Como Factor Nuclear no Processo de Branding. </v>
      </c>
      <c r="H272" s="10" t="str">
        <f t="shared" si="6"/>
        <v xml:space="preserve">Gaio, S.; Gouveia, J. e Gouveia, L. </v>
      </c>
      <c r="I272" s="10" t="str">
        <f t="shared" si="7"/>
        <v xml:space="preserve">Gaio, S.; Gouveia, J. e Gouveia, L. </v>
      </c>
      <c r="J272" s="10" t="str">
        <f t="shared" si="8"/>
        <v xml:space="preserve">Gaio, S.; Gouveia, J.;Gouveia, L. </v>
      </c>
      <c r="K272" s="11" t="str">
        <f ca="1">IFERROR(__xludf.DUMMYFUNCTION("SPLIT(J272,"";"")"),"Gaio, S.")</f>
        <v>Gaio, S.</v>
      </c>
      <c r="L272" s="10" t="str">
        <f ca="1">IFERROR(__xludf.DUMMYFUNCTION("""COMPUTED_VALUE""")," Gouveia, J.")</f>
        <v xml:space="preserve"> Gouveia, J.</v>
      </c>
      <c r="M272" s="10" t="str">
        <f ca="1">IFERROR(__xludf.DUMMYFUNCTION("""COMPUTED_VALUE"""),"Gouveia, L. ")</f>
        <v xml:space="preserve">Gouveia, L. </v>
      </c>
      <c r="N272" s="10"/>
      <c r="O272" s="10"/>
      <c r="P272" s="10"/>
      <c r="Q272" s="10"/>
      <c r="R272" s="10"/>
      <c r="S272" s="10"/>
      <c r="T272" s="10"/>
      <c r="U272" s="10"/>
      <c r="V272" s="10"/>
      <c r="W272" s="10"/>
      <c r="X272" s="10"/>
      <c r="Y272" s="10"/>
      <c r="Z272" s="10"/>
    </row>
    <row r="273" spans="1:26" ht="17.25" customHeight="1" x14ac:dyDescent="0.3">
      <c r="A273" s="10" t="s">
        <v>407</v>
      </c>
      <c r="B273" s="10">
        <f t="shared" si="0"/>
        <v>13</v>
      </c>
      <c r="C273" s="8" t="str">
        <f t="shared" si="1"/>
        <v xml:space="preserve">Gouveia, L. </v>
      </c>
      <c r="D273" s="8" t="str">
        <f t="shared" si="2"/>
        <v>2005</v>
      </c>
      <c r="E273" s="10">
        <f t="shared" si="3"/>
        <v>18</v>
      </c>
      <c r="F273" s="10">
        <f t="shared" si="4"/>
        <v>79</v>
      </c>
      <c r="G273" s="8" t="str">
        <f t="shared" si="5"/>
        <v xml:space="preserve"> O e-learning como suporte ao ensino superior universitário. </v>
      </c>
      <c r="H273" s="10" t="str">
        <f t="shared" si="6"/>
        <v xml:space="preserve">Gouveia, L. </v>
      </c>
      <c r="I273" s="10" t="str">
        <f t="shared" si="7"/>
        <v xml:space="preserve">Gouveia, L. </v>
      </c>
      <c r="J273" s="10" t="str">
        <f t="shared" si="8"/>
        <v xml:space="preserve">Gouveia, L. </v>
      </c>
      <c r="K273" s="11" t="str">
        <f ca="1">IFERROR(__xludf.DUMMYFUNCTION("SPLIT(J273,"";"")"),"Gouveia, L. ")</f>
        <v xml:space="preserve">Gouveia, L. </v>
      </c>
      <c r="L273" s="10"/>
      <c r="M273" s="10"/>
      <c r="N273" s="10"/>
      <c r="O273" s="10"/>
      <c r="P273" s="10"/>
      <c r="Q273" s="10"/>
      <c r="R273" s="10"/>
      <c r="S273" s="10"/>
      <c r="T273" s="10"/>
      <c r="U273" s="10"/>
      <c r="V273" s="10"/>
      <c r="W273" s="10"/>
      <c r="X273" s="10"/>
      <c r="Y273" s="10"/>
      <c r="Z273" s="10"/>
    </row>
    <row r="274" spans="1:26" ht="17.25" customHeight="1" x14ac:dyDescent="0.3">
      <c r="A274" s="10" t="s">
        <v>408</v>
      </c>
      <c r="B274" s="10">
        <f t="shared" si="0"/>
        <v>13</v>
      </c>
      <c r="C274" s="8" t="str">
        <f t="shared" si="1"/>
        <v xml:space="preserve">Gouveia, L. </v>
      </c>
      <c r="D274" s="8" t="str">
        <f t="shared" si="2"/>
        <v>2005</v>
      </c>
      <c r="E274" s="10">
        <f t="shared" si="3"/>
        <v>18</v>
      </c>
      <c r="F274" s="10">
        <f t="shared" si="4"/>
        <v>88</v>
      </c>
      <c r="G274" s="8" t="str">
        <f t="shared" si="5"/>
        <v xml:space="preserve"> A Sociedade da Informação e do Conhecimento e as novas competências. </v>
      </c>
      <c r="H274" s="10" t="str">
        <f t="shared" si="6"/>
        <v xml:space="preserve">Gouveia, L. </v>
      </c>
      <c r="I274" s="10" t="str">
        <f t="shared" si="7"/>
        <v xml:space="preserve">Gouveia, L. </v>
      </c>
      <c r="J274" s="10" t="str">
        <f t="shared" si="8"/>
        <v xml:space="preserve">Gouveia, L. </v>
      </c>
      <c r="K274" s="11" t="str">
        <f ca="1">IFERROR(__xludf.DUMMYFUNCTION("SPLIT(J274,"";"")"),"Gouveia, L. ")</f>
        <v xml:space="preserve">Gouveia, L. </v>
      </c>
      <c r="L274" s="10"/>
      <c r="M274" s="10"/>
      <c r="N274" s="10"/>
      <c r="O274" s="10"/>
      <c r="P274" s="10"/>
      <c r="Q274" s="10"/>
      <c r="R274" s="10"/>
      <c r="S274" s="10"/>
      <c r="T274" s="10"/>
      <c r="U274" s="10"/>
      <c r="V274" s="10"/>
      <c r="W274" s="10"/>
      <c r="X274" s="10"/>
      <c r="Y274" s="10"/>
      <c r="Z274" s="10"/>
    </row>
    <row r="275" spans="1:26" ht="17.25" customHeight="1" x14ac:dyDescent="0.3">
      <c r="A275" s="10" t="s">
        <v>409</v>
      </c>
      <c r="B275" s="10">
        <f t="shared" si="0"/>
        <v>25</v>
      </c>
      <c r="C275" s="8" t="str">
        <f t="shared" si="1"/>
        <v xml:space="preserve">Gouveia, L. e Gomes, F. </v>
      </c>
      <c r="D275" s="8" t="str">
        <f t="shared" si="2"/>
        <v>2004</v>
      </c>
      <c r="E275" s="10">
        <f t="shared" si="3"/>
        <v>30</v>
      </c>
      <c r="F275" s="10">
        <f t="shared" si="4"/>
        <v>87</v>
      </c>
      <c r="G275" s="8" t="str">
        <f t="shared" si="5"/>
        <v xml:space="preserve"> O e-learning como etapa da universidade para o virtual. </v>
      </c>
      <c r="H275" s="10" t="str">
        <f t="shared" si="6"/>
        <v xml:space="preserve">Gouveia, L. e Gomes, F. </v>
      </c>
      <c r="I275" s="10" t="str">
        <f t="shared" si="7"/>
        <v xml:space="preserve">Gouveia, L. e Gomes, F. </v>
      </c>
      <c r="J275" s="10" t="str">
        <f t="shared" si="8"/>
        <v xml:space="preserve">Gouveia, L.;Gomes, F. </v>
      </c>
      <c r="K275" s="11" t="str">
        <f ca="1">IFERROR(__xludf.DUMMYFUNCTION("SPLIT(J275,"";"")"),"Gouveia, L.")</f>
        <v>Gouveia, L.</v>
      </c>
      <c r="L275" s="10" t="str">
        <f ca="1">IFERROR(__xludf.DUMMYFUNCTION("""COMPUTED_VALUE"""),"Gomes, F. ")</f>
        <v xml:space="preserve">Gomes, F. </v>
      </c>
      <c r="M275" s="10"/>
      <c r="N275" s="10"/>
      <c r="O275" s="10"/>
      <c r="P275" s="10"/>
      <c r="Q275" s="10"/>
      <c r="R275" s="10"/>
      <c r="S275" s="10"/>
      <c r="T275" s="10"/>
      <c r="U275" s="10"/>
      <c r="V275" s="10"/>
      <c r="W275" s="10"/>
      <c r="X275" s="10"/>
      <c r="Y275" s="10"/>
      <c r="Z275" s="10"/>
    </row>
    <row r="276" spans="1:26" ht="17.25" customHeight="1" x14ac:dyDescent="0.3">
      <c r="A276" s="10" t="s">
        <v>410</v>
      </c>
      <c r="B276" s="10">
        <f t="shared" si="0"/>
        <v>13</v>
      </c>
      <c r="C276" s="8" t="str">
        <f t="shared" si="1"/>
        <v xml:space="preserve">Gouveia, L. </v>
      </c>
      <c r="D276" s="8" t="str">
        <f t="shared" si="2"/>
        <v>2004</v>
      </c>
      <c r="E276" s="10">
        <f t="shared" si="3"/>
        <v>18</v>
      </c>
      <c r="F276" s="10">
        <f t="shared" si="4"/>
        <v>69</v>
      </c>
      <c r="G276" s="8" t="str">
        <f t="shared" si="5"/>
        <v xml:space="preserve"> O digital e as novas formas de, e para, aprender. </v>
      </c>
      <c r="H276" s="10" t="str">
        <f t="shared" si="6"/>
        <v xml:space="preserve">Gouveia, L. </v>
      </c>
      <c r="I276" s="10" t="str">
        <f t="shared" si="7"/>
        <v xml:space="preserve">Gouveia, L. </v>
      </c>
      <c r="J276" s="10" t="str">
        <f t="shared" si="8"/>
        <v xml:space="preserve">Gouveia, L. </v>
      </c>
      <c r="K276" s="11" t="str">
        <f ca="1">IFERROR(__xludf.DUMMYFUNCTION("SPLIT(J276,"";"")"),"Gouveia, L. ")</f>
        <v xml:space="preserve">Gouveia, L. </v>
      </c>
      <c r="L276" s="10"/>
      <c r="M276" s="10"/>
      <c r="N276" s="10"/>
      <c r="O276" s="10"/>
      <c r="P276" s="10"/>
      <c r="Q276" s="10"/>
      <c r="R276" s="10"/>
      <c r="S276" s="10"/>
      <c r="T276" s="10"/>
      <c r="U276" s="10"/>
      <c r="V276" s="10"/>
      <c r="W276" s="10"/>
      <c r="X276" s="10"/>
      <c r="Y276" s="10"/>
      <c r="Z276" s="10"/>
    </row>
    <row r="277" spans="1:26" ht="17.25" customHeight="1" x14ac:dyDescent="0.3">
      <c r="A277" s="10" t="s">
        <v>411</v>
      </c>
      <c r="B277" s="10">
        <f t="shared" si="0"/>
        <v>39</v>
      </c>
      <c r="C277" s="8" t="str">
        <f t="shared" si="1"/>
        <v xml:space="preserve">Rurato, P.; Gouveia, L. e Gouveia, J. </v>
      </c>
      <c r="D277" s="8" t="str">
        <f t="shared" si="2"/>
        <v>2004</v>
      </c>
      <c r="E277" s="10">
        <f t="shared" si="3"/>
        <v>44</v>
      </c>
      <c r="F277" s="10">
        <f t="shared" si="4"/>
        <v>95</v>
      </c>
      <c r="G277" s="8" t="str">
        <f t="shared" si="5"/>
        <v xml:space="preserve"> Características Essenciais do Ensino a Distância. </v>
      </c>
      <c r="H277" s="10" t="str">
        <f t="shared" si="6"/>
        <v xml:space="preserve">Rurato, P.; Gouveia, L. e Gouveia, J. </v>
      </c>
      <c r="I277" s="10" t="str">
        <f t="shared" si="7"/>
        <v xml:space="preserve">Rurato, P.; Gouveia, L. e Gouveia, J. </v>
      </c>
      <c r="J277" s="10" t="str">
        <f t="shared" si="8"/>
        <v xml:space="preserve">Rurato, P.; Gouveia, L.;Gouveia, J. </v>
      </c>
      <c r="K277" s="11" t="str">
        <f ca="1">IFERROR(__xludf.DUMMYFUNCTION("SPLIT(J277,"";"")"),"Rurato, P.")</f>
        <v>Rurato, P.</v>
      </c>
      <c r="L277" s="10" t="str">
        <f ca="1">IFERROR(__xludf.DUMMYFUNCTION("""COMPUTED_VALUE""")," Gouveia, L.")</f>
        <v xml:space="preserve"> Gouveia, L.</v>
      </c>
      <c r="M277" s="10" t="str">
        <f ca="1">IFERROR(__xludf.DUMMYFUNCTION("""COMPUTED_VALUE"""),"Gouveia, J. ")</f>
        <v xml:space="preserve">Gouveia, J. </v>
      </c>
      <c r="N277" s="10"/>
      <c r="O277" s="10"/>
      <c r="P277" s="10"/>
      <c r="Q277" s="10"/>
      <c r="R277" s="10"/>
      <c r="S277" s="10"/>
      <c r="T277" s="10"/>
      <c r="U277" s="10"/>
      <c r="V277" s="10"/>
      <c r="W277" s="10"/>
      <c r="X277" s="10"/>
      <c r="Y277" s="10"/>
      <c r="Z277" s="10"/>
    </row>
    <row r="278" spans="1:26" ht="17.25" customHeight="1" x14ac:dyDescent="0.3">
      <c r="A278" s="10" t="s">
        <v>412</v>
      </c>
      <c r="B278" s="10">
        <f t="shared" si="0"/>
        <v>27</v>
      </c>
      <c r="C278" s="8" t="str">
        <f t="shared" si="1"/>
        <v xml:space="preserve">Marques, M. e Gouveia, L. </v>
      </c>
      <c r="D278" s="8" t="str">
        <f t="shared" si="2"/>
        <v>2004</v>
      </c>
      <c r="E278" s="10">
        <f t="shared" si="3"/>
        <v>32</v>
      </c>
      <c r="F278" s="10">
        <f t="shared" si="4"/>
        <v>95</v>
      </c>
      <c r="G278" s="8" t="str">
        <f t="shared" si="5"/>
        <v xml:space="preserve"> Bibliotecas digitais: a importância do serviço de referência. </v>
      </c>
      <c r="H278" s="10" t="str">
        <f t="shared" si="6"/>
        <v xml:space="preserve">Marques, M. e Gouveia, L. </v>
      </c>
      <c r="I278" s="10" t="str">
        <f t="shared" si="7"/>
        <v xml:space="preserve">Marques, M. e Gouveia, L. </v>
      </c>
      <c r="J278" s="10" t="str">
        <f t="shared" si="8"/>
        <v xml:space="preserve">Marques, M.;Gouveia, L. </v>
      </c>
      <c r="K278" s="11" t="str">
        <f ca="1">IFERROR(__xludf.DUMMYFUNCTION("SPLIT(J278,"";"")"),"Marques, M.")</f>
        <v>Marques, M.</v>
      </c>
      <c r="L278" s="10" t="str">
        <f ca="1">IFERROR(__xludf.DUMMYFUNCTION("""COMPUTED_VALUE"""),"Gouveia, L. ")</f>
        <v xml:space="preserve">Gouveia, L. </v>
      </c>
      <c r="M278" s="10"/>
      <c r="N278" s="10"/>
      <c r="O278" s="10"/>
      <c r="P278" s="10"/>
      <c r="Q278" s="10"/>
      <c r="R278" s="10"/>
      <c r="S278" s="10"/>
      <c r="T278" s="10"/>
      <c r="U278" s="10"/>
      <c r="V278" s="10"/>
      <c r="W278" s="10"/>
      <c r="X278" s="10"/>
      <c r="Y278" s="10"/>
      <c r="Z278" s="10"/>
    </row>
    <row r="279" spans="1:26" ht="17.25" customHeight="1" x14ac:dyDescent="0.3">
      <c r="A279" s="10" t="s">
        <v>413</v>
      </c>
      <c r="B279" s="10">
        <f t="shared" si="0"/>
        <v>26</v>
      </c>
      <c r="C279" s="8" t="str">
        <f t="shared" si="1"/>
        <v xml:space="preserve">Xavier, J. e Gouveia, L. </v>
      </c>
      <c r="D279" s="8" t="str">
        <f t="shared" si="2"/>
        <v>2004</v>
      </c>
      <c r="E279" s="10">
        <f t="shared" si="3"/>
        <v>31</v>
      </c>
      <c r="F279" s="10">
        <f t="shared" si="4"/>
        <v>93</v>
      </c>
      <c r="G279" s="8" t="str">
        <f t="shared" si="5"/>
        <v xml:space="preserve"> O relacionamento com o cidadão: a importância do território. </v>
      </c>
      <c r="H279" s="10" t="str">
        <f t="shared" si="6"/>
        <v xml:space="preserve">Xavier, J. e Gouveia, L. </v>
      </c>
      <c r="I279" s="10" t="str">
        <f t="shared" si="7"/>
        <v xml:space="preserve">Xavier, J. e Gouveia, L. </v>
      </c>
      <c r="J279" s="10" t="str">
        <f t="shared" si="8"/>
        <v xml:space="preserve">Xavier, J.;Gouveia, L. </v>
      </c>
      <c r="K279" s="11" t="str">
        <f ca="1">IFERROR(__xludf.DUMMYFUNCTION("SPLIT(J279,"";"")"),"Xavier, J.")</f>
        <v>Xavier, J.</v>
      </c>
      <c r="L279" s="10" t="str">
        <f ca="1">IFERROR(__xludf.DUMMYFUNCTION("""COMPUTED_VALUE"""),"Gouveia, L. ")</f>
        <v xml:space="preserve">Gouveia, L. </v>
      </c>
      <c r="M279" s="10"/>
      <c r="N279" s="10"/>
      <c r="O279" s="10"/>
      <c r="P279" s="10"/>
      <c r="Q279" s="10"/>
      <c r="R279" s="10"/>
      <c r="S279" s="10"/>
      <c r="T279" s="10"/>
      <c r="U279" s="10"/>
      <c r="V279" s="10"/>
      <c r="W279" s="10"/>
      <c r="X279" s="10"/>
      <c r="Y279" s="10"/>
      <c r="Z279" s="10"/>
    </row>
    <row r="280" spans="1:26" ht="17.25" customHeight="1" x14ac:dyDescent="0.3">
      <c r="A280" s="10" t="s">
        <v>414</v>
      </c>
      <c r="B280" s="10">
        <f t="shared" si="0"/>
        <v>41</v>
      </c>
      <c r="C280" s="8" t="str">
        <f t="shared" si="1"/>
        <v xml:space="preserve">Gouveia, L.; Xavier, J. and Gouveia, J. </v>
      </c>
      <c r="D280" s="8" t="str">
        <f t="shared" si="2"/>
        <v>2004</v>
      </c>
      <c r="E280" s="10">
        <f t="shared" si="3"/>
        <v>46</v>
      </c>
      <c r="F280" s="10">
        <f t="shared" si="4"/>
        <v>114</v>
      </c>
      <c r="G280" s="8" t="str">
        <f t="shared" si="5"/>
        <v xml:space="preserve"> People and Digital Cities: Promote innovation and information use. </v>
      </c>
      <c r="H280" s="10" t="str">
        <f t="shared" si="6"/>
        <v xml:space="preserve">Gouveia, L.; Xavier, J. ; Gouveia, J. </v>
      </c>
      <c r="I280" s="10" t="str">
        <f t="shared" si="7"/>
        <v xml:space="preserve">Gouveia, L.; Xavier, J. ; Gouveia, J. </v>
      </c>
      <c r="J280" s="10" t="str">
        <f t="shared" si="8"/>
        <v xml:space="preserve">Gouveia, L.; Xavier, J. ; Gouveia, J. </v>
      </c>
      <c r="K280" s="11" t="str">
        <f ca="1">IFERROR(__xludf.DUMMYFUNCTION("SPLIT(J280,"";"")"),"Gouveia, L.")</f>
        <v>Gouveia, L.</v>
      </c>
      <c r="L280" s="10" t="str">
        <f ca="1">IFERROR(__xludf.DUMMYFUNCTION("""COMPUTED_VALUE""")," Xavier, J. ")</f>
        <v xml:space="preserve"> Xavier, J. </v>
      </c>
      <c r="M280" s="10" t="str">
        <f ca="1">IFERROR(__xludf.DUMMYFUNCTION("""COMPUTED_VALUE""")," Gouveia, J. ")</f>
        <v xml:space="preserve"> Gouveia, J. </v>
      </c>
      <c r="N280" s="10"/>
      <c r="O280" s="10"/>
      <c r="P280" s="10"/>
      <c r="Q280" s="10"/>
      <c r="R280" s="10"/>
      <c r="S280" s="10"/>
      <c r="T280" s="10"/>
      <c r="U280" s="10"/>
      <c r="V280" s="10"/>
      <c r="W280" s="10"/>
      <c r="X280" s="10"/>
      <c r="Y280" s="10"/>
      <c r="Z280" s="10"/>
    </row>
    <row r="281" spans="1:26" ht="17.25" customHeight="1" x14ac:dyDescent="0.3">
      <c r="A281" s="10" t="s">
        <v>415</v>
      </c>
      <c r="B281" s="10">
        <f t="shared" si="0"/>
        <v>13</v>
      </c>
      <c r="C281" s="8" t="str">
        <f t="shared" si="1"/>
        <v xml:space="preserve">Gouveia, L. </v>
      </c>
      <c r="D281" s="8" t="str">
        <f t="shared" si="2"/>
        <v>2004</v>
      </c>
      <c r="E281" s="10">
        <f t="shared" si="3"/>
        <v>18</v>
      </c>
      <c r="F281" s="10">
        <f t="shared" si="4"/>
        <v>86</v>
      </c>
      <c r="G281" s="8" t="str">
        <f t="shared" si="5"/>
        <v xml:space="preserve"> Information Overload: the case for e-learning within Gaia Digital. </v>
      </c>
      <c r="H281" s="10" t="str">
        <f t="shared" si="6"/>
        <v xml:space="preserve">Gouveia, L. </v>
      </c>
      <c r="I281" s="10" t="str">
        <f t="shared" si="7"/>
        <v xml:space="preserve">Gouveia, L. </v>
      </c>
      <c r="J281" s="10" t="str">
        <f t="shared" si="8"/>
        <v xml:space="preserve">Gouveia, L. </v>
      </c>
      <c r="K281" s="11" t="str">
        <f ca="1">IFERROR(__xludf.DUMMYFUNCTION("SPLIT(J281,"";"")"),"Gouveia, L. ")</f>
        <v xml:space="preserve">Gouveia, L. </v>
      </c>
      <c r="L281" s="10"/>
      <c r="M281" s="10"/>
      <c r="N281" s="10"/>
      <c r="O281" s="10"/>
      <c r="P281" s="10"/>
      <c r="Q281" s="10"/>
      <c r="R281" s="10"/>
      <c r="S281" s="10"/>
      <c r="T281" s="10"/>
      <c r="U281" s="10"/>
      <c r="V281" s="10"/>
      <c r="W281" s="10"/>
      <c r="X281" s="10"/>
      <c r="Y281" s="10"/>
      <c r="Z281" s="10"/>
    </row>
    <row r="282" spans="1:26" ht="17.25" customHeight="1" x14ac:dyDescent="0.3">
      <c r="A282" s="10" t="s">
        <v>416</v>
      </c>
      <c r="B282" s="10">
        <f t="shared" si="0"/>
        <v>13</v>
      </c>
      <c r="C282" s="8" t="str">
        <f t="shared" si="1"/>
        <v xml:space="preserve">Gouveia, L. </v>
      </c>
      <c r="D282" s="8" t="str">
        <f t="shared" si="2"/>
        <v>2004</v>
      </c>
      <c r="E282" s="10">
        <f t="shared" si="3"/>
        <v>18</v>
      </c>
      <c r="F282" s="10">
        <f t="shared" si="4"/>
        <v>56</v>
      </c>
      <c r="G282" s="8" t="str">
        <f t="shared" si="5"/>
        <v xml:space="preserve"> Using visuals to convey information. </v>
      </c>
      <c r="H282" s="10" t="str">
        <f t="shared" si="6"/>
        <v xml:space="preserve">Gouveia, L. </v>
      </c>
      <c r="I282" s="10" t="str">
        <f t="shared" si="7"/>
        <v xml:space="preserve">Gouveia, L. </v>
      </c>
      <c r="J282" s="10" t="str">
        <f t="shared" si="8"/>
        <v xml:space="preserve">Gouveia, L. </v>
      </c>
      <c r="K282" s="11" t="str">
        <f ca="1">IFERROR(__xludf.DUMMYFUNCTION("SPLIT(J282,"";"")"),"Gouveia, L. ")</f>
        <v xml:space="preserve">Gouveia, L. </v>
      </c>
      <c r="L282" s="10"/>
      <c r="M282" s="10"/>
      <c r="N282" s="10"/>
      <c r="O282" s="10"/>
      <c r="P282" s="10"/>
      <c r="Q282" s="10"/>
      <c r="R282" s="10"/>
      <c r="S282" s="10"/>
      <c r="T282" s="10"/>
      <c r="U282" s="10"/>
      <c r="V282" s="10"/>
      <c r="W282" s="10"/>
      <c r="X282" s="10"/>
      <c r="Y282" s="10"/>
      <c r="Z282" s="10"/>
    </row>
    <row r="283" spans="1:26" ht="17.25" customHeight="1" x14ac:dyDescent="0.3">
      <c r="A283" s="10" t="s">
        <v>417</v>
      </c>
      <c r="B283" s="10">
        <f t="shared" si="0"/>
        <v>27</v>
      </c>
      <c r="C283" s="8" t="str">
        <f t="shared" si="1"/>
        <v xml:space="preserve">Azevedo, M. e Gouveia, L. </v>
      </c>
      <c r="D283" s="8" t="str">
        <f t="shared" si="2"/>
        <v>2003</v>
      </c>
      <c r="E283" s="10">
        <f t="shared" si="3"/>
        <v>32</v>
      </c>
      <c r="F283" s="10">
        <f t="shared" si="4"/>
        <v>92</v>
      </c>
      <c r="G283" s="8" t="str">
        <f t="shared" si="5"/>
        <v xml:space="preserve"> Repensar a missão da biblioteca pública na Gestão das TIC. </v>
      </c>
      <c r="H283" s="10" t="str">
        <f t="shared" si="6"/>
        <v xml:space="preserve">Azevedo, M. e Gouveia, L. </v>
      </c>
      <c r="I283" s="10" t="str">
        <f t="shared" si="7"/>
        <v xml:space="preserve">Azevedo, M. e Gouveia, L. </v>
      </c>
      <c r="J283" s="10" t="str">
        <f t="shared" si="8"/>
        <v xml:space="preserve">Azevedo, M.;Gouveia, L. </v>
      </c>
      <c r="K283" s="11" t="str">
        <f ca="1">IFERROR(__xludf.DUMMYFUNCTION("SPLIT(J283,"";"")"),"Azevedo, M.")</f>
        <v>Azevedo, M.</v>
      </c>
      <c r="L283" s="10" t="str">
        <f ca="1">IFERROR(__xludf.DUMMYFUNCTION("""COMPUTED_VALUE"""),"Gouveia, L. ")</f>
        <v xml:space="preserve">Gouveia, L. </v>
      </c>
      <c r="M283" s="10"/>
      <c r="N283" s="10"/>
      <c r="O283" s="10"/>
      <c r="P283" s="10"/>
      <c r="Q283" s="10"/>
      <c r="R283" s="10"/>
      <c r="S283" s="10"/>
      <c r="T283" s="10"/>
      <c r="U283" s="10"/>
      <c r="V283" s="10"/>
      <c r="W283" s="10"/>
      <c r="X283" s="10"/>
      <c r="Y283" s="10"/>
      <c r="Z283" s="10"/>
    </row>
    <row r="284" spans="1:26" ht="17.25" customHeight="1" x14ac:dyDescent="0.3">
      <c r="A284" s="10" t="s">
        <v>418</v>
      </c>
      <c r="B284" s="10">
        <f t="shared" si="0"/>
        <v>40</v>
      </c>
      <c r="C284" s="8" t="str">
        <f t="shared" si="1"/>
        <v xml:space="preserve">Xavier, J. e Gouveia, L. e Gouveia, J. </v>
      </c>
      <c r="D284" s="8" t="str">
        <f t="shared" si="2"/>
        <v>2003</v>
      </c>
      <c r="E284" s="10">
        <f t="shared" si="3"/>
        <v>45</v>
      </c>
      <c r="F284" s="10">
        <f t="shared" si="4"/>
        <v>118</v>
      </c>
      <c r="G284" s="8" t="str">
        <f t="shared" si="5"/>
        <v xml:space="preserve"> A Gestão do Relacionamento com o Cidadão em Cidades e Regiões Digitais. </v>
      </c>
      <c r="H284" s="10" t="str">
        <f t="shared" si="6"/>
        <v xml:space="preserve">Xavier, J. e Gouveia, L. e Gouveia, J. </v>
      </c>
      <c r="I284" s="10" t="str">
        <f t="shared" si="7"/>
        <v xml:space="preserve">Xavier, J. e Gouveia, L. e Gouveia, J. </v>
      </c>
      <c r="J284" s="10" t="str">
        <f t="shared" si="8"/>
        <v xml:space="preserve">Xavier, J.;Gouveia, L.;Gouveia, J. </v>
      </c>
      <c r="K284" s="11" t="str">
        <f ca="1">IFERROR(__xludf.DUMMYFUNCTION("SPLIT(J284,"";"")"),"Xavier, J.")</f>
        <v>Xavier, J.</v>
      </c>
      <c r="L284" s="10" t="str">
        <f ca="1">IFERROR(__xludf.DUMMYFUNCTION("""COMPUTED_VALUE"""),"Gouveia, L.")</f>
        <v>Gouveia, L.</v>
      </c>
      <c r="M284" s="10" t="str">
        <f ca="1">IFERROR(__xludf.DUMMYFUNCTION("""COMPUTED_VALUE"""),"Gouveia, J. ")</f>
        <v xml:space="preserve">Gouveia, J. </v>
      </c>
      <c r="N284" s="10"/>
      <c r="O284" s="10"/>
      <c r="P284" s="10"/>
      <c r="Q284" s="10"/>
      <c r="R284" s="10"/>
      <c r="S284" s="10"/>
      <c r="T284" s="10"/>
      <c r="U284" s="10"/>
      <c r="V284" s="10"/>
      <c r="W284" s="10"/>
      <c r="X284" s="10"/>
      <c r="Y284" s="10"/>
      <c r="Z284" s="10"/>
    </row>
    <row r="285" spans="1:26" ht="17.25" customHeight="1" x14ac:dyDescent="0.3">
      <c r="A285" s="10" t="s">
        <v>419</v>
      </c>
      <c r="B285" s="10">
        <f t="shared" si="0"/>
        <v>27</v>
      </c>
      <c r="C285" s="8" t="str">
        <f t="shared" si="1"/>
        <v xml:space="preserve">Gomes, F. and Gouveia, L. </v>
      </c>
      <c r="D285" s="8" t="str">
        <f t="shared" si="2"/>
        <v>2003</v>
      </c>
      <c r="E285" s="10">
        <f t="shared" si="3"/>
        <v>32</v>
      </c>
      <c r="F285" s="10">
        <f t="shared" si="4"/>
        <v>109</v>
      </c>
      <c r="G285" s="8" t="str">
        <f t="shared" si="5"/>
        <v xml:space="preserve"> A Web Application To Support Higher Education Teaching Administrative Work. </v>
      </c>
      <c r="H285" s="10" t="str">
        <f t="shared" si="6"/>
        <v xml:space="preserve">Gomes, F. ; Gouveia, L. </v>
      </c>
      <c r="I285" s="10" t="str">
        <f t="shared" si="7"/>
        <v xml:space="preserve">Gomes, F. ; Gouveia, L. </v>
      </c>
      <c r="J285" s="10" t="str">
        <f t="shared" si="8"/>
        <v xml:space="preserve">Gomes, F. ; Gouveia, L. </v>
      </c>
      <c r="K285" s="11" t="str">
        <f ca="1">IFERROR(__xludf.DUMMYFUNCTION("SPLIT(J285,"";"")"),"Gomes, F. ")</f>
        <v xml:space="preserve">Gomes, F. </v>
      </c>
      <c r="L285" s="10" t="str">
        <f ca="1">IFERROR(__xludf.DUMMYFUNCTION("""COMPUTED_VALUE""")," Gouveia, L. ")</f>
        <v xml:space="preserve"> Gouveia, L. </v>
      </c>
      <c r="M285" s="10"/>
      <c r="N285" s="10"/>
      <c r="O285" s="10"/>
      <c r="P285" s="10"/>
      <c r="Q285" s="10"/>
      <c r="R285" s="10"/>
      <c r="S285" s="10"/>
      <c r="T285" s="10"/>
      <c r="U285" s="10"/>
      <c r="V285" s="10"/>
      <c r="W285" s="10"/>
      <c r="X285" s="10"/>
      <c r="Y285" s="10"/>
      <c r="Z285" s="10"/>
    </row>
    <row r="286" spans="1:26" ht="17.25" customHeight="1" x14ac:dyDescent="0.3">
      <c r="A286" s="10" t="s">
        <v>420</v>
      </c>
      <c r="B286" s="10">
        <f t="shared" si="0"/>
        <v>13</v>
      </c>
      <c r="C286" s="8" t="str">
        <f t="shared" si="1"/>
        <v xml:space="preserve">Gouveia, L. </v>
      </c>
      <c r="D286" s="8" t="str">
        <f t="shared" si="2"/>
        <v>2003</v>
      </c>
      <c r="E286" s="10">
        <f t="shared" si="3"/>
        <v>18</v>
      </c>
      <c r="F286" s="10">
        <f t="shared" si="4"/>
        <v>100</v>
      </c>
      <c r="G286" s="8" t="str">
        <f t="shared" si="5"/>
        <v xml:space="preserve"> Connecting The Real And The Virtual World: How To Measure Digital Cities Impact. </v>
      </c>
      <c r="H286" s="10" t="str">
        <f t="shared" si="6"/>
        <v xml:space="preserve">Gouveia, L. </v>
      </c>
      <c r="I286" s="10" t="str">
        <f t="shared" si="7"/>
        <v xml:space="preserve">Gouveia, L. </v>
      </c>
      <c r="J286" s="10" t="str">
        <f t="shared" si="8"/>
        <v xml:space="preserve">Gouveia, L. </v>
      </c>
      <c r="K286" s="11" t="str">
        <f ca="1">IFERROR(__xludf.DUMMYFUNCTION("SPLIT(J286,"";"")"),"Gouveia, L. ")</f>
        <v xml:space="preserve">Gouveia, L. </v>
      </c>
      <c r="L286" s="10"/>
      <c r="M286" s="10"/>
      <c r="N286" s="10"/>
      <c r="O286" s="10"/>
      <c r="P286" s="10"/>
      <c r="Q286" s="10"/>
      <c r="R286" s="10"/>
      <c r="S286" s="10"/>
      <c r="T286" s="10"/>
      <c r="U286" s="10"/>
      <c r="V286" s="10"/>
      <c r="W286" s="10"/>
      <c r="X286" s="10"/>
      <c r="Y286" s="10"/>
      <c r="Z286" s="10"/>
    </row>
    <row r="287" spans="1:26" ht="17.25" customHeight="1" x14ac:dyDescent="0.3">
      <c r="A287" s="10" t="s">
        <v>421</v>
      </c>
      <c r="B287" s="10">
        <f t="shared" si="0"/>
        <v>29</v>
      </c>
      <c r="C287" s="8" t="str">
        <f t="shared" si="1"/>
        <v xml:space="preserve">Gouveia, L. and Gouveia, J. </v>
      </c>
      <c r="D287" s="8" t="str">
        <f t="shared" si="2"/>
        <v>2003</v>
      </c>
      <c r="E287" s="10">
        <f t="shared" si="3"/>
        <v>34</v>
      </c>
      <c r="F287" s="10">
        <f t="shared" si="4"/>
        <v>97</v>
      </c>
      <c r="G287" s="8" t="str">
        <f t="shared" si="5"/>
        <v xml:space="preserve"> Local e-government: how useful is a digital cities rationale. </v>
      </c>
      <c r="H287" s="10" t="str">
        <f t="shared" si="6"/>
        <v xml:space="preserve">Gouveia, L. ; Gouveia, J. </v>
      </c>
      <c r="I287" s="10" t="str">
        <f t="shared" si="7"/>
        <v xml:space="preserve">Gouveia, L. ; Gouveia, J. </v>
      </c>
      <c r="J287" s="10" t="str">
        <f t="shared" si="8"/>
        <v xml:space="preserve">Gouveia, L. ; Gouveia, J. </v>
      </c>
      <c r="K287" s="11" t="str">
        <f ca="1">IFERROR(__xludf.DUMMYFUNCTION("SPLIT(J287,"";"")"),"Gouveia, L. ")</f>
        <v xml:space="preserve">Gouveia, L. </v>
      </c>
      <c r="L287" s="10" t="str">
        <f ca="1">IFERROR(__xludf.DUMMYFUNCTION("""COMPUTED_VALUE""")," Gouveia, J. ")</f>
        <v xml:space="preserve"> Gouveia, J. </v>
      </c>
      <c r="M287" s="10"/>
      <c r="N287" s="10"/>
      <c r="O287" s="10"/>
      <c r="P287" s="10"/>
      <c r="Q287" s="10"/>
      <c r="R287" s="10"/>
      <c r="S287" s="10"/>
      <c r="T287" s="10"/>
      <c r="U287" s="10"/>
      <c r="V287" s="10"/>
      <c r="W287" s="10"/>
      <c r="X287" s="10"/>
      <c r="Y287" s="10"/>
      <c r="Z287" s="10"/>
    </row>
    <row r="288" spans="1:26" ht="17.25" customHeight="1" x14ac:dyDescent="0.3">
      <c r="A288" s="10" t="s">
        <v>422</v>
      </c>
      <c r="B288" s="10">
        <f t="shared" si="0"/>
        <v>65</v>
      </c>
      <c r="C288" s="8" t="str">
        <f t="shared" si="1"/>
        <v xml:space="preserve">Sacau, A.; Gouveia, L.; Ribeiro, N.; Gouveia, F. and Biocca, F. </v>
      </c>
      <c r="D288" s="8" t="str">
        <f t="shared" si="2"/>
        <v>2003</v>
      </c>
      <c r="E288" s="10">
        <f t="shared" si="3"/>
        <v>70</v>
      </c>
      <c r="F288" s="10">
        <f t="shared" si="4"/>
        <v>174</v>
      </c>
      <c r="G288" s="8" t="str">
        <f t="shared" si="5"/>
        <v xml:space="preserve"> Presence in Computer-Mediated Environments: a Short Review of the main concepts, theories, and trends. </v>
      </c>
      <c r="H288" s="10" t="str">
        <f t="shared" si="6"/>
        <v xml:space="preserve">Sacau, A.; Gouveia, L.; Ribeiro, N.; Gouveia, F. ; Biocca, F. </v>
      </c>
      <c r="I288" s="10" t="str">
        <f t="shared" si="7"/>
        <v xml:space="preserve">Sacau, A.; Gouveia, L.; Ribeiro, N.; Gouveia, F. ; Biocca, F. </v>
      </c>
      <c r="J288" s="10" t="str">
        <f t="shared" si="8"/>
        <v xml:space="preserve">Sacau, A.; Gouveia, L.; Ribeiro, N.; Gouveia, F. ; Biocca, F. </v>
      </c>
      <c r="K288" s="11" t="str">
        <f ca="1">IFERROR(__xludf.DUMMYFUNCTION("SPLIT(J288,"";"")"),"Sacau, A.")</f>
        <v>Sacau, A.</v>
      </c>
      <c r="L288" s="10" t="str">
        <f ca="1">IFERROR(__xludf.DUMMYFUNCTION("""COMPUTED_VALUE""")," Gouveia, L.")</f>
        <v xml:space="preserve"> Gouveia, L.</v>
      </c>
      <c r="M288" s="10" t="str">
        <f ca="1">IFERROR(__xludf.DUMMYFUNCTION("""COMPUTED_VALUE""")," Ribeiro, N.")</f>
        <v xml:space="preserve"> Ribeiro, N.</v>
      </c>
      <c r="N288" s="10" t="str">
        <f ca="1">IFERROR(__xludf.DUMMYFUNCTION("""COMPUTED_VALUE""")," Gouveia, F. ")</f>
        <v xml:space="preserve"> Gouveia, F. </v>
      </c>
      <c r="O288" s="10" t="str">
        <f ca="1">IFERROR(__xludf.DUMMYFUNCTION("""COMPUTED_VALUE""")," Biocca, F. ")</f>
        <v xml:space="preserve"> Biocca, F. </v>
      </c>
      <c r="P288" s="10"/>
      <c r="Q288" s="10"/>
      <c r="R288" s="10"/>
      <c r="S288" s="10"/>
      <c r="T288" s="10"/>
      <c r="U288" s="10"/>
      <c r="V288" s="10"/>
      <c r="W288" s="10"/>
      <c r="X288" s="10"/>
      <c r="Y288" s="10"/>
      <c r="Z288" s="10"/>
    </row>
    <row r="289" spans="1:26" ht="17.25" customHeight="1" x14ac:dyDescent="0.3">
      <c r="A289" s="10" t="s">
        <v>423</v>
      </c>
      <c r="B289" s="10">
        <f t="shared" si="0"/>
        <v>29</v>
      </c>
      <c r="C289" s="8" t="str">
        <f t="shared" si="1"/>
        <v xml:space="preserve">Gouveia, F. and Gouveia, L. </v>
      </c>
      <c r="D289" s="8" t="str">
        <f t="shared" si="2"/>
        <v>2003</v>
      </c>
      <c r="E289" s="10">
        <f t="shared" si="3"/>
        <v>34</v>
      </c>
      <c r="F289" s="10">
        <f t="shared" si="4"/>
        <v>79</v>
      </c>
      <c r="G289" s="8" t="str">
        <f t="shared" si="5"/>
        <v xml:space="preserve"> Assuming a roadmap strategy for e-business. </v>
      </c>
      <c r="H289" s="10" t="str">
        <f t="shared" si="6"/>
        <v xml:space="preserve">Gouveia, F. ; Gouveia, L. </v>
      </c>
      <c r="I289" s="10" t="str">
        <f t="shared" si="7"/>
        <v xml:space="preserve">Gouveia, F. ; Gouveia, L. </v>
      </c>
      <c r="J289" s="10" t="str">
        <f t="shared" si="8"/>
        <v xml:space="preserve">Gouveia, F. ; Gouveia, L. </v>
      </c>
      <c r="K289" s="11" t="str">
        <f ca="1">IFERROR(__xludf.DUMMYFUNCTION("SPLIT(J289,"";"")"),"Gouveia, F. ")</f>
        <v xml:space="preserve">Gouveia, F. </v>
      </c>
      <c r="L289" s="10" t="str">
        <f ca="1">IFERROR(__xludf.DUMMYFUNCTION("""COMPUTED_VALUE""")," Gouveia, L. ")</f>
        <v xml:space="preserve"> Gouveia, L. </v>
      </c>
      <c r="M289" s="10"/>
      <c r="N289" s="10"/>
      <c r="O289" s="10"/>
      <c r="P289" s="10"/>
      <c r="Q289" s="10"/>
      <c r="R289" s="10"/>
      <c r="S289" s="10"/>
      <c r="T289" s="10"/>
      <c r="U289" s="10"/>
      <c r="V289" s="10"/>
      <c r="W289" s="10"/>
      <c r="X289" s="10"/>
      <c r="Y289" s="10"/>
      <c r="Z289" s="10"/>
    </row>
    <row r="290" spans="1:26" ht="17.25" customHeight="1" x14ac:dyDescent="0.3">
      <c r="A290" s="10" t="s">
        <v>424</v>
      </c>
      <c r="B290" s="10">
        <f t="shared" si="0"/>
        <v>29</v>
      </c>
      <c r="C290" s="8" t="str">
        <f t="shared" si="1"/>
        <v xml:space="preserve">Gouveia, L. and Gouveia, J. </v>
      </c>
      <c r="D290" s="8" t="str">
        <f t="shared" si="2"/>
        <v>2003</v>
      </c>
      <c r="E290" s="10">
        <f t="shared" si="3"/>
        <v>34</v>
      </c>
      <c r="F290" s="10">
        <f t="shared" si="4"/>
        <v>94</v>
      </c>
      <c r="G290" s="8" t="str">
        <f t="shared" si="5"/>
        <v xml:space="preserve"> Taking advantage of digital benefits for digital outcomes. </v>
      </c>
      <c r="H290" s="10" t="str">
        <f t="shared" si="6"/>
        <v xml:space="preserve">Gouveia, L. ; Gouveia, J. </v>
      </c>
      <c r="I290" s="10" t="str">
        <f t="shared" si="7"/>
        <v xml:space="preserve">Gouveia, L. ; Gouveia, J. </v>
      </c>
      <c r="J290" s="10" t="str">
        <f t="shared" si="8"/>
        <v xml:space="preserve">Gouveia, L. ; Gouveia, J. </v>
      </c>
      <c r="K290" s="11" t="str">
        <f ca="1">IFERROR(__xludf.DUMMYFUNCTION("SPLIT(J290,"";"")"),"Gouveia, L. ")</f>
        <v xml:space="preserve">Gouveia, L. </v>
      </c>
      <c r="L290" s="10" t="str">
        <f ca="1">IFERROR(__xludf.DUMMYFUNCTION("""COMPUTED_VALUE""")," Gouveia, J. ")</f>
        <v xml:space="preserve"> Gouveia, J. </v>
      </c>
      <c r="M290" s="10"/>
      <c r="N290" s="10"/>
      <c r="O290" s="10"/>
      <c r="P290" s="10"/>
      <c r="Q290" s="10"/>
      <c r="R290" s="10"/>
      <c r="S290" s="10"/>
      <c r="T290" s="10"/>
      <c r="U290" s="10"/>
      <c r="V290" s="10"/>
      <c r="W290" s="10"/>
      <c r="X290" s="10"/>
      <c r="Y290" s="10"/>
      <c r="Z290" s="10"/>
    </row>
    <row r="291" spans="1:26" ht="17.25" customHeight="1" x14ac:dyDescent="0.3">
      <c r="A291" s="10" t="s">
        <v>425</v>
      </c>
      <c r="B291" s="10">
        <f t="shared" si="0"/>
        <v>29</v>
      </c>
      <c r="C291" s="8" t="str">
        <f t="shared" si="1"/>
        <v xml:space="preserve">Gouveia, L. and Gouveia, J. </v>
      </c>
      <c r="D291" s="8" t="str">
        <f t="shared" si="2"/>
        <v>2003</v>
      </c>
      <c r="E291" s="10">
        <f t="shared" si="3"/>
        <v>34</v>
      </c>
      <c r="F291" s="10">
        <f t="shared" si="4"/>
        <v>118</v>
      </c>
      <c r="G291" s="8" t="str">
        <f t="shared" si="5"/>
        <v xml:space="preserve"> E-learning: an opportunity to support the individual, the group and the community. </v>
      </c>
      <c r="H291" s="10" t="str">
        <f t="shared" si="6"/>
        <v xml:space="preserve">Gouveia, L. ; Gouveia, J. </v>
      </c>
      <c r="I291" s="10" t="str">
        <f t="shared" si="7"/>
        <v xml:space="preserve">Gouveia, L. ; Gouveia, J. </v>
      </c>
      <c r="J291" s="10" t="str">
        <f t="shared" si="8"/>
        <v xml:space="preserve">Gouveia, L. ; Gouveia, J. </v>
      </c>
      <c r="K291" s="11" t="str">
        <f ca="1">IFERROR(__xludf.DUMMYFUNCTION("SPLIT(J291,"";"")"),"Gouveia, L. ")</f>
        <v xml:space="preserve">Gouveia, L. </v>
      </c>
      <c r="L291" s="10" t="str">
        <f ca="1">IFERROR(__xludf.DUMMYFUNCTION("""COMPUTED_VALUE""")," Gouveia, J. ")</f>
        <v xml:space="preserve"> Gouveia, J. </v>
      </c>
      <c r="M291" s="10"/>
      <c r="N291" s="10"/>
      <c r="O291" s="10"/>
      <c r="P291" s="10"/>
      <c r="Q291" s="10"/>
      <c r="R291" s="10"/>
      <c r="S291" s="10"/>
      <c r="T291" s="10"/>
      <c r="U291" s="10"/>
      <c r="V291" s="10"/>
      <c r="W291" s="10"/>
      <c r="X291" s="10"/>
      <c r="Y291" s="10"/>
      <c r="Z291" s="10"/>
    </row>
    <row r="292" spans="1:26" ht="17.25" customHeight="1" x14ac:dyDescent="0.3">
      <c r="A292" s="10" t="s">
        <v>426</v>
      </c>
      <c r="B292" s="10">
        <f t="shared" si="0"/>
        <v>41</v>
      </c>
      <c r="C292" s="8" t="str">
        <f t="shared" si="1"/>
        <v xml:space="preserve">Rurato, P.; Gouveia, L. and Gouveia, J. </v>
      </c>
      <c r="D292" s="8" t="str">
        <f t="shared" si="2"/>
        <v>2002</v>
      </c>
      <c r="E292" s="10">
        <f t="shared" si="3"/>
        <v>46</v>
      </c>
      <c r="F292" s="10">
        <f t="shared" si="4"/>
        <v>97</v>
      </c>
      <c r="G292" s="8" t="str">
        <f t="shared" si="5"/>
        <v xml:space="preserve"> A Study on Adult Education and Distance Learning. </v>
      </c>
      <c r="H292" s="10" t="str">
        <f t="shared" si="6"/>
        <v xml:space="preserve">Rurato, P.; Gouveia, L. ; Gouveia, J. </v>
      </c>
      <c r="I292" s="10" t="str">
        <f t="shared" si="7"/>
        <v xml:space="preserve">Rurato, P.; Gouveia, L. ; Gouveia, J. </v>
      </c>
      <c r="J292" s="10" t="str">
        <f t="shared" si="8"/>
        <v xml:space="preserve">Rurato, P.; Gouveia, L. ; Gouveia, J. </v>
      </c>
      <c r="K292" s="11" t="str">
        <f ca="1">IFERROR(__xludf.DUMMYFUNCTION("SPLIT(J292,"";"")"),"Rurato, P.")</f>
        <v>Rurato, P.</v>
      </c>
      <c r="L292" s="10" t="str">
        <f ca="1">IFERROR(__xludf.DUMMYFUNCTION("""COMPUTED_VALUE""")," Gouveia, L. ")</f>
        <v xml:space="preserve"> Gouveia, L. </v>
      </c>
      <c r="M292" s="10" t="str">
        <f ca="1">IFERROR(__xludf.DUMMYFUNCTION("""COMPUTED_VALUE""")," Gouveia, J. ")</f>
        <v xml:space="preserve"> Gouveia, J. </v>
      </c>
      <c r="N292" s="10"/>
      <c r="O292" s="10"/>
      <c r="P292" s="10"/>
      <c r="Q292" s="10"/>
      <c r="R292" s="10"/>
      <c r="S292" s="10"/>
      <c r="T292" s="10"/>
      <c r="U292" s="10"/>
      <c r="V292" s="10"/>
      <c r="W292" s="10"/>
      <c r="X292" s="10"/>
      <c r="Y292" s="10"/>
      <c r="Z292" s="10"/>
    </row>
    <row r="293" spans="1:26" ht="17.25" customHeight="1" x14ac:dyDescent="0.3">
      <c r="A293" s="10" t="s">
        <v>427</v>
      </c>
      <c r="B293" s="10">
        <f t="shared" si="0"/>
        <v>13</v>
      </c>
      <c r="C293" s="8" t="str">
        <f t="shared" si="1"/>
        <v xml:space="preserve">Gouveia, L. </v>
      </c>
      <c r="D293" s="8" t="str">
        <f t="shared" si="2"/>
        <v>2002</v>
      </c>
      <c r="E293" s="10">
        <f t="shared" si="3"/>
        <v>18</v>
      </c>
      <c r="F293" s="10">
        <f t="shared" si="4"/>
        <v>101</v>
      </c>
      <c r="G293" s="8" t="str">
        <f t="shared" si="5"/>
        <v xml:space="preserve"> A Proposal to Support Collaborative Learning: using a structure to share context. </v>
      </c>
      <c r="H293" s="10" t="str">
        <f t="shared" si="6"/>
        <v xml:space="preserve">Gouveia, L. </v>
      </c>
      <c r="I293" s="10" t="str">
        <f t="shared" si="7"/>
        <v xml:space="preserve">Gouveia, L. </v>
      </c>
      <c r="J293" s="10" t="str">
        <f t="shared" si="8"/>
        <v xml:space="preserve">Gouveia, L. </v>
      </c>
      <c r="K293" s="11" t="str">
        <f ca="1">IFERROR(__xludf.DUMMYFUNCTION("SPLIT(J293,"";"")"),"Gouveia, L. ")</f>
        <v xml:space="preserve">Gouveia, L. </v>
      </c>
      <c r="L293" s="10"/>
      <c r="M293" s="10"/>
      <c r="N293" s="10"/>
      <c r="O293" s="10"/>
      <c r="P293" s="10"/>
      <c r="Q293" s="10"/>
      <c r="R293" s="10"/>
      <c r="S293" s="10"/>
      <c r="T293" s="10"/>
      <c r="U293" s="10"/>
      <c r="V293" s="10"/>
      <c r="W293" s="10"/>
      <c r="X293" s="10"/>
      <c r="Y293" s="10"/>
      <c r="Z293" s="10"/>
    </row>
    <row r="294" spans="1:26" ht="17.25" customHeight="1" x14ac:dyDescent="0.3">
      <c r="A294" s="10" t="s">
        <v>428</v>
      </c>
      <c r="B294" s="10">
        <f t="shared" si="0"/>
        <v>39</v>
      </c>
      <c r="C294" s="8" t="str">
        <f t="shared" si="1"/>
        <v xml:space="preserve">Xavier, J.; Gouveia, L. e Gouveia, J. </v>
      </c>
      <c r="D294" s="8" t="str">
        <f t="shared" si="2"/>
        <v>2002</v>
      </c>
      <c r="E294" s="10">
        <f t="shared" si="3"/>
        <v>44</v>
      </c>
      <c r="F294" s="10">
        <f t="shared" si="4"/>
        <v>132</v>
      </c>
      <c r="G294" s="8" t="str">
        <f t="shared" si="5"/>
        <v xml:space="preserve"> Reflexão sobre o uso de sistemas CRM e SIG para suporte ao conceito de cidade digital. </v>
      </c>
      <c r="H294" s="10" t="str">
        <f t="shared" si="6"/>
        <v xml:space="preserve">Xavier, J.; Gouveia, L. e Gouveia, J. </v>
      </c>
      <c r="I294" s="10" t="str">
        <f t="shared" si="7"/>
        <v xml:space="preserve">Xavier, J.; Gouveia, L. e Gouveia, J. </v>
      </c>
      <c r="J294" s="10" t="str">
        <f t="shared" si="8"/>
        <v xml:space="preserve">Xavier, J.; Gouveia, L.;Gouveia, J. </v>
      </c>
      <c r="K294" s="11" t="str">
        <f ca="1">IFERROR(__xludf.DUMMYFUNCTION("SPLIT(J294,"";"")"),"Xavier, J.")</f>
        <v>Xavier, J.</v>
      </c>
      <c r="L294" s="10" t="str">
        <f ca="1">IFERROR(__xludf.DUMMYFUNCTION("""COMPUTED_VALUE""")," Gouveia, L.")</f>
        <v xml:space="preserve"> Gouveia, L.</v>
      </c>
      <c r="M294" s="10" t="str">
        <f ca="1">IFERROR(__xludf.DUMMYFUNCTION("""COMPUTED_VALUE"""),"Gouveia, J. ")</f>
        <v xml:space="preserve">Gouveia, J. </v>
      </c>
      <c r="N294" s="10"/>
      <c r="O294" s="10"/>
      <c r="P294" s="10"/>
      <c r="Q294" s="10"/>
      <c r="R294" s="10"/>
      <c r="S294" s="10"/>
      <c r="T294" s="10"/>
      <c r="U294" s="10"/>
      <c r="V294" s="10"/>
      <c r="W294" s="10"/>
      <c r="X294" s="10"/>
      <c r="Y294" s="10"/>
      <c r="Z294" s="10"/>
    </row>
    <row r="295" spans="1:26" ht="17.25" customHeight="1" x14ac:dyDescent="0.3">
      <c r="A295" s="10" t="s">
        <v>429</v>
      </c>
      <c r="B295" s="10">
        <f t="shared" si="0"/>
        <v>27</v>
      </c>
      <c r="C295" s="8" t="str">
        <f t="shared" si="1"/>
        <v xml:space="preserve">Gouveia, L. e Gouveia, J. </v>
      </c>
      <c r="D295" s="8" t="str">
        <f t="shared" si="2"/>
        <v>2002</v>
      </c>
      <c r="E295" s="10">
        <f t="shared" si="3"/>
        <v>32</v>
      </c>
      <c r="F295" s="10">
        <f t="shared" si="4"/>
        <v>100</v>
      </c>
      <c r="G295" s="8" t="str">
        <f t="shared" si="5"/>
        <v xml:space="preserve"> Using a content management approach to support Web-based learning. </v>
      </c>
      <c r="H295" s="10" t="str">
        <f t="shared" si="6"/>
        <v xml:space="preserve">Gouveia, L. e Gouveia, J. </v>
      </c>
      <c r="I295" s="10" t="str">
        <f t="shared" si="7"/>
        <v xml:space="preserve">Gouveia, L. e Gouveia, J. </v>
      </c>
      <c r="J295" s="10" t="str">
        <f t="shared" si="8"/>
        <v xml:space="preserve">Gouveia, L.;Gouveia, J. </v>
      </c>
      <c r="K295" s="11" t="str">
        <f ca="1">IFERROR(__xludf.DUMMYFUNCTION("SPLIT(J295,"";"")"),"Gouveia, L.")</f>
        <v>Gouveia, L.</v>
      </c>
      <c r="L295" s="10" t="str">
        <f ca="1">IFERROR(__xludf.DUMMYFUNCTION("""COMPUTED_VALUE"""),"Gouveia, J. ")</f>
        <v xml:space="preserve">Gouveia, J. </v>
      </c>
      <c r="M295" s="10"/>
      <c r="N295" s="10"/>
      <c r="O295" s="10"/>
      <c r="P295" s="10"/>
      <c r="Q295" s="10"/>
      <c r="R295" s="10"/>
      <c r="S295" s="10"/>
      <c r="T295" s="10"/>
      <c r="U295" s="10"/>
      <c r="V295" s="10"/>
      <c r="W295" s="10"/>
      <c r="X295" s="10"/>
      <c r="Y295" s="10"/>
      <c r="Z295" s="10"/>
    </row>
    <row r="296" spans="1:26" ht="17.25" customHeight="1" x14ac:dyDescent="0.3">
      <c r="A296" s="10" t="s">
        <v>430</v>
      </c>
      <c r="B296" s="10">
        <f t="shared" si="0"/>
        <v>29</v>
      </c>
      <c r="C296" s="8" t="str">
        <f t="shared" si="1"/>
        <v xml:space="preserve">Gouveia, L. and Gouveia, J. </v>
      </c>
      <c r="D296" s="8" t="str">
        <f t="shared" si="2"/>
        <v>2002</v>
      </c>
      <c r="E296" s="10">
        <f t="shared" si="3"/>
        <v>34</v>
      </c>
      <c r="F296" s="10">
        <f t="shared" si="4"/>
        <v>78</v>
      </c>
      <c r="G296" s="8" t="str">
        <f t="shared" si="5"/>
        <v xml:space="preserve"> Digital cities: the Gaia Digital approach. </v>
      </c>
      <c r="H296" s="10" t="str">
        <f t="shared" si="6"/>
        <v xml:space="preserve">Gouveia, L. ; Gouveia, J. </v>
      </c>
      <c r="I296" s="10" t="str">
        <f t="shared" si="7"/>
        <v xml:space="preserve">Gouveia, L. ; Gouveia, J. </v>
      </c>
      <c r="J296" s="10" t="str">
        <f t="shared" si="8"/>
        <v xml:space="preserve">Gouveia, L. ; Gouveia, J. </v>
      </c>
      <c r="K296" s="11" t="str">
        <f ca="1">IFERROR(__xludf.DUMMYFUNCTION("SPLIT(J296,"";"")"),"Gouveia, L. ")</f>
        <v xml:space="preserve">Gouveia, L. </v>
      </c>
      <c r="L296" s="10" t="str">
        <f ca="1">IFERROR(__xludf.DUMMYFUNCTION("""COMPUTED_VALUE""")," Gouveia, J. ")</f>
        <v xml:space="preserve"> Gouveia, J. </v>
      </c>
      <c r="M296" s="10"/>
      <c r="N296" s="10"/>
      <c r="O296" s="10"/>
      <c r="P296" s="10"/>
      <c r="Q296" s="10"/>
      <c r="R296" s="10"/>
      <c r="S296" s="10"/>
      <c r="T296" s="10"/>
      <c r="U296" s="10"/>
      <c r="V296" s="10"/>
      <c r="W296" s="10"/>
      <c r="X296" s="10"/>
      <c r="Y296" s="10"/>
      <c r="Z296" s="10"/>
    </row>
    <row r="297" spans="1:26" ht="17.25" customHeight="1" x14ac:dyDescent="0.3">
      <c r="A297" s="10" t="s">
        <v>431</v>
      </c>
      <c r="B297" s="10">
        <f t="shared" si="0"/>
        <v>29</v>
      </c>
      <c r="C297" s="8" t="str">
        <f t="shared" si="1"/>
        <v xml:space="preserve">Gouveia, L. and Gouveia, J. </v>
      </c>
      <c r="D297" s="8" t="str">
        <f t="shared" si="2"/>
        <v>2002</v>
      </c>
      <c r="E297" s="10">
        <f t="shared" si="3"/>
        <v>34</v>
      </c>
      <c r="F297" s="10">
        <f t="shared" si="4"/>
        <v>105</v>
      </c>
      <c r="G297" s="8" t="str">
        <f t="shared" si="5"/>
        <v xml:space="preserve"> A Proposal for using Visualisation to Support Collaborative Learning. </v>
      </c>
      <c r="H297" s="10" t="str">
        <f t="shared" si="6"/>
        <v xml:space="preserve">Gouveia, L. ; Gouveia, J. </v>
      </c>
      <c r="I297" s="10" t="str">
        <f t="shared" si="7"/>
        <v xml:space="preserve">Gouveia, L. ; Gouveia, J. </v>
      </c>
      <c r="J297" s="10" t="str">
        <f t="shared" si="8"/>
        <v xml:space="preserve">Gouveia, L. ; Gouveia, J. </v>
      </c>
      <c r="K297" s="11" t="str">
        <f ca="1">IFERROR(__xludf.DUMMYFUNCTION("SPLIT(J297,"";"")"),"Gouveia, L. ")</f>
        <v xml:space="preserve">Gouveia, L. </v>
      </c>
      <c r="L297" s="10" t="str">
        <f ca="1">IFERROR(__xludf.DUMMYFUNCTION("""COMPUTED_VALUE""")," Gouveia, J. ")</f>
        <v xml:space="preserve"> Gouveia, J. </v>
      </c>
      <c r="M297" s="10"/>
      <c r="N297" s="10"/>
      <c r="O297" s="10"/>
      <c r="P297" s="10"/>
      <c r="Q297" s="10"/>
      <c r="R297" s="10"/>
      <c r="S297" s="10"/>
      <c r="T297" s="10"/>
      <c r="U297" s="10"/>
      <c r="V297" s="10"/>
      <c r="W297" s="10"/>
      <c r="X297" s="10"/>
      <c r="Y297" s="10"/>
      <c r="Z297" s="10"/>
    </row>
    <row r="298" spans="1:26" ht="17.25" customHeight="1" x14ac:dyDescent="0.3">
      <c r="A298" s="10" t="s">
        <v>432</v>
      </c>
      <c r="B298" s="10">
        <f t="shared" si="0"/>
        <v>29</v>
      </c>
      <c r="C298" s="8" t="str">
        <f t="shared" si="1"/>
        <v xml:space="preserve">Gouveia, L. and Gouveia, F. </v>
      </c>
      <c r="D298" s="8" t="str">
        <f t="shared" si="2"/>
        <v>2002</v>
      </c>
      <c r="E298" s="10">
        <f t="shared" si="3"/>
        <v>34</v>
      </c>
      <c r="F298" s="10">
        <f t="shared" si="4"/>
        <v>173</v>
      </c>
      <c r="G298" s="8" t="str">
        <f t="shared" si="5"/>
        <v xml:space="preserve"> Evaluative Etnography and Systems Design: can it also be used to assess presence? Proceedings of the Fifth Annual International Workshop. </v>
      </c>
      <c r="H298" s="10" t="str">
        <f t="shared" si="6"/>
        <v xml:space="preserve">Gouveia, L. ; Gouveia, F. </v>
      </c>
      <c r="I298" s="10" t="str">
        <f t="shared" si="7"/>
        <v xml:space="preserve">Gouveia, L. ; Gouveia, F. </v>
      </c>
      <c r="J298" s="10" t="str">
        <f t="shared" si="8"/>
        <v xml:space="preserve">Gouveia, L. ; Gouveia, F. </v>
      </c>
      <c r="K298" s="11" t="str">
        <f ca="1">IFERROR(__xludf.DUMMYFUNCTION("SPLIT(J298,"";"")"),"Gouveia, L. ")</f>
        <v xml:space="preserve">Gouveia, L. </v>
      </c>
      <c r="L298" s="10" t="str">
        <f ca="1">IFERROR(__xludf.DUMMYFUNCTION("""COMPUTED_VALUE""")," Gouveia, F. ")</f>
        <v xml:space="preserve"> Gouveia, F. </v>
      </c>
      <c r="M298" s="10"/>
      <c r="N298" s="10"/>
      <c r="O298" s="10"/>
      <c r="P298" s="10"/>
      <c r="Q298" s="10"/>
      <c r="R298" s="10"/>
      <c r="S298" s="10"/>
      <c r="T298" s="10"/>
      <c r="U298" s="10"/>
      <c r="V298" s="10"/>
      <c r="W298" s="10"/>
      <c r="X298" s="10"/>
      <c r="Y298" s="10"/>
      <c r="Z298" s="10"/>
    </row>
    <row r="299" spans="1:26" ht="17.25" customHeight="1" x14ac:dyDescent="0.3">
      <c r="A299" s="10" t="s">
        <v>433</v>
      </c>
      <c r="B299" s="10">
        <f t="shared" si="0"/>
        <v>13</v>
      </c>
      <c r="C299" s="8" t="str">
        <f t="shared" si="1"/>
        <v xml:space="preserve">Gouveia, L. </v>
      </c>
      <c r="D299" s="8" t="str">
        <f t="shared" si="2"/>
        <v>2002</v>
      </c>
      <c r="E299" s="10">
        <f t="shared" si="3"/>
        <v>18</v>
      </c>
      <c r="F299" s="10">
        <f t="shared" si="4"/>
        <v>130</v>
      </c>
      <c r="G299" s="8" t="str">
        <f t="shared" si="5"/>
        <v xml:space="preserve"> Emergent skills in higher education: from know-how to know-where, know-who, know-what, know-when and know-why. </v>
      </c>
      <c r="H299" s="10" t="str">
        <f t="shared" si="6"/>
        <v xml:space="preserve">Gouveia, L. </v>
      </c>
      <c r="I299" s="10" t="str">
        <f t="shared" si="7"/>
        <v xml:space="preserve">Gouveia, L. </v>
      </c>
      <c r="J299" s="10" t="str">
        <f t="shared" si="8"/>
        <v xml:space="preserve">Gouveia, L. </v>
      </c>
      <c r="K299" s="11" t="str">
        <f ca="1">IFERROR(__xludf.DUMMYFUNCTION("SPLIT(J299,"";"")"),"Gouveia, L. ")</f>
        <v xml:space="preserve">Gouveia, L. </v>
      </c>
      <c r="L299" s="10"/>
      <c r="M299" s="10"/>
      <c r="N299" s="10"/>
      <c r="O299" s="10"/>
      <c r="P299" s="10"/>
      <c r="Q299" s="10"/>
      <c r="R299" s="10"/>
      <c r="S299" s="10"/>
      <c r="T299" s="10"/>
      <c r="U299" s="10"/>
      <c r="V299" s="10"/>
      <c r="W299" s="10"/>
      <c r="X299" s="10"/>
      <c r="Y299" s="10"/>
      <c r="Z299" s="10"/>
    </row>
    <row r="300" spans="1:26" ht="17.25" customHeight="1" x14ac:dyDescent="0.3">
      <c r="A300" s="10" t="s">
        <v>434</v>
      </c>
      <c r="B300" s="10">
        <f t="shared" si="0"/>
        <v>29</v>
      </c>
      <c r="C300" s="8" t="str">
        <f t="shared" si="1"/>
        <v xml:space="preserve">Gouveia, L. and Gouveia, J. </v>
      </c>
      <c r="D300" s="8" t="str">
        <f t="shared" si="2"/>
        <v>2002</v>
      </c>
      <c r="E300" s="10">
        <f t="shared" si="3"/>
        <v>34</v>
      </c>
      <c r="F300" s="10">
        <f t="shared" si="4"/>
        <v>79</v>
      </c>
      <c r="G300" s="8" t="str">
        <f t="shared" si="5"/>
        <v xml:space="preserve"> Towards a social approah to Digital Cities. </v>
      </c>
      <c r="H300" s="10" t="str">
        <f t="shared" si="6"/>
        <v xml:space="preserve">Gouveia, L. ; Gouveia, J. </v>
      </c>
      <c r="I300" s="10" t="str">
        <f t="shared" si="7"/>
        <v xml:space="preserve">Gouveia, L. ; Gouveia, J. </v>
      </c>
      <c r="J300" s="10" t="str">
        <f t="shared" si="8"/>
        <v xml:space="preserve">Gouveia, L. ; Gouveia, J. </v>
      </c>
      <c r="K300" s="11" t="str">
        <f ca="1">IFERROR(__xludf.DUMMYFUNCTION("SPLIT(J300,"";"")"),"Gouveia, L. ")</f>
        <v xml:space="preserve">Gouveia, L. </v>
      </c>
      <c r="L300" s="10" t="str">
        <f ca="1">IFERROR(__xludf.DUMMYFUNCTION("""COMPUTED_VALUE""")," Gouveia, J. ")</f>
        <v xml:space="preserve"> Gouveia, J. </v>
      </c>
      <c r="M300" s="10"/>
      <c r="N300" s="10"/>
      <c r="O300" s="10"/>
      <c r="P300" s="10"/>
      <c r="Q300" s="10"/>
      <c r="R300" s="10"/>
      <c r="S300" s="10"/>
      <c r="T300" s="10"/>
      <c r="U300" s="10"/>
      <c r="V300" s="10"/>
      <c r="W300" s="10"/>
      <c r="X300" s="10"/>
      <c r="Y300" s="10"/>
      <c r="Z300" s="10"/>
    </row>
    <row r="301" spans="1:26" ht="17.25" customHeight="1" x14ac:dyDescent="0.3">
      <c r="A301" s="10" t="s">
        <v>435</v>
      </c>
      <c r="B301" s="10">
        <f t="shared" si="0"/>
        <v>13</v>
      </c>
      <c r="C301" s="8" t="str">
        <f t="shared" si="1"/>
        <v xml:space="preserve">Gouveia, L. </v>
      </c>
      <c r="D301" s="8" t="str">
        <f t="shared" si="2"/>
        <v>2002</v>
      </c>
      <c r="E301" s="10">
        <f t="shared" si="3"/>
        <v>18</v>
      </c>
      <c r="F301" s="10">
        <f t="shared" si="4"/>
        <v>82</v>
      </c>
      <c r="G301" s="8" t="str">
        <f t="shared" si="5"/>
        <v xml:space="preserve"> Assessing a case of Web use for face to face teaching support. </v>
      </c>
      <c r="H301" s="10" t="str">
        <f t="shared" si="6"/>
        <v xml:space="preserve">Gouveia, L. </v>
      </c>
      <c r="I301" s="10" t="str">
        <f t="shared" si="7"/>
        <v xml:space="preserve">Gouveia, L. </v>
      </c>
      <c r="J301" s="10" t="str">
        <f t="shared" si="8"/>
        <v xml:space="preserve">Gouveia, L. </v>
      </c>
      <c r="K301" s="11" t="str">
        <f ca="1">IFERROR(__xludf.DUMMYFUNCTION("SPLIT(J301,"";"")"),"Gouveia, L. ")</f>
        <v xml:space="preserve">Gouveia, L. </v>
      </c>
      <c r="L301" s="10"/>
      <c r="M301" s="10"/>
      <c r="N301" s="10"/>
      <c r="O301" s="10"/>
      <c r="P301" s="10"/>
      <c r="Q301" s="10"/>
      <c r="R301" s="10"/>
      <c r="S301" s="10"/>
      <c r="T301" s="10"/>
      <c r="U301" s="10"/>
      <c r="V301" s="10"/>
      <c r="W301" s="10"/>
      <c r="X301" s="10"/>
      <c r="Y301" s="10"/>
      <c r="Z301" s="10"/>
    </row>
    <row r="302" spans="1:26" ht="17.25" customHeight="1" x14ac:dyDescent="0.3">
      <c r="A302" s="10" t="s">
        <v>436</v>
      </c>
      <c r="B302" s="10">
        <f t="shared" si="0"/>
        <v>29</v>
      </c>
      <c r="C302" s="8" t="str">
        <f t="shared" si="1"/>
        <v xml:space="preserve">Gouveia, L. and Gouveia, J. </v>
      </c>
      <c r="D302" s="8" t="str">
        <f t="shared" si="2"/>
        <v>2002</v>
      </c>
      <c r="E302" s="10">
        <f t="shared" si="3"/>
        <v>34</v>
      </c>
      <c r="F302" s="10">
        <f t="shared" si="4"/>
        <v>125</v>
      </c>
      <c r="G302" s="8" t="str">
        <f t="shared" si="5"/>
        <v xml:space="preserve"> Proposing a semantic approach to Content Management for Education, Learning and Training. </v>
      </c>
      <c r="H302" s="10" t="str">
        <f t="shared" si="6"/>
        <v xml:space="preserve">Gouveia, L. ; Gouveia, J. </v>
      </c>
      <c r="I302" s="10" t="str">
        <f t="shared" si="7"/>
        <v xml:space="preserve">Gouveia, L. ; Gouveia, J. </v>
      </c>
      <c r="J302" s="10" t="str">
        <f t="shared" si="8"/>
        <v xml:space="preserve">Gouveia, L. ; Gouveia, J. </v>
      </c>
      <c r="K302" s="11" t="str">
        <f ca="1">IFERROR(__xludf.DUMMYFUNCTION("SPLIT(J302,"";"")"),"Gouveia, L. ")</f>
        <v xml:space="preserve">Gouveia, L. </v>
      </c>
      <c r="L302" s="10" t="str">
        <f ca="1">IFERROR(__xludf.DUMMYFUNCTION("""COMPUTED_VALUE""")," Gouveia, J. ")</f>
        <v xml:space="preserve"> Gouveia, J. </v>
      </c>
      <c r="M302" s="10"/>
      <c r="N302" s="10"/>
      <c r="O302" s="10"/>
      <c r="P302" s="10"/>
      <c r="Q302" s="10"/>
      <c r="R302" s="10"/>
      <c r="S302" s="10"/>
      <c r="T302" s="10"/>
      <c r="U302" s="10"/>
      <c r="V302" s="10"/>
      <c r="W302" s="10"/>
      <c r="X302" s="10"/>
      <c r="Y302" s="10"/>
      <c r="Z302" s="10"/>
    </row>
    <row r="303" spans="1:26" ht="17.25" customHeight="1" x14ac:dyDescent="0.3">
      <c r="A303" s="10" t="s">
        <v>437</v>
      </c>
      <c r="B303" s="10">
        <f t="shared" si="0"/>
        <v>26</v>
      </c>
      <c r="C303" s="8" t="str">
        <f t="shared" si="1"/>
        <v xml:space="preserve">Rurato, P. e Gouveia, L. </v>
      </c>
      <c r="D303" s="8" t="str">
        <f t="shared" si="2"/>
        <v>2002</v>
      </c>
      <c r="E303" s="10">
        <f t="shared" si="3"/>
        <v>31</v>
      </c>
      <c r="F303" s="10">
        <f t="shared" si="4"/>
        <v>99</v>
      </c>
      <c r="G303" s="8" t="str">
        <f t="shared" si="5"/>
        <v xml:space="preserve"> Estudo dos factores de sucesso em ambientes de ensino à distância. </v>
      </c>
      <c r="H303" s="10" t="str">
        <f t="shared" si="6"/>
        <v xml:space="preserve">Rurato, P. e Gouveia, L. </v>
      </c>
      <c r="I303" s="10" t="str">
        <f t="shared" si="7"/>
        <v xml:space="preserve">Rurato, P. e Gouveia, L. </v>
      </c>
      <c r="J303" s="10" t="str">
        <f t="shared" si="8"/>
        <v xml:space="preserve">Rurato, P.;Gouveia, L. </v>
      </c>
      <c r="K303" s="11" t="str">
        <f ca="1">IFERROR(__xludf.DUMMYFUNCTION("SPLIT(J303,"";"")"),"Rurato, P.")</f>
        <v>Rurato, P.</v>
      </c>
      <c r="L303" s="10" t="str">
        <f ca="1">IFERROR(__xludf.DUMMYFUNCTION("""COMPUTED_VALUE"""),"Gouveia, L. ")</f>
        <v xml:space="preserve">Gouveia, L. </v>
      </c>
      <c r="M303" s="10"/>
      <c r="N303" s="10"/>
      <c r="O303" s="10"/>
      <c r="P303" s="10"/>
      <c r="Q303" s="10"/>
      <c r="R303" s="10"/>
      <c r="S303" s="10"/>
      <c r="T303" s="10"/>
      <c r="U303" s="10"/>
      <c r="V303" s="10"/>
      <c r="W303" s="10"/>
      <c r="X303" s="10"/>
      <c r="Y303" s="10"/>
      <c r="Z303" s="10"/>
    </row>
    <row r="304" spans="1:26" ht="17.25" customHeight="1" x14ac:dyDescent="0.3">
      <c r="A304" s="10" t="s">
        <v>438</v>
      </c>
      <c r="B304" s="10">
        <f t="shared" si="0"/>
        <v>29</v>
      </c>
      <c r="C304" s="8" t="str">
        <f t="shared" si="1"/>
        <v xml:space="preserve">Gouveia, L. and Gouveia, J. </v>
      </c>
      <c r="D304" s="8" t="str">
        <f t="shared" si="2"/>
        <v>2002</v>
      </c>
      <c r="E304" s="10">
        <f t="shared" si="3"/>
        <v>34</v>
      </c>
      <c r="F304" s="10">
        <f t="shared" si="4"/>
        <v>94</v>
      </c>
      <c r="G304" s="8" t="str">
        <f t="shared" si="5"/>
        <v xml:space="preserve"> EFTWeb: providing context sharing for  Web-Based Learning. </v>
      </c>
      <c r="H304" s="10" t="str">
        <f t="shared" si="6"/>
        <v xml:space="preserve">Gouveia, L. ; Gouveia, J. </v>
      </c>
      <c r="I304" s="10" t="str">
        <f t="shared" si="7"/>
        <v xml:space="preserve">Gouveia, L. ; Gouveia, J. </v>
      </c>
      <c r="J304" s="10" t="str">
        <f t="shared" si="8"/>
        <v xml:space="preserve">Gouveia, L. ; Gouveia, J. </v>
      </c>
      <c r="K304" s="11" t="str">
        <f ca="1">IFERROR(__xludf.DUMMYFUNCTION("SPLIT(J304,"";"")"),"Gouveia, L. ")</f>
        <v xml:space="preserve">Gouveia, L. </v>
      </c>
      <c r="L304" s="10" t="str">
        <f ca="1">IFERROR(__xludf.DUMMYFUNCTION("""COMPUTED_VALUE""")," Gouveia, J. ")</f>
        <v xml:space="preserve"> Gouveia, J. </v>
      </c>
      <c r="M304" s="10"/>
      <c r="N304" s="10"/>
      <c r="O304" s="10"/>
      <c r="P304" s="10"/>
      <c r="Q304" s="10"/>
      <c r="R304" s="10"/>
      <c r="S304" s="10"/>
      <c r="T304" s="10"/>
      <c r="U304" s="10"/>
      <c r="V304" s="10"/>
      <c r="W304" s="10"/>
      <c r="X304" s="10"/>
      <c r="Y304" s="10"/>
      <c r="Z304" s="10"/>
    </row>
    <row r="305" spans="1:26" ht="17.25" customHeight="1" x14ac:dyDescent="0.3">
      <c r="A305" s="10" t="s">
        <v>439</v>
      </c>
      <c r="B305" s="10">
        <f t="shared" si="0"/>
        <v>13</v>
      </c>
      <c r="C305" s="8" t="str">
        <f t="shared" si="1"/>
        <v xml:space="preserve">Gouveia, L. </v>
      </c>
      <c r="D305" s="8" t="str">
        <f t="shared" si="2"/>
        <v>2001</v>
      </c>
      <c r="E305" s="10">
        <f t="shared" si="3"/>
        <v>18</v>
      </c>
      <c r="F305" s="10">
        <f t="shared" si="4"/>
        <v>72</v>
      </c>
      <c r="G305" s="8" t="str">
        <f t="shared" si="5"/>
        <v xml:space="preserve"> Supporting knowledge sharing within an organisation. </v>
      </c>
      <c r="H305" s="10" t="str">
        <f t="shared" si="6"/>
        <v xml:space="preserve">Gouveia, L. </v>
      </c>
      <c r="I305" s="10" t="str">
        <f t="shared" si="7"/>
        <v xml:space="preserve">Gouveia, L. </v>
      </c>
      <c r="J305" s="10" t="str">
        <f t="shared" si="8"/>
        <v xml:space="preserve">Gouveia, L. </v>
      </c>
      <c r="K305" s="11" t="str">
        <f ca="1">IFERROR(__xludf.DUMMYFUNCTION("SPLIT(J305,"";"")"),"Gouveia, L. ")</f>
        <v xml:space="preserve">Gouveia, L. </v>
      </c>
      <c r="L305" s="10"/>
      <c r="M305" s="10"/>
      <c r="N305" s="10"/>
      <c r="O305" s="10"/>
      <c r="P305" s="10"/>
      <c r="Q305" s="10"/>
      <c r="R305" s="10"/>
      <c r="S305" s="10"/>
      <c r="T305" s="10"/>
      <c r="U305" s="10"/>
      <c r="V305" s="10"/>
      <c r="W305" s="10"/>
      <c r="X305" s="10"/>
      <c r="Y305" s="10"/>
      <c r="Z305" s="10"/>
    </row>
    <row r="306" spans="1:26" ht="17.25" customHeight="1" x14ac:dyDescent="0.3">
      <c r="A306" s="10" t="s">
        <v>440</v>
      </c>
      <c r="B306" s="10">
        <f t="shared" si="0"/>
        <v>13</v>
      </c>
      <c r="C306" s="8" t="str">
        <f t="shared" si="1"/>
        <v xml:space="preserve">Gouveia, L. </v>
      </c>
      <c r="D306" s="8" t="str">
        <f t="shared" si="2"/>
        <v>2001</v>
      </c>
      <c r="E306" s="10">
        <f t="shared" si="3"/>
        <v>18</v>
      </c>
      <c r="F306" s="10">
        <f t="shared" si="4"/>
        <v>91</v>
      </c>
      <c r="G306" s="8" t="str">
        <f t="shared" si="5"/>
        <v xml:space="preserve"> Limites ao uso da World Wide Web como complemento ao ensino presencial. </v>
      </c>
      <c r="H306" s="10" t="str">
        <f t="shared" si="6"/>
        <v xml:space="preserve">Gouveia, L. </v>
      </c>
      <c r="I306" s="10" t="str">
        <f t="shared" si="7"/>
        <v xml:space="preserve">Gouveia, L. </v>
      </c>
      <c r="J306" s="10" t="str">
        <f t="shared" si="8"/>
        <v xml:space="preserve">Gouveia, L. </v>
      </c>
      <c r="K306" s="11" t="str">
        <f ca="1">IFERROR(__xludf.DUMMYFUNCTION("SPLIT(J306,"";"")"),"Gouveia, L. ")</f>
        <v xml:space="preserve">Gouveia, L. </v>
      </c>
      <c r="L306" s="10"/>
      <c r="M306" s="10"/>
      <c r="N306" s="10"/>
      <c r="O306" s="10"/>
      <c r="P306" s="10"/>
      <c r="Q306" s="10"/>
      <c r="R306" s="10"/>
      <c r="S306" s="10"/>
      <c r="T306" s="10"/>
      <c r="U306" s="10"/>
      <c r="V306" s="10"/>
      <c r="W306" s="10"/>
      <c r="X306" s="10"/>
      <c r="Y306" s="10"/>
      <c r="Z306" s="10"/>
    </row>
    <row r="307" spans="1:26" ht="17.25" customHeight="1" x14ac:dyDescent="0.3">
      <c r="A307" s="10" t="s">
        <v>441</v>
      </c>
      <c r="B307" s="10">
        <f t="shared" si="0"/>
        <v>29</v>
      </c>
      <c r="C307" s="8" t="str">
        <f t="shared" si="1"/>
        <v xml:space="preserve">Gouveia, J. and Gouveia, L. </v>
      </c>
      <c r="D307" s="8" t="str">
        <f t="shared" si="2"/>
        <v>2001</v>
      </c>
      <c r="E307" s="10">
        <f t="shared" si="3"/>
        <v>34</v>
      </c>
      <c r="F307" s="10">
        <f t="shared" si="4"/>
        <v>109</v>
      </c>
      <c r="G307" s="8" t="str">
        <f t="shared" si="5"/>
        <v xml:space="preserve"> EFTWeb: an environment to support context sharing for education settings. </v>
      </c>
      <c r="H307" s="10" t="str">
        <f t="shared" si="6"/>
        <v xml:space="preserve">Gouveia, J. ; Gouveia, L. </v>
      </c>
      <c r="I307" s="10" t="str">
        <f t="shared" si="7"/>
        <v xml:space="preserve">Gouveia, J. ; Gouveia, L. </v>
      </c>
      <c r="J307" s="10" t="str">
        <f t="shared" si="8"/>
        <v xml:space="preserve">Gouveia, J. ; Gouveia, L. </v>
      </c>
      <c r="K307" s="11" t="str">
        <f ca="1">IFERROR(__xludf.DUMMYFUNCTION("SPLIT(J307,"";"")"),"Gouveia, J. ")</f>
        <v xml:space="preserve">Gouveia, J. </v>
      </c>
      <c r="L307" s="10" t="str">
        <f ca="1">IFERROR(__xludf.DUMMYFUNCTION("""COMPUTED_VALUE""")," Gouveia, L. ")</f>
        <v xml:space="preserve"> Gouveia, L. </v>
      </c>
      <c r="M307" s="10"/>
      <c r="N307" s="10"/>
      <c r="O307" s="10"/>
      <c r="P307" s="10"/>
      <c r="Q307" s="10"/>
      <c r="R307" s="10"/>
      <c r="S307" s="10"/>
      <c r="T307" s="10"/>
      <c r="U307" s="10"/>
      <c r="V307" s="10"/>
      <c r="W307" s="10"/>
      <c r="X307" s="10"/>
      <c r="Y307" s="10"/>
      <c r="Z307" s="10"/>
    </row>
    <row r="308" spans="1:26" ht="17.25" customHeight="1" x14ac:dyDescent="0.3">
      <c r="A308" s="10" t="s">
        <v>442</v>
      </c>
      <c r="B308" s="10">
        <f t="shared" si="0"/>
        <v>29</v>
      </c>
      <c r="C308" s="8" t="str">
        <f t="shared" si="1"/>
        <v xml:space="preserve">Gouveia, L. and Gouveia, F. </v>
      </c>
      <c r="D308" s="8" t="str">
        <f t="shared" si="2"/>
        <v>2001</v>
      </c>
      <c r="E308" s="10">
        <f t="shared" si="3"/>
        <v>34</v>
      </c>
      <c r="F308" s="10">
        <f t="shared" si="4"/>
        <v>121</v>
      </c>
      <c r="G308" s="8" t="str">
        <f t="shared" si="5"/>
        <v xml:space="preserve"> Evaluation of a visualisation design for knowledge sharing and information discovery. </v>
      </c>
      <c r="H308" s="10" t="str">
        <f t="shared" si="6"/>
        <v xml:space="preserve">Gouveia, L. ; Gouveia, F. </v>
      </c>
      <c r="I308" s="10" t="str">
        <f t="shared" si="7"/>
        <v xml:space="preserve">Gouveia, L. ; Gouveia, F. </v>
      </c>
      <c r="J308" s="10" t="str">
        <f t="shared" si="8"/>
        <v xml:space="preserve">Gouveia, L. ; Gouveia, F. </v>
      </c>
      <c r="K308" s="11" t="str">
        <f ca="1">IFERROR(__xludf.DUMMYFUNCTION("SPLIT(J308,"";"")"),"Gouveia, L. ")</f>
        <v xml:space="preserve">Gouveia, L. </v>
      </c>
      <c r="L308" s="10" t="str">
        <f ca="1">IFERROR(__xludf.DUMMYFUNCTION("""COMPUTED_VALUE""")," Gouveia, F. ")</f>
        <v xml:space="preserve"> Gouveia, F. </v>
      </c>
      <c r="M308" s="10"/>
      <c r="N308" s="10"/>
      <c r="O308" s="10"/>
      <c r="P308" s="10"/>
      <c r="Q308" s="10"/>
      <c r="R308" s="10"/>
      <c r="S308" s="10"/>
      <c r="T308" s="10"/>
      <c r="U308" s="10"/>
      <c r="V308" s="10"/>
      <c r="W308" s="10"/>
      <c r="X308" s="10"/>
      <c r="Y308" s="10"/>
      <c r="Z308" s="10"/>
    </row>
    <row r="309" spans="1:26" ht="17.25" customHeight="1" x14ac:dyDescent="0.3">
      <c r="A309" s="10" t="s">
        <v>443</v>
      </c>
      <c r="B309" s="10">
        <f t="shared" si="0"/>
        <v>29</v>
      </c>
      <c r="C309" s="8" t="str">
        <f t="shared" si="1"/>
        <v xml:space="preserve">Gouveia, L. and Gouveia, J. </v>
      </c>
      <c r="D309" s="8" t="str">
        <f t="shared" si="2"/>
        <v>2001</v>
      </c>
      <c r="E309" s="10">
        <f t="shared" si="3"/>
        <v>34</v>
      </c>
      <c r="F309" s="10">
        <f t="shared" si="4"/>
        <v>91</v>
      </c>
      <c r="G309" s="8" t="str">
        <f t="shared" si="5"/>
        <v xml:space="preserve"> Proposing a knowledge policy based on the EFTWeb model. </v>
      </c>
      <c r="H309" s="10" t="str">
        <f t="shared" si="6"/>
        <v xml:space="preserve">Gouveia, L. ; Gouveia, J. </v>
      </c>
      <c r="I309" s="10" t="str">
        <f t="shared" si="7"/>
        <v xml:space="preserve">Gouveia, L. ; Gouveia, J. </v>
      </c>
      <c r="J309" s="10" t="str">
        <f t="shared" si="8"/>
        <v xml:space="preserve">Gouveia, L. ; Gouveia, J. </v>
      </c>
      <c r="K309" s="11" t="str">
        <f ca="1">IFERROR(__xludf.DUMMYFUNCTION("SPLIT(J309,"";"")"),"Gouveia, L. ")</f>
        <v xml:space="preserve">Gouveia, L. </v>
      </c>
      <c r="L309" s="10" t="str">
        <f ca="1">IFERROR(__xludf.DUMMYFUNCTION("""COMPUTED_VALUE""")," Gouveia, J. ")</f>
        <v xml:space="preserve"> Gouveia, J. </v>
      </c>
      <c r="M309" s="10"/>
      <c r="N309" s="10"/>
      <c r="O309" s="10"/>
      <c r="P309" s="10"/>
      <c r="Q309" s="10"/>
      <c r="R309" s="10"/>
      <c r="S309" s="10"/>
      <c r="T309" s="10"/>
      <c r="U309" s="10"/>
      <c r="V309" s="10"/>
      <c r="W309" s="10"/>
      <c r="X309" s="10"/>
      <c r="Y309" s="10"/>
      <c r="Z309" s="10"/>
    </row>
    <row r="310" spans="1:26" ht="17.25" customHeight="1" x14ac:dyDescent="0.3">
      <c r="A310" s="10" t="s">
        <v>444</v>
      </c>
      <c r="B310" s="10">
        <f t="shared" si="0"/>
        <v>29</v>
      </c>
      <c r="C310" s="8" t="str">
        <f t="shared" si="1"/>
        <v xml:space="preserve">Gouveia, L. and Gouveia, F. </v>
      </c>
      <c r="D310" s="8" t="str">
        <f t="shared" si="2"/>
        <v>2001</v>
      </c>
      <c r="E310" s="10">
        <f t="shared" si="3"/>
        <v>34</v>
      </c>
      <c r="F310" s="10">
        <f t="shared" si="4"/>
        <v>89</v>
      </c>
      <c r="G310" s="8" t="str">
        <f t="shared" si="5"/>
        <v xml:space="preserve"> A visualisation proposal to assist knowledge sharing. </v>
      </c>
      <c r="H310" s="10" t="str">
        <f t="shared" si="6"/>
        <v xml:space="preserve">Gouveia, L. ; Gouveia, F. </v>
      </c>
      <c r="I310" s="10" t="str">
        <f t="shared" si="7"/>
        <v xml:space="preserve">Gouveia, L. ; Gouveia, F. </v>
      </c>
      <c r="J310" s="10" t="str">
        <f t="shared" si="8"/>
        <v xml:space="preserve">Gouveia, L. ; Gouveia, F. </v>
      </c>
      <c r="K310" s="11" t="str">
        <f ca="1">IFERROR(__xludf.DUMMYFUNCTION("SPLIT(J310,"";"")"),"Gouveia, L. ")</f>
        <v xml:space="preserve">Gouveia, L. </v>
      </c>
      <c r="L310" s="10" t="str">
        <f ca="1">IFERROR(__xludf.DUMMYFUNCTION("""COMPUTED_VALUE""")," Gouveia, F. ")</f>
        <v xml:space="preserve"> Gouveia, F. </v>
      </c>
      <c r="M310" s="10"/>
      <c r="N310" s="10"/>
      <c r="O310" s="10"/>
      <c r="P310" s="10"/>
      <c r="Q310" s="10"/>
      <c r="R310" s="10"/>
      <c r="S310" s="10"/>
      <c r="T310" s="10"/>
      <c r="U310" s="10"/>
      <c r="V310" s="10"/>
      <c r="W310" s="10"/>
      <c r="X310" s="10"/>
      <c r="Y310" s="10"/>
      <c r="Z310" s="10"/>
    </row>
    <row r="311" spans="1:26" ht="17.25" customHeight="1" x14ac:dyDescent="0.3">
      <c r="A311" s="10" t="s">
        <v>445</v>
      </c>
      <c r="B311" s="10">
        <f t="shared" si="0"/>
        <v>42</v>
      </c>
      <c r="C311" s="8" t="str">
        <f t="shared" si="1"/>
        <v xml:space="preserve">Gouveia, J.; Gouveia, L. and Restivo, F. </v>
      </c>
      <c r="D311" s="8" t="str">
        <f t="shared" si="2"/>
        <v>2001</v>
      </c>
      <c r="E311" s="10">
        <f t="shared" si="3"/>
        <v>47</v>
      </c>
      <c r="F311" s="10">
        <f t="shared" si="4"/>
        <v>93</v>
      </c>
      <c r="G311" s="8" t="str">
        <f t="shared" si="5"/>
        <v xml:space="preserve"> EFTWeb: towards a content management system. </v>
      </c>
      <c r="H311" s="10" t="str">
        <f t="shared" si="6"/>
        <v xml:space="preserve">Gouveia, J.; Gouveia, L. ; Restivo, F. </v>
      </c>
      <c r="I311" s="10" t="str">
        <f t="shared" si="7"/>
        <v xml:space="preserve">Gouveia, J.; Gouveia, L. ; Restivo, F. </v>
      </c>
      <c r="J311" s="10" t="str">
        <f t="shared" si="8"/>
        <v xml:space="preserve">Gouveia, J.; Gouveia, L. ; Restivo, F. </v>
      </c>
      <c r="K311" s="11" t="str">
        <f ca="1">IFERROR(__xludf.DUMMYFUNCTION("SPLIT(J311,"";"")"),"Gouveia, J.")</f>
        <v>Gouveia, J.</v>
      </c>
      <c r="L311" s="10" t="str">
        <f ca="1">IFERROR(__xludf.DUMMYFUNCTION("""COMPUTED_VALUE""")," Gouveia, L. ")</f>
        <v xml:space="preserve"> Gouveia, L. </v>
      </c>
      <c r="M311" s="10" t="str">
        <f ca="1">IFERROR(__xludf.DUMMYFUNCTION("""COMPUTED_VALUE""")," Restivo, F. ")</f>
        <v xml:space="preserve"> Restivo, F. </v>
      </c>
      <c r="N311" s="10"/>
      <c r="O311" s="10"/>
      <c r="P311" s="10"/>
      <c r="Q311" s="10"/>
      <c r="R311" s="10"/>
      <c r="S311" s="10"/>
      <c r="T311" s="10"/>
      <c r="U311" s="10"/>
      <c r="V311" s="10"/>
      <c r="W311" s="10"/>
      <c r="X311" s="10"/>
      <c r="Y311" s="10"/>
      <c r="Z311" s="10"/>
    </row>
    <row r="312" spans="1:26" ht="17.25" customHeight="1" x14ac:dyDescent="0.3">
      <c r="A312" s="10" t="s">
        <v>446</v>
      </c>
      <c r="B312" s="10">
        <f t="shared" si="0"/>
        <v>42</v>
      </c>
      <c r="C312" s="8" t="str">
        <f t="shared" si="1"/>
        <v xml:space="preserve">Gouveia, J.; Gouveia, L. and Restivo, F. </v>
      </c>
      <c r="D312" s="8" t="str">
        <f t="shared" si="2"/>
        <v>2001</v>
      </c>
      <c r="E312" s="10">
        <f t="shared" si="3"/>
        <v>47</v>
      </c>
      <c r="F312" s="10">
        <f t="shared" si="4"/>
        <v>125</v>
      </c>
      <c r="G312" s="8" t="str">
        <f t="shared" si="5"/>
        <v xml:space="preserve"> Using the Web to support an education, learning and training service centre. </v>
      </c>
      <c r="H312" s="10" t="str">
        <f t="shared" si="6"/>
        <v xml:space="preserve">Gouveia, J.; Gouveia, L. ; Restivo, F. </v>
      </c>
      <c r="I312" s="10" t="str">
        <f t="shared" si="7"/>
        <v xml:space="preserve">Gouveia, J.; Gouveia, L. ; Restivo, F. </v>
      </c>
      <c r="J312" s="10" t="str">
        <f t="shared" si="8"/>
        <v xml:space="preserve">Gouveia, J.; Gouveia, L. ; Restivo, F. </v>
      </c>
      <c r="K312" s="11" t="str">
        <f ca="1">IFERROR(__xludf.DUMMYFUNCTION("SPLIT(J312,"";"")"),"Gouveia, J.")</f>
        <v>Gouveia, J.</v>
      </c>
      <c r="L312" s="10" t="str">
        <f ca="1">IFERROR(__xludf.DUMMYFUNCTION("""COMPUTED_VALUE""")," Gouveia, L. ")</f>
        <v xml:space="preserve"> Gouveia, L. </v>
      </c>
      <c r="M312" s="10" t="str">
        <f ca="1">IFERROR(__xludf.DUMMYFUNCTION("""COMPUTED_VALUE""")," Restivo, F. ")</f>
        <v xml:space="preserve"> Restivo, F. </v>
      </c>
      <c r="N312" s="10"/>
      <c r="O312" s="10"/>
      <c r="P312" s="10"/>
      <c r="Q312" s="10"/>
      <c r="R312" s="10"/>
      <c r="S312" s="10"/>
      <c r="T312" s="10"/>
      <c r="U312" s="10"/>
      <c r="V312" s="10"/>
      <c r="W312" s="10"/>
      <c r="X312" s="10"/>
      <c r="Y312" s="10"/>
      <c r="Z312" s="10"/>
    </row>
    <row r="313" spans="1:26" ht="17.25" customHeight="1" x14ac:dyDescent="0.3">
      <c r="A313" s="10" t="s">
        <v>447</v>
      </c>
      <c r="B313" s="10">
        <f t="shared" si="0"/>
        <v>13</v>
      </c>
      <c r="C313" s="8" t="str">
        <f t="shared" si="1"/>
        <v xml:space="preserve">Gouveia, L. </v>
      </c>
      <c r="D313" s="8" t="str">
        <f t="shared" si="2"/>
        <v>2000</v>
      </c>
      <c r="E313" s="10">
        <f t="shared" si="3"/>
        <v>18</v>
      </c>
      <c r="F313" s="10">
        <f t="shared" si="4"/>
        <v>96</v>
      </c>
      <c r="G313" s="8" t="str">
        <f t="shared" si="5"/>
        <v xml:space="preserve"> Visualisation and Direct Manipulation: issues for human systems development. </v>
      </c>
      <c r="H313" s="10" t="str">
        <f t="shared" si="6"/>
        <v xml:space="preserve">Gouveia, L. </v>
      </c>
      <c r="I313" s="10" t="str">
        <f t="shared" si="7"/>
        <v xml:space="preserve">Gouveia, L. </v>
      </c>
      <c r="J313" s="10" t="str">
        <f t="shared" si="8"/>
        <v xml:space="preserve">Gouveia, L. </v>
      </c>
      <c r="K313" s="11" t="str">
        <f ca="1">IFERROR(__xludf.DUMMYFUNCTION("SPLIT(J313,"";"")"),"Gouveia, L. ")</f>
        <v xml:space="preserve">Gouveia, L. </v>
      </c>
      <c r="L313" s="10"/>
      <c r="M313" s="10"/>
      <c r="N313" s="10"/>
      <c r="O313" s="10"/>
      <c r="P313" s="10"/>
      <c r="Q313" s="10"/>
      <c r="R313" s="10"/>
      <c r="S313" s="10"/>
      <c r="T313" s="10"/>
      <c r="U313" s="10"/>
      <c r="V313" s="10"/>
      <c r="W313" s="10"/>
      <c r="X313" s="10"/>
      <c r="Y313" s="10"/>
      <c r="Z313" s="10"/>
    </row>
    <row r="314" spans="1:26" ht="17.25" customHeight="1" x14ac:dyDescent="0.3">
      <c r="A314" s="10" t="s">
        <v>448</v>
      </c>
      <c r="B314" s="10">
        <f t="shared" si="0"/>
        <v>42</v>
      </c>
      <c r="C314" s="8" t="str">
        <f t="shared" si="1"/>
        <v xml:space="preserve">Gouveia, L.; Gouveia, J. and Restivo, F. </v>
      </c>
      <c r="D314" s="8" t="str">
        <f t="shared" si="2"/>
        <v>2000</v>
      </c>
      <c r="E314" s="10">
        <f t="shared" si="3"/>
        <v>47</v>
      </c>
      <c r="F314" s="10">
        <f t="shared" si="4"/>
        <v>119</v>
      </c>
      <c r="G314" s="8" t="str">
        <f t="shared" si="5"/>
        <v xml:space="preserve"> EFTWeb: Towards a service centre for Education, Learning and Training. </v>
      </c>
      <c r="H314" s="10" t="str">
        <f t="shared" si="6"/>
        <v xml:space="preserve">Gouveia, L.; Gouveia, J. ; Restivo, F. </v>
      </c>
      <c r="I314" s="10" t="str">
        <f t="shared" si="7"/>
        <v xml:space="preserve">Gouveia, L.; Gouveia, J. ; Restivo, F. </v>
      </c>
      <c r="J314" s="10" t="str">
        <f t="shared" si="8"/>
        <v xml:space="preserve">Gouveia, L.; Gouveia, J. ; Restivo, F. </v>
      </c>
      <c r="K314" s="11" t="str">
        <f ca="1">IFERROR(__xludf.DUMMYFUNCTION("SPLIT(J314,"";"")"),"Gouveia, L.")</f>
        <v>Gouveia, L.</v>
      </c>
      <c r="L314" s="10" t="str">
        <f ca="1">IFERROR(__xludf.DUMMYFUNCTION("""COMPUTED_VALUE""")," Gouveia, J. ")</f>
        <v xml:space="preserve"> Gouveia, J. </v>
      </c>
      <c r="M314" s="10" t="str">
        <f ca="1">IFERROR(__xludf.DUMMYFUNCTION("""COMPUTED_VALUE""")," Restivo, F. ")</f>
        <v xml:space="preserve"> Restivo, F. </v>
      </c>
      <c r="N314" s="10"/>
      <c r="O314" s="10"/>
      <c r="P314" s="10"/>
      <c r="Q314" s="10"/>
      <c r="R314" s="10"/>
      <c r="S314" s="10"/>
      <c r="T314" s="10"/>
      <c r="U314" s="10"/>
      <c r="V314" s="10"/>
      <c r="W314" s="10"/>
      <c r="X314" s="10"/>
      <c r="Y314" s="10"/>
      <c r="Z314" s="10"/>
    </row>
    <row r="315" spans="1:26" ht="17.25" customHeight="1" x14ac:dyDescent="0.3">
      <c r="A315" s="10" t="s">
        <v>449</v>
      </c>
      <c r="B315" s="10">
        <f t="shared" si="0"/>
        <v>42</v>
      </c>
      <c r="C315" s="8" t="str">
        <f t="shared" si="1"/>
        <v xml:space="preserve">Gouveia, L.; Gouveia, J. and Restivo, F. </v>
      </c>
      <c r="D315" s="8" t="str">
        <f t="shared" si="2"/>
        <v>2000</v>
      </c>
      <c r="E315" s="10">
        <f t="shared" si="3"/>
        <v>47</v>
      </c>
      <c r="F315" s="10">
        <f t="shared" si="4"/>
        <v>151</v>
      </c>
      <c r="G315" s="8" t="str">
        <f t="shared" si="5"/>
        <v xml:space="preserve"> EFTWeb: an application to support skills trading within education, learning and training environments. </v>
      </c>
      <c r="H315" s="10" t="str">
        <f t="shared" si="6"/>
        <v xml:space="preserve">Gouveia, L.; Gouveia, J. ; Restivo, F. </v>
      </c>
      <c r="I315" s="10" t="str">
        <f t="shared" si="7"/>
        <v xml:space="preserve">Gouveia, L.; Gouveia, J. ; Restivo, F. </v>
      </c>
      <c r="J315" s="10" t="str">
        <f t="shared" si="8"/>
        <v xml:space="preserve">Gouveia, L.; Gouveia, J. ; Restivo, F. </v>
      </c>
      <c r="K315" s="11" t="str">
        <f ca="1">IFERROR(__xludf.DUMMYFUNCTION("SPLIT(J315,"";"")"),"Gouveia, L.")</f>
        <v>Gouveia, L.</v>
      </c>
      <c r="L315" s="10" t="str">
        <f ca="1">IFERROR(__xludf.DUMMYFUNCTION("""COMPUTED_VALUE""")," Gouveia, J. ")</f>
        <v xml:space="preserve"> Gouveia, J. </v>
      </c>
      <c r="M315" s="10" t="str">
        <f ca="1">IFERROR(__xludf.DUMMYFUNCTION("""COMPUTED_VALUE""")," Restivo, F. ")</f>
        <v xml:space="preserve"> Restivo, F. </v>
      </c>
      <c r="N315" s="10"/>
      <c r="O315" s="10"/>
      <c r="P315" s="10"/>
      <c r="Q315" s="10"/>
      <c r="R315" s="10"/>
      <c r="S315" s="10"/>
      <c r="T315" s="10"/>
      <c r="U315" s="10"/>
      <c r="V315" s="10"/>
      <c r="W315" s="10"/>
      <c r="X315" s="10"/>
      <c r="Y315" s="10"/>
      <c r="Z315" s="10"/>
    </row>
    <row r="316" spans="1:26" ht="17.25" customHeight="1" x14ac:dyDescent="0.3">
      <c r="A316" s="10" t="s">
        <v>450</v>
      </c>
      <c r="B316" s="10">
        <f t="shared" si="0"/>
        <v>42</v>
      </c>
      <c r="C316" s="8" t="str">
        <f t="shared" si="1"/>
        <v xml:space="preserve">Gouveia, J.; Gouveia, L. and Restivo, F. </v>
      </c>
      <c r="D316" s="8" t="str">
        <f t="shared" si="2"/>
        <v>2000</v>
      </c>
      <c r="E316" s="10">
        <f t="shared" si="3"/>
        <v>47</v>
      </c>
      <c r="F316" s="10">
        <f t="shared" si="4"/>
        <v>122</v>
      </c>
      <c r="G316" s="8" t="str">
        <f t="shared" si="5"/>
        <v xml:space="preserve"> Proposing a knowledge network to assist education, training and learning. </v>
      </c>
      <c r="H316" s="10" t="str">
        <f t="shared" si="6"/>
        <v xml:space="preserve">Gouveia, J.; Gouveia, L. ; Restivo, F. </v>
      </c>
      <c r="I316" s="10" t="str">
        <f t="shared" si="7"/>
        <v xml:space="preserve">Gouveia, J.; Gouveia, L. ; Restivo, F. </v>
      </c>
      <c r="J316" s="10" t="str">
        <f t="shared" si="8"/>
        <v xml:space="preserve">Gouveia, J.; Gouveia, L. ; Restivo, F. </v>
      </c>
      <c r="K316" s="11" t="str">
        <f ca="1">IFERROR(__xludf.DUMMYFUNCTION("SPLIT(J316,"";"")"),"Gouveia, J.")</f>
        <v>Gouveia, J.</v>
      </c>
      <c r="L316" s="10" t="str">
        <f ca="1">IFERROR(__xludf.DUMMYFUNCTION("""COMPUTED_VALUE""")," Gouveia, L. ")</f>
        <v xml:space="preserve"> Gouveia, L. </v>
      </c>
      <c r="M316" s="10" t="str">
        <f ca="1">IFERROR(__xludf.DUMMYFUNCTION("""COMPUTED_VALUE""")," Restivo, F. ")</f>
        <v xml:space="preserve"> Restivo, F. </v>
      </c>
      <c r="N316" s="10"/>
      <c r="O316" s="10"/>
      <c r="P316" s="10"/>
      <c r="Q316" s="10"/>
      <c r="R316" s="10"/>
      <c r="S316" s="10"/>
      <c r="T316" s="10"/>
      <c r="U316" s="10"/>
      <c r="V316" s="10"/>
      <c r="W316" s="10"/>
      <c r="X316" s="10"/>
      <c r="Y316" s="10"/>
      <c r="Z316" s="10"/>
    </row>
    <row r="317" spans="1:26" ht="17.25" customHeight="1" x14ac:dyDescent="0.3">
      <c r="A317" s="10" t="s">
        <v>451</v>
      </c>
      <c r="B317" s="10">
        <f t="shared" si="0"/>
        <v>42</v>
      </c>
      <c r="C317" s="8" t="str">
        <f t="shared" si="1"/>
        <v xml:space="preserve">Gouveia, J.; Gouveia, L. and Restivo, F. </v>
      </c>
      <c r="D317" s="8" t="str">
        <f t="shared" si="2"/>
        <v>2000</v>
      </c>
      <c r="E317" s="10">
        <f t="shared" si="3"/>
        <v>47</v>
      </c>
      <c r="F317" s="10">
        <f t="shared" si="4"/>
        <v>126</v>
      </c>
      <c r="G317" s="8" t="str">
        <f t="shared" si="5"/>
        <v xml:space="preserve"> EFTWeb: a learning environment that supports presence and distance education. </v>
      </c>
      <c r="H317" s="10" t="str">
        <f t="shared" si="6"/>
        <v xml:space="preserve">Gouveia, J.; Gouveia, L. ; Restivo, F. </v>
      </c>
      <c r="I317" s="10" t="str">
        <f t="shared" si="7"/>
        <v xml:space="preserve">Gouveia, J.; Gouveia, L. ; Restivo, F. </v>
      </c>
      <c r="J317" s="10" t="str">
        <f t="shared" si="8"/>
        <v xml:space="preserve">Gouveia, J.; Gouveia, L. ; Restivo, F. </v>
      </c>
      <c r="K317" s="11" t="str">
        <f ca="1">IFERROR(__xludf.DUMMYFUNCTION("SPLIT(J317,"";"")"),"Gouveia, J.")</f>
        <v>Gouveia, J.</v>
      </c>
      <c r="L317" s="10" t="str">
        <f ca="1">IFERROR(__xludf.DUMMYFUNCTION("""COMPUTED_VALUE""")," Gouveia, L. ")</f>
        <v xml:space="preserve"> Gouveia, L. </v>
      </c>
      <c r="M317" s="10" t="str">
        <f ca="1">IFERROR(__xludf.DUMMYFUNCTION("""COMPUTED_VALUE""")," Restivo, F. ")</f>
        <v xml:space="preserve"> Restivo, F. </v>
      </c>
      <c r="N317" s="10"/>
      <c r="O317" s="10"/>
      <c r="P317" s="10"/>
      <c r="Q317" s="10"/>
      <c r="R317" s="10"/>
      <c r="S317" s="10"/>
      <c r="T317" s="10"/>
      <c r="U317" s="10"/>
      <c r="V317" s="10"/>
      <c r="W317" s="10"/>
      <c r="X317" s="10"/>
      <c r="Y317" s="10"/>
      <c r="Z317" s="10"/>
    </row>
    <row r="318" spans="1:26" ht="17.25" customHeight="1" x14ac:dyDescent="0.3">
      <c r="A318" s="10" t="s">
        <v>452</v>
      </c>
      <c r="B318" s="10">
        <f t="shared" si="0"/>
        <v>29</v>
      </c>
      <c r="C318" s="8" t="str">
        <f t="shared" si="1"/>
        <v xml:space="preserve">Gouveia, L. and Gouveia, F. </v>
      </c>
      <c r="D318" s="8" t="str">
        <f t="shared" si="2"/>
        <v>2000</v>
      </c>
      <c r="E318" s="10">
        <f t="shared" si="3"/>
        <v>34</v>
      </c>
      <c r="F318" s="10">
        <f t="shared" si="4"/>
        <v>93</v>
      </c>
      <c r="G318" s="8" t="str">
        <f t="shared" si="5"/>
        <v xml:space="preserve"> Informing a information discovery tool for using gesture. </v>
      </c>
      <c r="H318" s="10" t="str">
        <f t="shared" si="6"/>
        <v xml:space="preserve">Gouveia, L. ; Gouveia, F. </v>
      </c>
      <c r="I318" s="10" t="str">
        <f t="shared" si="7"/>
        <v xml:space="preserve">Gouveia, L. ; Gouveia, F. </v>
      </c>
      <c r="J318" s="10" t="str">
        <f t="shared" si="8"/>
        <v xml:space="preserve">Gouveia, L. ; Gouveia, F. </v>
      </c>
      <c r="K318" s="11" t="str">
        <f ca="1">IFERROR(__xludf.DUMMYFUNCTION("SPLIT(J318,"";"")"),"Gouveia, L. ")</f>
        <v xml:space="preserve">Gouveia, L. </v>
      </c>
      <c r="L318" s="10" t="str">
        <f ca="1">IFERROR(__xludf.DUMMYFUNCTION("""COMPUTED_VALUE""")," Gouveia, F. ")</f>
        <v xml:space="preserve"> Gouveia, F. </v>
      </c>
      <c r="M318" s="10"/>
      <c r="N318" s="10"/>
      <c r="O318" s="10"/>
      <c r="P318" s="10"/>
      <c r="Q318" s="10"/>
      <c r="R318" s="10"/>
      <c r="S318" s="10"/>
      <c r="T318" s="10"/>
      <c r="U318" s="10"/>
      <c r="V318" s="10"/>
      <c r="W318" s="10"/>
      <c r="X318" s="10"/>
      <c r="Y318" s="10"/>
      <c r="Z318" s="10"/>
    </row>
    <row r="319" spans="1:26" ht="17.25" customHeight="1" x14ac:dyDescent="0.3">
      <c r="A319" s="10" t="s">
        <v>453</v>
      </c>
      <c r="B319" s="10">
        <f t="shared" si="0"/>
        <v>40</v>
      </c>
      <c r="C319" s="8" t="str">
        <f t="shared" si="1"/>
        <v xml:space="preserve">Gouveia, L.; Gouveia, F. and Lamas, D. </v>
      </c>
      <c r="D319" s="8" t="str">
        <f t="shared" si="2"/>
        <v>1999</v>
      </c>
      <c r="E319" s="10">
        <f t="shared" si="3"/>
        <v>45</v>
      </c>
      <c r="F319" s="10">
        <f t="shared" si="4"/>
        <v>80</v>
      </c>
      <c r="G319" s="8" t="str">
        <f t="shared" si="5"/>
        <v xml:space="preserve"> Innovation in Business Processes. </v>
      </c>
      <c r="H319" s="10" t="str">
        <f t="shared" si="6"/>
        <v xml:space="preserve">Gouveia, L.; Gouveia, F. ; Lamas, D. </v>
      </c>
      <c r="I319" s="10" t="str">
        <f t="shared" si="7"/>
        <v xml:space="preserve">Gouveia, L.; Gouveia, F. ; Lamas, D. </v>
      </c>
      <c r="J319" s="10" t="str">
        <f t="shared" si="8"/>
        <v xml:space="preserve">Gouveia, L.; Gouveia, F. ; Lamas, D. </v>
      </c>
      <c r="K319" s="11" t="str">
        <f ca="1">IFERROR(__xludf.DUMMYFUNCTION("SPLIT(J319,"";"")"),"Gouveia, L.")</f>
        <v>Gouveia, L.</v>
      </c>
      <c r="L319" s="10" t="str">
        <f ca="1">IFERROR(__xludf.DUMMYFUNCTION("""COMPUTED_VALUE""")," Gouveia, F. ")</f>
        <v xml:space="preserve"> Gouveia, F. </v>
      </c>
      <c r="M319" s="10" t="str">
        <f ca="1">IFERROR(__xludf.DUMMYFUNCTION("""COMPUTED_VALUE""")," Lamas, D. ")</f>
        <v xml:space="preserve"> Lamas, D. </v>
      </c>
      <c r="N319" s="10"/>
      <c r="O319" s="10"/>
      <c r="P319" s="10"/>
      <c r="Q319" s="10"/>
      <c r="R319" s="10"/>
      <c r="S319" s="10"/>
      <c r="T319" s="10"/>
      <c r="U319" s="10"/>
      <c r="V319" s="10"/>
      <c r="W319" s="10"/>
      <c r="X319" s="10"/>
      <c r="Y319" s="10"/>
      <c r="Z319" s="10"/>
    </row>
    <row r="320" spans="1:26" ht="17.25" customHeight="1" x14ac:dyDescent="0.3">
      <c r="A320" s="10" t="s">
        <v>454</v>
      </c>
      <c r="B320" s="10">
        <f t="shared" si="0"/>
        <v>42</v>
      </c>
      <c r="C320" s="8" t="str">
        <f t="shared" si="1"/>
        <v xml:space="preserve">Gouveia, L.; Gouveia, J. and Restivo, F. </v>
      </c>
      <c r="D320" s="8" t="str">
        <f t="shared" si="2"/>
        <v>1999</v>
      </c>
      <c r="E320" s="10">
        <f t="shared" si="3"/>
        <v>47</v>
      </c>
      <c r="F320" s="10">
        <f t="shared" si="4"/>
        <v>126</v>
      </c>
      <c r="G320" s="8" t="str">
        <f t="shared" si="5"/>
        <v xml:space="preserve"> EFTWeb: a working model proposal to support Education, Learning and Training. </v>
      </c>
      <c r="H320" s="10" t="str">
        <f t="shared" si="6"/>
        <v xml:space="preserve">Gouveia, L.; Gouveia, J. ; Restivo, F. </v>
      </c>
      <c r="I320" s="10" t="str">
        <f t="shared" si="7"/>
        <v xml:space="preserve">Gouveia, L.; Gouveia, J. ; Restivo, F. </v>
      </c>
      <c r="J320" s="10" t="str">
        <f t="shared" si="8"/>
        <v xml:space="preserve">Gouveia, L.; Gouveia, J. ; Restivo, F. </v>
      </c>
      <c r="K320" s="11" t="str">
        <f ca="1">IFERROR(__xludf.DUMMYFUNCTION("SPLIT(J320,"";"")"),"Gouveia, L.")</f>
        <v>Gouveia, L.</v>
      </c>
      <c r="L320" s="10" t="str">
        <f ca="1">IFERROR(__xludf.DUMMYFUNCTION("""COMPUTED_VALUE""")," Gouveia, J. ")</f>
        <v xml:space="preserve"> Gouveia, J. </v>
      </c>
      <c r="M320" s="10" t="str">
        <f ca="1">IFERROR(__xludf.DUMMYFUNCTION("""COMPUTED_VALUE""")," Restivo, F. ")</f>
        <v xml:space="preserve"> Restivo, F. </v>
      </c>
      <c r="N320" s="10"/>
      <c r="O320" s="10"/>
      <c r="P320" s="10"/>
      <c r="Q320" s="10"/>
      <c r="R320" s="10"/>
      <c r="S320" s="10"/>
      <c r="T320" s="10"/>
      <c r="U320" s="10"/>
      <c r="V320" s="10"/>
      <c r="W320" s="10"/>
      <c r="X320" s="10"/>
      <c r="Y320" s="10"/>
      <c r="Z320" s="10"/>
    </row>
    <row r="321" spans="1:26" ht="17.25" customHeight="1" x14ac:dyDescent="0.3">
      <c r="A321" s="10" t="s">
        <v>455</v>
      </c>
      <c r="B321" s="10">
        <f t="shared" si="0"/>
        <v>13</v>
      </c>
      <c r="C321" s="8" t="str">
        <f t="shared" si="1"/>
        <v xml:space="preserve">Gouveia, L. </v>
      </c>
      <c r="D321" s="8" t="str">
        <f t="shared" si="2"/>
        <v>1999</v>
      </c>
      <c r="E321" s="10">
        <f t="shared" si="3"/>
        <v>18</v>
      </c>
      <c r="F321" s="10">
        <f t="shared" si="4"/>
        <v>92</v>
      </c>
      <c r="G321" s="8" t="str">
        <f t="shared" si="5"/>
        <v xml:space="preserve"> Shared Visualisation and Virtual Environments for Co-operative Learning. </v>
      </c>
      <c r="H321" s="10" t="str">
        <f t="shared" si="6"/>
        <v xml:space="preserve">Gouveia, L. </v>
      </c>
      <c r="I321" s="10" t="str">
        <f t="shared" si="7"/>
        <v xml:space="preserve">Gouveia, L. </v>
      </c>
      <c r="J321" s="10" t="str">
        <f t="shared" si="8"/>
        <v xml:space="preserve">Gouveia, L. </v>
      </c>
      <c r="K321" s="11" t="str">
        <f ca="1">IFERROR(__xludf.DUMMYFUNCTION("SPLIT(J321,"";"")"),"Gouveia, L. ")</f>
        <v xml:space="preserve">Gouveia, L. </v>
      </c>
      <c r="L321" s="10"/>
      <c r="M321" s="10"/>
      <c r="N321" s="10"/>
      <c r="O321" s="10"/>
      <c r="P321" s="10"/>
      <c r="Q321" s="10"/>
      <c r="R321" s="10"/>
      <c r="S321" s="10"/>
      <c r="T321" s="10"/>
      <c r="U321" s="10"/>
      <c r="V321" s="10"/>
      <c r="W321" s="10"/>
      <c r="X321" s="10"/>
      <c r="Y321" s="10"/>
      <c r="Z321" s="10"/>
    </row>
    <row r="322" spans="1:26" ht="17.25" customHeight="1" x14ac:dyDescent="0.3">
      <c r="A322" s="10" t="s">
        <v>456</v>
      </c>
      <c r="B322" s="10">
        <f t="shared" si="0"/>
        <v>13</v>
      </c>
      <c r="C322" s="8" t="str">
        <f t="shared" si="1"/>
        <v xml:space="preserve">Gouveia, L. </v>
      </c>
      <c r="D322" s="8" t="str">
        <f t="shared" si="2"/>
        <v>1999</v>
      </c>
      <c r="E322" s="10">
        <f t="shared" si="3"/>
        <v>18</v>
      </c>
      <c r="F322" s="10">
        <f t="shared" si="4"/>
        <v>116</v>
      </c>
      <c r="G322" s="8" t="str">
        <f t="shared" si="5"/>
        <v xml:space="preserve"> Is there any space for presence teaching in a digital world? A proposed framework for Web usage. </v>
      </c>
      <c r="H322" s="10" t="str">
        <f t="shared" si="6"/>
        <v xml:space="preserve">Gouveia, L. </v>
      </c>
      <c r="I322" s="10" t="str">
        <f t="shared" si="7"/>
        <v xml:space="preserve">Gouveia, L. </v>
      </c>
      <c r="J322" s="10" t="str">
        <f t="shared" si="8"/>
        <v xml:space="preserve">Gouveia, L. </v>
      </c>
      <c r="K322" s="11" t="str">
        <f ca="1">IFERROR(__xludf.DUMMYFUNCTION("SPLIT(J322,"";"")"),"Gouveia, L. ")</f>
        <v xml:space="preserve">Gouveia, L. </v>
      </c>
      <c r="L322" s="10"/>
      <c r="M322" s="10"/>
      <c r="N322" s="10"/>
      <c r="O322" s="10"/>
      <c r="P322" s="10"/>
      <c r="Q322" s="10"/>
      <c r="R322" s="10"/>
      <c r="S322" s="10"/>
      <c r="T322" s="10"/>
      <c r="U322" s="10"/>
      <c r="V322" s="10"/>
      <c r="W322" s="10"/>
      <c r="X322" s="10"/>
      <c r="Y322" s="10"/>
      <c r="Z322" s="10"/>
    </row>
    <row r="323" spans="1:26" ht="17.25" customHeight="1" x14ac:dyDescent="0.3">
      <c r="A323" s="10" t="s">
        <v>457</v>
      </c>
      <c r="B323" s="10">
        <f t="shared" si="0"/>
        <v>13</v>
      </c>
      <c r="C323" s="8" t="str">
        <f t="shared" si="1"/>
        <v xml:space="preserve">Gouveia, L. </v>
      </c>
      <c r="D323" s="8" t="str">
        <f t="shared" si="2"/>
        <v>1998</v>
      </c>
      <c r="E323" s="10">
        <f t="shared" si="3"/>
        <v>18</v>
      </c>
      <c r="F323" s="10">
        <f t="shared" si="4"/>
        <v>118</v>
      </c>
      <c r="G323" s="8" t="str">
        <f t="shared" si="5"/>
        <v xml:space="preserve"> A technological related discussion on the potential of change in education, learning and training. </v>
      </c>
      <c r="H323" s="10" t="str">
        <f t="shared" si="6"/>
        <v xml:space="preserve">Gouveia, L. </v>
      </c>
      <c r="I323" s="10" t="str">
        <f t="shared" si="7"/>
        <v xml:space="preserve">Gouveia, L. </v>
      </c>
      <c r="J323" s="10" t="str">
        <f t="shared" si="8"/>
        <v xml:space="preserve">Gouveia, L. </v>
      </c>
      <c r="K323" s="11" t="str">
        <f ca="1">IFERROR(__xludf.DUMMYFUNCTION("SPLIT(J323,"";"")"),"Gouveia, L. ")</f>
        <v xml:space="preserve">Gouveia, L. </v>
      </c>
      <c r="L323" s="10"/>
      <c r="M323" s="10"/>
      <c r="N323" s="10"/>
      <c r="O323" s="10"/>
      <c r="P323" s="10"/>
      <c r="Q323" s="10"/>
      <c r="R323" s="10"/>
      <c r="S323" s="10"/>
      <c r="T323" s="10"/>
      <c r="U323" s="10"/>
      <c r="V323" s="10"/>
      <c r="W323" s="10"/>
      <c r="X323" s="10"/>
      <c r="Y323" s="10"/>
      <c r="Z323" s="10"/>
    </row>
    <row r="324" spans="1:26" ht="17.25" customHeight="1" x14ac:dyDescent="0.3">
      <c r="A324" s="10" t="s">
        <v>458</v>
      </c>
      <c r="B324" s="10">
        <f t="shared" si="0"/>
        <v>13</v>
      </c>
      <c r="C324" s="8" t="str">
        <f t="shared" si="1"/>
        <v xml:space="preserve">Gouveia, L. </v>
      </c>
      <c r="D324" s="8" t="str">
        <f t="shared" si="2"/>
        <v>1998</v>
      </c>
      <c r="E324" s="10">
        <f t="shared" si="3"/>
        <v>18</v>
      </c>
      <c r="F324" s="10">
        <f t="shared" si="4"/>
        <v>143</v>
      </c>
      <c r="G324" s="8" t="str">
        <f t="shared" si="5"/>
        <v xml:space="preserve"> Feasibility discussion of a Collaborative Virtual Environment, finding alternative ways for university members interaction. </v>
      </c>
      <c r="H324" s="10" t="str">
        <f t="shared" si="6"/>
        <v xml:space="preserve">Gouveia, L. </v>
      </c>
      <c r="I324" s="10" t="str">
        <f t="shared" si="7"/>
        <v xml:space="preserve">Gouveia, L. </v>
      </c>
      <c r="J324" s="10" t="str">
        <f t="shared" si="8"/>
        <v xml:space="preserve">Gouveia, L. </v>
      </c>
      <c r="K324" s="11" t="str">
        <f ca="1">IFERROR(__xludf.DUMMYFUNCTION("SPLIT(J324,"";"")"),"Gouveia, L. ")</f>
        <v xml:space="preserve">Gouveia, L. </v>
      </c>
      <c r="L324" s="10"/>
      <c r="M324" s="10"/>
      <c r="N324" s="10"/>
      <c r="O324" s="10"/>
      <c r="P324" s="10"/>
      <c r="Q324" s="10"/>
      <c r="R324" s="10"/>
      <c r="S324" s="10"/>
      <c r="T324" s="10"/>
      <c r="U324" s="10"/>
      <c r="V324" s="10"/>
      <c r="W324" s="10"/>
      <c r="X324" s="10"/>
      <c r="Y324" s="10"/>
      <c r="Z324" s="10"/>
    </row>
    <row r="325" spans="1:26" ht="17.25" customHeight="1" x14ac:dyDescent="0.3">
      <c r="A325" s="10" t="s">
        <v>459</v>
      </c>
      <c r="B325" s="10">
        <f t="shared" si="0"/>
        <v>13</v>
      </c>
      <c r="C325" s="8" t="str">
        <f t="shared" si="1"/>
        <v xml:space="preserve">Gouveia, L. </v>
      </c>
      <c r="D325" s="8" t="str">
        <f t="shared" si="2"/>
        <v>1998</v>
      </c>
      <c r="E325" s="10">
        <f t="shared" si="3"/>
        <v>18</v>
      </c>
      <c r="F325" s="10">
        <f t="shared" si="4"/>
        <v>58</v>
      </c>
      <c r="G325" s="8" t="str">
        <f t="shared" si="5"/>
        <v xml:space="preserve"> Digital support for teachers teaching. </v>
      </c>
      <c r="H325" s="10" t="str">
        <f t="shared" si="6"/>
        <v xml:space="preserve">Gouveia, L. </v>
      </c>
      <c r="I325" s="10" t="str">
        <f t="shared" si="7"/>
        <v xml:space="preserve">Gouveia, L. </v>
      </c>
      <c r="J325" s="10" t="str">
        <f t="shared" si="8"/>
        <v xml:space="preserve">Gouveia, L. </v>
      </c>
      <c r="K325" s="11" t="str">
        <f ca="1">IFERROR(__xludf.DUMMYFUNCTION("SPLIT(J325,"";"")"),"Gouveia, L. ")</f>
        <v xml:space="preserve">Gouveia, L. </v>
      </c>
      <c r="L325" s="10"/>
      <c r="M325" s="10"/>
      <c r="N325" s="10"/>
      <c r="O325" s="10"/>
      <c r="P325" s="10"/>
      <c r="Q325" s="10"/>
      <c r="R325" s="10"/>
      <c r="S325" s="10"/>
      <c r="T325" s="10"/>
      <c r="U325" s="10"/>
      <c r="V325" s="10"/>
      <c r="W325" s="10"/>
      <c r="X325" s="10"/>
      <c r="Y325" s="10"/>
      <c r="Z325" s="10"/>
    </row>
    <row r="326" spans="1:26" ht="17.25" customHeight="1" x14ac:dyDescent="0.3">
      <c r="A326" s="10" t="s">
        <v>460</v>
      </c>
      <c r="B326" s="10">
        <f t="shared" si="0"/>
        <v>13</v>
      </c>
      <c r="C326" s="8" t="str">
        <f t="shared" si="1"/>
        <v xml:space="preserve">Gouveia, L. </v>
      </c>
      <c r="D326" s="8" t="str">
        <f t="shared" si="2"/>
        <v>1998</v>
      </c>
      <c r="E326" s="10">
        <f t="shared" si="3"/>
        <v>18</v>
      </c>
      <c r="F326" s="10">
        <f t="shared" si="4"/>
        <v>97</v>
      </c>
      <c r="G326" s="8" t="str">
        <f t="shared" si="5"/>
        <v xml:space="preserve"> The NetLab experience, moving the action to electronic learning environments. </v>
      </c>
      <c r="H326" s="10" t="str">
        <f t="shared" si="6"/>
        <v xml:space="preserve">Gouveia, L. </v>
      </c>
      <c r="I326" s="10" t="str">
        <f t="shared" si="7"/>
        <v xml:space="preserve">Gouveia, L. </v>
      </c>
      <c r="J326" s="10" t="str">
        <f t="shared" si="8"/>
        <v xml:space="preserve">Gouveia, L. </v>
      </c>
      <c r="K326" s="11" t="str">
        <f ca="1">IFERROR(__xludf.DUMMYFUNCTION("SPLIT(J326,"";"")"),"Gouveia, L. ")</f>
        <v xml:space="preserve">Gouveia, L. </v>
      </c>
      <c r="L326" s="10"/>
      <c r="M326" s="10"/>
      <c r="N326" s="10"/>
      <c r="O326" s="10"/>
      <c r="P326" s="10"/>
      <c r="Q326" s="10"/>
      <c r="R326" s="10"/>
      <c r="S326" s="10"/>
      <c r="T326" s="10"/>
      <c r="U326" s="10"/>
      <c r="V326" s="10"/>
      <c r="W326" s="10"/>
      <c r="X326" s="10"/>
      <c r="Y326" s="10"/>
      <c r="Z326" s="10"/>
    </row>
    <row r="327" spans="1:26" ht="17.25" customHeight="1" x14ac:dyDescent="0.3">
      <c r="A327" s="10" t="s">
        <v>461</v>
      </c>
      <c r="B327" s="10">
        <f t="shared" si="0"/>
        <v>13</v>
      </c>
      <c r="C327" s="8" t="str">
        <f t="shared" si="1"/>
        <v xml:space="preserve">Gouveia, L. </v>
      </c>
      <c r="D327" s="8" t="str">
        <f t="shared" si="2"/>
        <v>1996</v>
      </c>
      <c r="E327" s="10">
        <f t="shared" si="3"/>
        <v>18</v>
      </c>
      <c r="F327" s="10">
        <f t="shared" si="4"/>
        <v>117</v>
      </c>
      <c r="G327" s="8" t="str">
        <f t="shared" si="5"/>
        <v xml:space="preserve"> Sociedade Digital: que oportunidades? Congresso Internacional Pós-Colonialismo e Identidade, UFP. </v>
      </c>
      <c r="H327" s="10" t="str">
        <f t="shared" si="6"/>
        <v xml:space="preserve">Gouveia, L. </v>
      </c>
      <c r="I327" s="10" t="str">
        <f t="shared" si="7"/>
        <v xml:space="preserve">Gouveia, L. </v>
      </c>
      <c r="J327" s="10" t="str">
        <f t="shared" si="8"/>
        <v xml:space="preserve">Gouveia, L. </v>
      </c>
      <c r="K327" s="11" t="str">
        <f ca="1">IFERROR(__xludf.DUMMYFUNCTION("SPLIT(J327,"";"")"),"Gouveia, L. ")</f>
        <v xml:space="preserve">Gouveia, L. </v>
      </c>
      <c r="L327" s="10"/>
      <c r="M327" s="10"/>
      <c r="N327" s="10"/>
      <c r="O327" s="10"/>
      <c r="P327" s="10"/>
      <c r="Q327" s="10"/>
      <c r="R327" s="10"/>
      <c r="S327" s="10"/>
      <c r="T327" s="10"/>
      <c r="U327" s="10"/>
      <c r="V327" s="10"/>
      <c r="W327" s="10"/>
      <c r="X327" s="10"/>
      <c r="Y327" s="10"/>
      <c r="Z327" s="10"/>
    </row>
    <row r="328" spans="1:26" ht="17.25" customHeight="1" x14ac:dyDescent="0.3">
      <c r="A328" s="7" t="s">
        <v>462</v>
      </c>
      <c r="B328" s="7" t="e">
        <f t="shared" si="0"/>
        <v>#VALUE!</v>
      </c>
      <c r="C328" s="8" t="e">
        <f t="shared" si="1"/>
        <v>#VALUE!</v>
      </c>
      <c r="D328" s="8" t="e">
        <f t="shared" si="2"/>
        <v>#VALUE!</v>
      </c>
      <c r="E328" s="10" t="e">
        <f t="shared" si="3"/>
        <v>#VALUE!</v>
      </c>
      <c r="F328" s="10" t="e">
        <f t="shared" si="4"/>
        <v>#VALUE!</v>
      </c>
      <c r="G328" s="8" t="e">
        <f t="shared" si="5"/>
        <v>#VALUE!</v>
      </c>
      <c r="H328" s="10" t="e">
        <f t="shared" si="6"/>
        <v>#VALUE!</v>
      </c>
      <c r="I328" s="10" t="e">
        <f t="shared" si="7"/>
        <v>#VALUE!</v>
      </c>
      <c r="J328" s="10" t="e">
        <f t="shared" si="8"/>
        <v>#VALUE!</v>
      </c>
      <c r="K328" s="11" t="str">
        <f ca="1">IFERROR(__xludf.DUMMYFUNCTION("SPLIT(J328,"";"")"),"#VALUE!")</f>
        <v>#VALUE!</v>
      </c>
      <c r="L328" s="7"/>
      <c r="M328" s="7"/>
      <c r="N328" s="7"/>
      <c r="O328" s="7"/>
      <c r="P328" s="7"/>
      <c r="Q328" s="7"/>
      <c r="R328" s="7"/>
      <c r="S328" s="7"/>
      <c r="T328" s="7"/>
      <c r="U328" s="7"/>
      <c r="V328" s="7"/>
      <c r="W328" s="7"/>
      <c r="X328" s="7"/>
      <c r="Y328" s="7"/>
      <c r="Z328" s="7"/>
    </row>
    <row r="329" spans="1:26" ht="17.25" customHeight="1" x14ac:dyDescent="0.3">
      <c r="A329" s="7" t="s">
        <v>301</v>
      </c>
      <c r="B329" s="7" t="e">
        <f t="shared" si="0"/>
        <v>#VALUE!</v>
      </c>
      <c r="C329" s="8" t="e">
        <f t="shared" si="1"/>
        <v>#VALUE!</v>
      </c>
      <c r="D329" s="8" t="e">
        <f t="shared" si="2"/>
        <v>#VALUE!</v>
      </c>
      <c r="E329" s="10" t="e">
        <f t="shared" si="3"/>
        <v>#VALUE!</v>
      </c>
      <c r="F329" s="10" t="e">
        <f t="shared" si="4"/>
        <v>#VALUE!</v>
      </c>
      <c r="G329" s="8" t="e">
        <f t="shared" si="5"/>
        <v>#VALUE!</v>
      </c>
      <c r="H329" s="10" t="e">
        <f t="shared" si="6"/>
        <v>#VALUE!</v>
      </c>
      <c r="I329" s="10" t="e">
        <f t="shared" si="7"/>
        <v>#VALUE!</v>
      </c>
      <c r="J329" s="10" t="e">
        <f t="shared" si="8"/>
        <v>#VALUE!</v>
      </c>
      <c r="K329" s="11" t="str">
        <f ca="1">IFERROR(__xludf.DUMMYFUNCTION("SPLIT(J329,"";"")"),"#VALUE!")</f>
        <v>#VALUE!</v>
      </c>
      <c r="L329" s="7"/>
      <c r="M329" s="7"/>
      <c r="N329" s="7"/>
      <c r="O329" s="7"/>
      <c r="P329" s="7"/>
      <c r="Q329" s="7"/>
      <c r="R329" s="7"/>
      <c r="S329" s="7"/>
      <c r="T329" s="7"/>
      <c r="U329" s="7"/>
      <c r="V329" s="7"/>
      <c r="W329" s="7"/>
      <c r="X329" s="7"/>
      <c r="Y329" s="7"/>
      <c r="Z329" s="7"/>
    </row>
    <row r="330" spans="1:26" ht="17.25" customHeight="1" x14ac:dyDescent="0.3">
      <c r="A330" s="10" t="s">
        <v>463</v>
      </c>
      <c r="B330" s="10">
        <f t="shared" si="0"/>
        <v>28</v>
      </c>
      <c r="C330" s="8" t="str">
        <f t="shared" si="1"/>
        <v xml:space="preserve">Gouveia, L. e Malheiro, A. </v>
      </c>
      <c r="D330" s="8" t="str">
        <f t="shared" si="2"/>
        <v>2019</v>
      </c>
      <c r="E330" s="10">
        <f t="shared" si="3"/>
        <v>33</v>
      </c>
      <c r="F330" s="10">
        <f t="shared" si="4"/>
        <v>136</v>
      </c>
      <c r="G330" s="8" t="str">
        <f t="shared" si="5"/>
        <v xml:space="preserve"> A infocomunicação ou a convergência das Ciências da Informação e da Comunicação para um objeto comum. </v>
      </c>
      <c r="H330" s="10" t="str">
        <f t="shared" si="6"/>
        <v xml:space="preserve">Gouveia, L. e Malheiro, A. </v>
      </c>
      <c r="I330" s="10" t="str">
        <f t="shared" si="7"/>
        <v xml:space="preserve">Gouveia, L. e Malheiro, A. </v>
      </c>
      <c r="J330" s="10" t="str">
        <f t="shared" si="8"/>
        <v xml:space="preserve">Gouveia, L.;Malheiro, A. </v>
      </c>
      <c r="K330" s="11" t="str">
        <f ca="1">IFERROR(__xludf.DUMMYFUNCTION("SPLIT(J330,"";"")"),"Gouveia, L.")</f>
        <v>Gouveia, L.</v>
      </c>
      <c r="L330" s="10" t="str">
        <f ca="1">IFERROR(__xludf.DUMMYFUNCTION("""COMPUTED_VALUE"""),"Malheiro, A. ")</f>
        <v xml:space="preserve">Malheiro, A. </v>
      </c>
      <c r="M330" s="10"/>
      <c r="N330" s="10"/>
      <c r="O330" s="10"/>
      <c r="P330" s="10"/>
      <c r="Q330" s="10"/>
      <c r="R330" s="10"/>
      <c r="S330" s="10"/>
      <c r="T330" s="10"/>
      <c r="U330" s="10"/>
      <c r="V330" s="10"/>
      <c r="W330" s="10"/>
      <c r="X330" s="10"/>
      <c r="Y330" s="10"/>
      <c r="Z330" s="10"/>
    </row>
    <row r="331" spans="1:26" ht="17.25" customHeight="1" x14ac:dyDescent="0.3">
      <c r="A331" s="10" t="s">
        <v>464</v>
      </c>
      <c r="B331" s="10">
        <f t="shared" si="0"/>
        <v>13</v>
      </c>
      <c r="C331" s="8" t="str">
        <f t="shared" si="1"/>
        <v xml:space="preserve">Gouveia, L. </v>
      </c>
      <c r="D331" s="8" t="str">
        <f t="shared" si="2"/>
        <v>2015</v>
      </c>
      <c r="E331" s="10">
        <f t="shared" si="3"/>
        <v>18</v>
      </c>
      <c r="F331" s="10">
        <f t="shared" si="4"/>
        <v>94</v>
      </c>
      <c r="G331" s="8" t="str">
        <f t="shared" si="5"/>
        <v xml:space="preserve"> Explorar e interagir também no digital: um desafio para os mais crescidos. </v>
      </c>
      <c r="H331" s="10" t="str">
        <f t="shared" si="6"/>
        <v xml:space="preserve">Gouveia, L. </v>
      </c>
      <c r="I331" s="10" t="str">
        <f t="shared" si="7"/>
        <v xml:space="preserve">Gouveia, L. </v>
      </c>
      <c r="J331" s="10" t="str">
        <f t="shared" si="8"/>
        <v xml:space="preserve">Gouveia, L. </v>
      </c>
      <c r="K331" s="11" t="str">
        <f ca="1">IFERROR(__xludf.DUMMYFUNCTION("SPLIT(J331,"";"")"),"Gouveia, L. ")</f>
        <v xml:space="preserve">Gouveia, L. </v>
      </c>
      <c r="L331" s="10"/>
      <c r="M331" s="10"/>
      <c r="N331" s="10"/>
      <c r="O331" s="10"/>
      <c r="P331" s="10"/>
      <c r="Q331" s="10"/>
      <c r="R331" s="10"/>
      <c r="S331" s="10"/>
      <c r="T331" s="10"/>
      <c r="U331" s="10"/>
      <c r="V331" s="10"/>
      <c r="W331" s="10"/>
      <c r="X331" s="10"/>
      <c r="Y331" s="10"/>
      <c r="Z331" s="10"/>
    </row>
    <row r="332" spans="1:26" ht="17.25" customHeight="1" x14ac:dyDescent="0.3">
      <c r="A332" s="10" t="s">
        <v>465</v>
      </c>
      <c r="B332" s="10">
        <f t="shared" si="0"/>
        <v>13</v>
      </c>
      <c r="C332" s="8" t="str">
        <f t="shared" si="1"/>
        <v xml:space="preserve">Gouveia, L. </v>
      </c>
      <c r="D332" s="8" t="str">
        <f t="shared" si="2"/>
        <v>2015</v>
      </c>
      <c r="E332" s="10">
        <f t="shared" si="3"/>
        <v>18</v>
      </c>
      <c r="F332" s="10">
        <f t="shared" si="4"/>
        <v>52</v>
      </c>
      <c r="G332" s="8" t="str">
        <f t="shared" si="5"/>
        <v xml:space="preserve">  Informação digital e segurança. </v>
      </c>
      <c r="H332" s="10" t="str">
        <f t="shared" si="6"/>
        <v xml:space="preserve">Gouveia, L. </v>
      </c>
      <c r="I332" s="10" t="str">
        <f t="shared" si="7"/>
        <v xml:space="preserve">Gouveia, L. </v>
      </c>
      <c r="J332" s="10" t="str">
        <f t="shared" si="8"/>
        <v xml:space="preserve">Gouveia, L. </v>
      </c>
      <c r="K332" s="11" t="str">
        <f ca="1">IFERROR(__xludf.DUMMYFUNCTION("SPLIT(J332,"";"")"),"Gouveia, L. ")</f>
        <v xml:space="preserve">Gouveia, L. </v>
      </c>
      <c r="L332" s="10"/>
      <c r="M332" s="10"/>
      <c r="N332" s="10"/>
      <c r="O332" s="10"/>
      <c r="P332" s="10"/>
      <c r="Q332" s="10"/>
      <c r="R332" s="10"/>
      <c r="S332" s="10"/>
      <c r="T332" s="10"/>
      <c r="U332" s="10"/>
      <c r="V332" s="10"/>
      <c r="W332" s="10"/>
      <c r="X332" s="10"/>
      <c r="Y332" s="10"/>
      <c r="Z332" s="10"/>
    </row>
    <row r="333" spans="1:26" ht="17.25" customHeight="1" x14ac:dyDescent="0.3">
      <c r="A333" s="10" t="s">
        <v>466</v>
      </c>
      <c r="B333" s="10">
        <f t="shared" si="0"/>
        <v>13</v>
      </c>
      <c r="C333" s="8" t="str">
        <f t="shared" si="1"/>
        <v xml:space="preserve">Gouveia, L. </v>
      </c>
      <c r="D333" s="8" t="str">
        <f t="shared" si="2"/>
        <v>2015</v>
      </c>
      <c r="E333" s="10">
        <f t="shared" si="3"/>
        <v>18</v>
      </c>
      <c r="F333" s="10">
        <f t="shared" si="4"/>
        <v>72</v>
      </c>
      <c r="G333" s="8" t="str">
        <f t="shared" si="5"/>
        <v xml:space="preserve"> O digital, a mobilidade e a economia da privacidade. </v>
      </c>
      <c r="H333" s="10" t="str">
        <f t="shared" si="6"/>
        <v xml:space="preserve">Gouveia, L. </v>
      </c>
      <c r="I333" s="10" t="str">
        <f t="shared" si="7"/>
        <v xml:space="preserve">Gouveia, L. </v>
      </c>
      <c r="J333" s="10" t="str">
        <f t="shared" si="8"/>
        <v xml:space="preserve">Gouveia, L. </v>
      </c>
      <c r="K333" s="11" t="str">
        <f ca="1">IFERROR(__xludf.DUMMYFUNCTION("SPLIT(J333,"";"")"),"Gouveia, L. ")</f>
        <v xml:space="preserve">Gouveia, L. </v>
      </c>
      <c r="L333" s="10"/>
      <c r="M333" s="10"/>
      <c r="N333" s="10"/>
      <c r="O333" s="10"/>
      <c r="P333" s="10"/>
      <c r="Q333" s="10"/>
      <c r="R333" s="10"/>
      <c r="S333" s="10"/>
      <c r="T333" s="10"/>
      <c r="U333" s="10"/>
      <c r="V333" s="10"/>
      <c r="W333" s="10"/>
      <c r="X333" s="10"/>
      <c r="Y333" s="10"/>
      <c r="Z333" s="10"/>
    </row>
    <row r="334" spans="1:26" ht="17.25" customHeight="1" x14ac:dyDescent="0.3">
      <c r="A334" s="10" t="s">
        <v>467</v>
      </c>
      <c r="B334" s="10">
        <f t="shared" si="0"/>
        <v>13</v>
      </c>
      <c r="C334" s="8" t="str">
        <f t="shared" si="1"/>
        <v xml:space="preserve">Gouveia, L. </v>
      </c>
      <c r="D334" s="8" t="str">
        <f t="shared" si="2"/>
        <v>2015</v>
      </c>
      <c r="E334" s="10">
        <f t="shared" si="3"/>
        <v>18</v>
      </c>
      <c r="F334" s="10">
        <f t="shared" si="4"/>
        <v>65</v>
      </c>
      <c r="G334" s="8" t="str">
        <f t="shared" si="5"/>
        <v xml:space="preserve">Cidades Inteligentes: a exploração do digital. </v>
      </c>
      <c r="H334" s="10" t="str">
        <f t="shared" si="6"/>
        <v xml:space="preserve">Gouveia, L. </v>
      </c>
      <c r="I334" s="10" t="str">
        <f t="shared" si="7"/>
        <v xml:space="preserve">Gouveia, L. </v>
      </c>
      <c r="J334" s="10" t="str">
        <f t="shared" si="8"/>
        <v xml:space="preserve">Gouveia, L. </v>
      </c>
      <c r="K334" s="11" t="str">
        <f ca="1">IFERROR(__xludf.DUMMYFUNCTION("SPLIT(J334,"";"")"),"Gouveia, L. ")</f>
        <v xml:space="preserve">Gouveia, L. </v>
      </c>
      <c r="L334" s="10"/>
      <c r="M334" s="10"/>
      <c r="N334" s="10"/>
      <c r="O334" s="10"/>
      <c r="P334" s="10"/>
      <c r="Q334" s="10"/>
      <c r="R334" s="10"/>
      <c r="S334" s="10"/>
      <c r="T334" s="10"/>
      <c r="U334" s="10"/>
      <c r="V334" s="10"/>
      <c r="W334" s="10"/>
      <c r="X334" s="10"/>
      <c r="Y334" s="10"/>
      <c r="Z334" s="10"/>
    </row>
    <row r="335" spans="1:26" ht="17.25" customHeight="1" x14ac:dyDescent="0.3">
      <c r="A335" s="10" t="s">
        <v>468</v>
      </c>
      <c r="B335" s="10">
        <f t="shared" si="0"/>
        <v>13</v>
      </c>
      <c r="C335" s="8" t="str">
        <f t="shared" si="1"/>
        <v xml:space="preserve">Gouveia, L. </v>
      </c>
      <c r="D335" s="8" t="str">
        <f t="shared" si="2"/>
        <v>2014</v>
      </c>
      <c r="E335" s="10">
        <f t="shared" si="3"/>
        <v>18</v>
      </c>
      <c r="F335" s="10">
        <f t="shared" si="4"/>
        <v>63</v>
      </c>
      <c r="G335" s="8" t="str">
        <f t="shared" si="5"/>
        <v xml:space="preserve"> Negócio e Redes Sociais: fusão ou confusão. </v>
      </c>
      <c r="H335" s="10" t="str">
        <f t="shared" si="6"/>
        <v xml:space="preserve">Gouveia, L. </v>
      </c>
      <c r="I335" s="10" t="str">
        <f t="shared" si="7"/>
        <v xml:space="preserve">Gouveia, L. </v>
      </c>
      <c r="J335" s="10" t="str">
        <f t="shared" si="8"/>
        <v xml:space="preserve">Gouveia, L. </v>
      </c>
      <c r="K335" s="11" t="str">
        <f ca="1">IFERROR(__xludf.DUMMYFUNCTION("SPLIT(J335,"";"")"),"Gouveia, L. ")</f>
        <v xml:space="preserve">Gouveia, L. </v>
      </c>
      <c r="L335" s="10"/>
      <c r="M335" s="10"/>
      <c r="N335" s="10"/>
      <c r="O335" s="10"/>
      <c r="P335" s="10"/>
      <c r="Q335" s="10"/>
      <c r="R335" s="10"/>
      <c r="S335" s="10"/>
      <c r="T335" s="10"/>
      <c r="U335" s="10"/>
      <c r="V335" s="10"/>
      <c r="W335" s="10"/>
      <c r="X335" s="10"/>
      <c r="Y335" s="10"/>
      <c r="Z335" s="10"/>
    </row>
    <row r="336" spans="1:26" ht="17.25" customHeight="1" x14ac:dyDescent="0.3">
      <c r="A336" s="10" t="s">
        <v>469</v>
      </c>
      <c r="B336" s="10">
        <f t="shared" si="0"/>
        <v>13</v>
      </c>
      <c r="C336" s="8" t="str">
        <f t="shared" si="1"/>
        <v xml:space="preserve">Gouveia, L. </v>
      </c>
      <c r="D336" s="8" t="str">
        <f t="shared" si="2"/>
        <v>2014</v>
      </c>
      <c r="E336" s="10">
        <f t="shared" si="3"/>
        <v>18</v>
      </c>
      <c r="F336" s="10">
        <f t="shared" si="4"/>
        <v>88</v>
      </c>
      <c r="G336" s="8" t="str">
        <f t="shared" si="5"/>
        <v xml:space="preserve"> Do local ao global: a tecnologia digital ao serviço do conhecimento. </v>
      </c>
      <c r="H336" s="10" t="str">
        <f t="shared" si="6"/>
        <v xml:space="preserve">Gouveia, L. </v>
      </c>
      <c r="I336" s="10" t="str">
        <f t="shared" si="7"/>
        <v xml:space="preserve">Gouveia, L. </v>
      </c>
      <c r="J336" s="10" t="str">
        <f t="shared" si="8"/>
        <v xml:space="preserve">Gouveia, L. </v>
      </c>
      <c r="K336" s="11" t="str">
        <f ca="1">IFERROR(__xludf.DUMMYFUNCTION("SPLIT(J336,"";"")"),"Gouveia, L. ")</f>
        <v xml:space="preserve">Gouveia, L. </v>
      </c>
      <c r="L336" s="10"/>
      <c r="M336" s="10"/>
      <c r="N336" s="10"/>
      <c r="O336" s="10"/>
      <c r="P336" s="10"/>
      <c r="Q336" s="10"/>
      <c r="R336" s="10"/>
      <c r="S336" s="10"/>
      <c r="T336" s="10"/>
      <c r="U336" s="10"/>
      <c r="V336" s="10"/>
      <c r="W336" s="10"/>
      <c r="X336" s="10"/>
      <c r="Y336" s="10"/>
      <c r="Z336" s="10"/>
    </row>
    <row r="337" spans="1:26" ht="17.25" customHeight="1" x14ac:dyDescent="0.3">
      <c r="A337" s="10" t="s">
        <v>470</v>
      </c>
      <c r="B337" s="10">
        <f t="shared" si="0"/>
        <v>13</v>
      </c>
      <c r="C337" s="8" t="str">
        <f t="shared" si="1"/>
        <v xml:space="preserve">Gouveia, L. </v>
      </c>
      <c r="D337" s="8" t="str">
        <f t="shared" si="2"/>
        <v>2014</v>
      </c>
      <c r="E337" s="10">
        <f t="shared" si="3"/>
        <v>18</v>
      </c>
      <c r="F337" s="10">
        <f t="shared" si="4"/>
        <v>73</v>
      </c>
      <c r="G337" s="8" t="str">
        <f t="shared" si="5"/>
        <v xml:space="preserve"> A Informática e o mercado de trabalho: notas avulsas. </v>
      </c>
      <c r="H337" s="10" t="str">
        <f t="shared" si="6"/>
        <v xml:space="preserve">Gouveia, L. </v>
      </c>
      <c r="I337" s="10" t="str">
        <f t="shared" si="7"/>
        <v xml:space="preserve">Gouveia, L. </v>
      </c>
      <c r="J337" s="10" t="str">
        <f t="shared" si="8"/>
        <v xml:space="preserve">Gouveia, L. </v>
      </c>
      <c r="K337" s="11" t="str">
        <f ca="1">IFERROR(__xludf.DUMMYFUNCTION("SPLIT(J337,"";"")"),"Gouveia, L. ")</f>
        <v xml:space="preserve">Gouveia, L. </v>
      </c>
      <c r="L337" s="10"/>
      <c r="M337" s="10"/>
      <c r="N337" s="10"/>
      <c r="O337" s="10"/>
      <c r="P337" s="10"/>
      <c r="Q337" s="10"/>
      <c r="R337" s="10"/>
      <c r="S337" s="10"/>
      <c r="T337" s="10"/>
      <c r="U337" s="10"/>
      <c r="V337" s="10"/>
      <c r="W337" s="10"/>
      <c r="X337" s="10"/>
      <c r="Y337" s="10"/>
      <c r="Z337" s="10"/>
    </row>
    <row r="338" spans="1:26" ht="17.25" customHeight="1" x14ac:dyDescent="0.3">
      <c r="A338" s="10" t="s">
        <v>471</v>
      </c>
      <c r="B338" s="10">
        <f t="shared" si="0"/>
        <v>39</v>
      </c>
      <c r="C338" s="8" t="str">
        <f t="shared" si="1"/>
        <v xml:space="preserve">Gouveia, L.; Sousa, A. and Agante, P. </v>
      </c>
      <c r="D338" s="8" t="str">
        <f t="shared" si="2"/>
        <v>2012</v>
      </c>
      <c r="E338" s="10">
        <f t="shared" si="3"/>
        <v>44</v>
      </c>
      <c r="F338" s="10">
        <f t="shared" si="4"/>
        <v>89</v>
      </c>
      <c r="G338" s="8" t="str">
        <f t="shared" si="5"/>
        <v xml:space="preserve"> Digital Mediation for Public Participation. </v>
      </c>
      <c r="H338" s="10" t="str">
        <f t="shared" si="6"/>
        <v xml:space="preserve">Gouveia, L.; Sousa, A. ; Agante, P. </v>
      </c>
      <c r="I338" s="10" t="str">
        <f t="shared" si="7"/>
        <v xml:space="preserve">Gouveia, L.; Sousa, A. ; Agante, P. </v>
      </c>
      <c r="J338" s="10" t="str">
        <f t="shared" si="8"/>
        <v xml:space="preserve">Gouveia, L.; Sousa, A. ; Agante, P. </v>
      </c>
      <c r="K338" s="11" t="str">
        <f ca="1">IFERROR(__xludf.DUMMYFUNCTION("SPLIT(J338,"";"")"),"Gouveia, L.")</f>
        <v>Gouveia, L.</v>
      </c>
      <c r="L338" s="10" t="str">
        <f ca="1">IFERROR(__xludf.DUMMYFUNCTION("""COMPUTED_VALUE""")," Sousa, A. ")</f>
        <v xml:space="preserve"> Sousa, A. </v>
      </c>
      <c r="M338" s="10" t="str">
        <f ca="1">IFERROR(__xludf.DUMMYFUNCTION("""COMPUTED_VALUE""")," Agante, P. ")</f>
        <v xml:space="preserve"> Agante, P. </v>
      </c>
      <c r="N338" s="10"/>
      <c r="O338" s="10"/>
      <c r="P338" s="10"/>
      <c r="Q338" s="10"/>
      <c r="R338" s="10"/>
      <c r="S338" s="10"/>
      <c r="T338" s="10"/>
      <c r="U338" s="10"/>
      <c r="V338" s="10"/>
      <c r="W338" s="10"/>
      <c r="X338" s="10"/>
      <c r="Y338" s="10"/>
      <c r="Z338" s="10"/>
    </row>
    <row r="339" spans="1:26" ht="17.25" customHeight="1" x14ac:dyDescent="0.3">
      <c r="A339" s="10" t="s">
        <v>472</v>
      </c>
      <c r="B339" s="10">
        <f t="shared" si="0"/>
        <v>13</v>
      </c>
      <c r="C339" s="8" t="str">
        <f t="shared" si="1"/>
        <v xml:space="preserve">Gouveia, L. </v>
      </c>
      <c r="D339" s="8" t="str">
        <f t="shared" si="2"/>
        <v>2003</v>
      </c>
      <c r="E339" s="10">
        <f t="shared" si="3"/>
        <v>18</v>
      </c>
      <c r="F339" s="10">
        <f t="shared" si="4"/>
        <v>63</v>
      </c>
      <c r="G339" s="8" t="str">
        <f t="shared" si="5"/>
        <v xml:space="preserve"> Cidades Digitais, promessas e preocupações. </v>
      </c>
      <c r="H339" s="10" t="str">
        <f t="shared" si="6"/>
        <v xml:space="preserve">Gouveia, L. </v>
      </c>
      <c r="I339" s="10" t="str">
        <f t="shared" si="7"/>
        <v xml:space="preserve">Gouveia, L. </v>
      </c>
      <c r="J339" s="10" t="str">
        <f t="shared" si="8"/>
        <v xml:space="preserve">Gouveia, L. </v>
      </c>
      <c r="K339" s="11" t="str">
        <f ca="1">IFERROR(__xludf.DUMMYFUNCTION("SPLIT(J339,"";"")"),"Gouveia, L. ")</f>
        <v xml:space="preserve">Gouveia, L. </v>
      </c>
      <c r="L339" s="10"/>
      <c r="M339" s="10"/>
      <c r="N339" s="10"/>
      <c r="O339" s="10"/>
      <c r="P339" s="10"/>
      <c r="Q339" s="10"/>
      <c r="R339" s="10"/>
      <c r="S339" s="10"/>
      <c r="T339" s="10"/>
      <c r="U339" s="10"/>
      <c r="V339" s="10"/>
      <c r="W339" s="10"/>
      <c r="X339" s="10"/>
      <c r="Y339" s="10"/>
      <c r="Z339" s="10"/>
    </row>
    <row r="340" spans="1:26" ht="17.25" customHeight="1" x14ac:dyDescent="0.3">
      <c r="A340" s="7" t="s">
        <v>473</v>
      </c>
      <c r="B340" s="7" t="e">
        <f t="shared" si="0"/>
        <v>#VALUE!</v>
      </c>
      <c r="C340" s="8" t="e">
        <f t="shared" si="1"/>
        <v>#VALUE!</v>
      </c>
      <c r="D340" s="8" t="e">
        <f t="shared" si="2"/>
        <v>#VALUE!</v>
      </c>
      <c r="E340" s="10" t="e">
        <f t="shared" si="3"/>
        <v>#VALUE!</v>
      </c>
      <c r="F340" s="10" t="e">
        <f t="shared" si="4"/>
        <v>#VALUE!</v>
      </c>
      <c r="G340" s="8" t="e">
        <f t="shared" si="5"/>
        <v>#VALUE!</v>
      </c>
      <c r="H340" s="10" t="e">
        <f t="shared" si="6"/>
        <v>#VALUE!</v>
      </c>
      <c r="I340" s="10" t="e">
        <f t="shared" si="7"/>
        <v>#VALUE!</v>
      </c>
      <c r="J340" s="10" t="e">
        <f t="shared" si="8"/>
        <v>#VALUE!</v>
      </c>
      <c r="K340" s="11" t="str">
        <f ca="1">IFERROR(__xludf.DUMMYFUNCTION("SPLIT(J340,"";"")"),"#VALUE!")</f>
        <v>#VALUE!</v>
      </c>
      <c r="L340" s="7"/>
      <c r="M340" s="7"/>
      <c r="N340" s="7"/>
      <c r="O340" s="7"/>
      <c r="P340" s="7"/>
      <c r="Q340" s="7"/>
      <c r="R340" s="7"/>
      <c r="S340" s="7"/>
      <c r="T340" s="7"/>
      <c r="U340" s="7"/>
      <c r="V340" s="7"/>
      <c r="W340" s="7"/>
      <c r="X340" s="7"/>
      <c r="Y340" s="7"/>
      <c r="Z340" s="7"/>
    </row>
    <row r="341" spans="1:26" ht="17.25" customHeight="1" x14ac:dyDescent="0.3">
      <c r="A341" s="10" t="s">
        <v>474</v>
      </c>
      <c r="B341" s="10">
        <f t="shared" si="0"/>
        <v>52</v>
      </c>
      <c r="C341" s="8" t="str">
        <f t="shared" si="1"/>
        <v xml:space="preserve">Pereira, R.; Carlotto, I.; Dinis, A. e Gouveia, L. </v>
      </c>
      <c r="D341" s="8" t="str">
        <f t="shared" si="2"/>
        <v>2019</v>
      </c>
      <c r="E341" s="10">
        <f t="shared" si="3"/>
        <v>57</v>
      </c>
      <c r="F341" s="10">
        <f t="shared" si="4"/>
        <v>148</v>
      </c>
      <c r="G341" s="8" t="str">
        <f t="shared" si="5"/>
        <v xml:space="preserve"> App Kahoot como ferramenta de intervenção pedagógica para promoção da educação ambiental. </v>
      </c>
      <c r="H341" s="10" t="str">
        <f t="shared" si="6"/>
        <v xml:space="preserve">Pereira, R.; Carlotto, I.; Dinis, A. e Gouveia, L. </v>
      </c>
      <c r="I341" s="10" t="str">
        <f t="shared" si="7"/>
        <v xml:space="preserve">Pereira, R.; Carlotto, I.; Dinis, A. e Gouveia, L. </v>
      </c>
      <c r="J341" s="10" t="str">
        <f t="shared" si="8"/>
        <v xml:space="preserve">Pereira, R.; Carlotto, I.; Dinis, A.;Gouveia, L. </v>
      </c>
      <c r="K341" s="11" t="str">
        <f ca="1">IFERROR(__xludf.DUMMYFUNCTION("SPLIT(J341,"";"")"),"Pereira, R.")</f>
        <v>Pereira, R.</v>
      </c>
      <c r="L341" s="10" t="str">
        <f ca="1">IFERROR(__xludf.DUMMYFUNCTION("""COMPUTED_VALUE""")," Carlotto, I.")</f>
        <v xml:space="preserve"> Carlotto, I.</v>
      </c>
      <c r="M341" s="10" t="str">
        <f ca="1">IFERROR(__xludf.DUMMYFUNCTION("""COMPUTED_VALUE""")," Dinis, A.")</f>
        <v xml:space="preserve"> Dinis, A.</v>
      </c>
      <c r="N341" s="10" t="str">
        <f ca="1">IFERROR(__xludf.DUMMYFUNCTION("""COMPUTED_VALUE"""),"Gouveia, L. ")</f>
        <v xml:space="preserve">Gouveia, L. </v>
      </c>
      <c r="O341" s="10"/>
      <c r="P341" s="10"/>
      <c r="Q341" s="10"/>
      <c r="R341" s="10"/>
      <c r="S341" s="10"/>
      <c r="T341" s="10"/>
      <c r="U341" s="10"/>
      <c r="V341" s="10"/>
      <c r="W341" s="10"/>
      <c r="X341" s="10"/>
      <c r="Y341" s="10"/>
      <c r="Z341" s="10"/>
    </row>
    <row r="342" spans="1:26" ht="17.25" customHeight="1" x14ac:dyDescent="0.3">
      <c r="A342" s="10" t="s">
        <v>475</v>
      </c>
      <c r="B342" s="10">
        <f t="shared" si="0"/>
        <v>27</v>
      </c>
      <c r="C342" s="8" t="str">
        <f t="shared" si="1"/>
        <v xml:space="preserve">Martins, E. e Gouveia, L. </v>
      </c>
      <c r="D342" s="8" t="str">
        <f t="shared" si="2"/>
        <v>2019</v>
      </c>
      <c r="E342" s="10">
        <f t="shared" si="3"/>
        <v>32</v>
      </c>
      <c r="F342" s="10">
        <f t="shared" si="4"/>
        <v>83</v>
      </c>
      <c r="G342" s="8" t="str">
        <f t="shared" si="5"/>
        <v xml:space="preserve"> O Uso do Google Groups em Atividades Extraclasse. </v>
      </c>
      <c r="H342" s="10" t="str">
        <f t="shared" si="6"/>
        <v xml:space="preserve">Martins, E. e Gouveia, L. </v>
      </c>
      <c r="I342" s="10" t="str">
        <f t="shared" si="7"/>
        <v xml:space="preserve">Martins, E. e Gouveia, L. </v>
      </c>
      <c r="J342" s="10" t="str">
        <f t="shared" si="8"/>
        <v xml:space="preserve">Martins, E.;Gouveia, L. </v>
      </c>
      <c r="K342" s="11" t="str">
        <f ca="1">IFERROR(__xludf.DUMMYFUNCTION("SPLIT(J342,"";"")"),"Martins, E.")</f>
        <v>Martins, E.</v>
      </c>
      <c r="L342" s="10" t="str">
        <f ca="1">IFERROR(__xludf.DUMMYFUNCTION("""COMPUTED_VALUE"""),"Gouveia, L. ")</f>
        <v xml:space="preserve">Gouveia, L. </v>
      </c>
      <c r="M342" s="10"/>
      <c r="N342" s="10"/>
      <c r="O342" s="10"/>
      <c r="P342" s="10"/>
      <c r="Q342" s="10"/>
      <c r="R342" s="10"/>
      <c r="S342" s="10"/>
      <c r="T342" s="10"/>
      <c r="U342" s="10"/>
      <c r="V342" s="10"/>
      <c r="W342" s="10"/>
      <c r="X342" s="10"/>
      <c r="Y342" s="10"/>
      <c r="Z342" s="10"/>
    </row>
    <row r="343" spans="1:26" ht="17.25" customHeight="1" x14ac:dyDescent="0.3">
      <c r="A343" s="10" t="s">
        <v>476</v>
      </c>
      <c r="B343" s="10">
        <f t="shared" si="0"/>
        <v>27</v>
      </c>
      <c r="C343" s="8" t="str">
        <f t="shared" si="1"/>
        <v xml:space="preserve">Martins, E. e Gouveia, L. </v>
      </c>
      <c r="D343" s="8" t="str">
        <f t="shared" si="2"/>
        <v>2019</v>
      </c>
      <c r="E343" s="10">
        <f t="shared" si="3"/>
        <v>32</v>
      </c>
      <c r="F343" s="10">
        <f t="shared" si="4"/>
        <v>120</v>
      </c>
      <c r="G343" s="8" t="str">
        <f t="shared" si="5"/>
        <v xml:space="preserve">  Aprendizagem Móvel na Produção Científica Indexada ao Scopus nos Anos de 2016 e 2017. </v>
      </c>
      <c r="H343" s="10" t="str">
        <f t="shared" si="6"/>
        <v xml:space="preserve">Martins, E. e Gouveia, L. </v>
      </c>
      <c r="I343" s="10" t="str">
        <f t="shared" si="7"/>
        <v xml:space="preserve">Martins, E. e Gouveia, L. </v>
      </c>
      <c r="J343" s="10" t="str">
        <f t="shared" si="8"/>
        <v xml:space="preserve">Martins, E.;Gouveia, L. </v>
      </c>
      <c r="K343" s="11" t="str">
        <f ca="1">IFERROR(__xludf.DUMMYFUNCTION("SPLIT(J343,"";"")"),"Martins, E.")</f>
        <v>Martins, E.</v>
      </c>
      <c r="L343" s="10" t="str">
        <f ca="1">IFERROR(__xludf.DUMMYFUNCTION("""COMPUTED_VALUE"""),"Gouveia, L. ")</f>
        <v xml:space="preserve">Gouveia, L. </v>
      </c>
      <c r="M343" s="10"/>
      <c r="N343" s="10"/>
      <c r="O343" s="10"/>
      <c r="P343" s="10"/>
      <c r="Q343" s="10"/>
      <c r="R343" s="10"/>
      <c r="S343" s="10"/>
      <c r="T343" s="10"/>
      <c r="U343" s="10"/>
      <c r="V343" s="10"/>
      <c r="W343" s="10"/>
      <c r="X343" s="10"/>
      <c r="Y343" s="10"/>
      <c r="Z343" s="10"/>
    </row>
    <row r="344" spans="1:26" ht="17.25" customHeight="1" x14ac:dyDescent="0.3">
      <c r="A344" s="10" t="s">
        <v>477</v>
      </c>
      <c r="B344" s="10">
        <f t="shared" si="0"/>
        <v>27</v>
      </c>
      <c r="C344" s="8" t="str">
        <f t="shared" si="1"/>
        <v xml:space="preserve">Martins, E. e Gouveia, L. </v>
      </c>
      <c r="D344" s="8" t="str">
        <f t="shared" si="2"/>
        <v>2019</v>
      </c>
      <c r="E344" s="10">
        <f t="shared" si="3"/>
        <v>32</v>
      </c>
      <c r="F344" s="10">
        <f t="shared" si="4"/>
        <v>109</v>
      </c>
      <c r="G344" s="8" t="str">
        <f t="shared" si="5"/>
        <v xml:space="preserve">  Desenvolvimento do Aplicativo ML-SAI para Android com Uso do App Inventor. </v>
      </c>
      <c r="H344" s="10" t="str">
        <f t="shared" si="6"/>
        <v xml:space="preserve">Martins, E. e Gouveia, L. </v>
      </c>
      <c r="I344" s="10" t="str">
        <f t="shared" si="7"/>
        <v xml:space="preserve">Martins, E. e Gouveia, L. </v>
      </c>
      <c r="J344" s="10" t="str">
        <f t="shared" si="8"/>
        <v xml:space="preserve">Martins, E.;Gouveia, L. </v>
      </c>
      <c r="K344" s="11" t="str">
        <f ca="1">IFERROR(__xludf.DUMMYFUNCTION("SPLIT(J344,"";"")"),"Martins, E.")</f>
        <v>Martins, E.</v>
      </c>
      <c r="L344" s="10" t="str">
        <f ca="1">IFERROR(__xludf.DUMMYFUNCTION("""COMPUTED_VALUE"""),"Gouveia, L. ")</f>
        <v xml:space="preserve">Gouveia, L. </v>
      </c>
      <c r="M344" s="10"/>
      <c r="N344" s="10"/>
      <c r="O344" s="10"/>
      <c r="P344" s="10"/>
      <c r="Q344" s="10"/>
      <c r="R344" s="10"/>
      <c r="S344" s="10"/>
      <c r="T344" s="10"/>
      <c r="U344" s="10"/>
      <c r="V344" s="10"/>
      <c r="W344" s="10"/>
      <c r="X344" s="10"/>
      <c r="Y344" s="10"/>
      <c r="Z344" s="10"/>
    </row>
    <row r="345" spans="1:26" ht="17.25" customHeight="1" x14ac:dyDescent="0.3">
      <c r="A345" s="10" t="s">
        <v>478</v>
      </c>
      <c r="B345" s="10">
        <f t="shared" si="0"/>
        <v>55</v>
      </c>
      <c r="C345" s="8" t="str">
        <f t="shared" si="1"/>
        <v xml:space="preserve">Martins, E.; Geraldes, W.; Afonseca, U. e Gouveia, L. </v>
      </c>
      <c r="D345" s="8" t="str">
        <f t="shared" si="2"/>
        <v>2019</v>
      </c>
      <c r="E345" s="10">
        <f t="shared" si="3"/>
        <v>60</v>
      </c>
      <c r="F345" s="10">
        <f t="shared" si="4"/>
        <v>173</v>
      </c>
      <c r="G345" s="8" t="str">
        <f t="shared" si="5"/>
        <v xml:space="preserve">  Percepção do Conceito de Plágio Acadêmico em um Curso de Sistemas de Informação na Perspectiva dos Aprendizes. </v>
      </c>
      <c r="H345" s="10" t="str">
        <f t="shared" si="6"/>
        <v xml:space="preserve">Martins, E.; Geraldes, W.; Afonseca, U. e Gouveia, L. </v>
      </c>
      <c r="I345" s="10" t="str">
        <f t="shared" si="7"/>
        <v xml:space="preserve">Martins, E.; Geraldes, W.; Afonseca, U. e Gouveia, L. </v>
      </c>
      <c r="J345" s="10" t="str">
        <f t="shared" si="8"/>
        <v xml:space="preserve">Martins, E.; Geraldes, W.; Afonseca, U.;Gouveia, L. </v>
      </c>
      <c r="K345" s="11" t="str">
        <f ca="1">IFERROR(__xludf.DUMMYFUNCTION("SPLIT(J345,"";"")"),"Martins, E.")</f>
        <v>Martins, E.</v>
      </c>
      <c r="L345" s="10" t="str">
        <f ca="1">IFERROR(__xludf.DUMMYFUNCTION("""COMPUTED_VALUE""")," Geraldes, W.")</f>
        <v xml:space="preserve"> Geraldes, W.</v>
      </c>
      <c r="M345" s="10" t="str">
        <f ca="1">IFERROR(__xludf.DUMMYFUNCTION("""COMPUTED_VALUE""")," Afonseca, U.")</f>
        <v xml:space="preserve"> Afonseca, U.</v>
      </c>
      <c r="N345" s="10" t="str">
        <f ca="1">IFERROR(__xludf.DUMMYFUNCTION("""COMPUTED_VALUE"""),"Gouveia, L. ")</f>
        <v xml:space="preserve">Gouveia, L. </v>
      </c>
      <c r="O345" s="10"/>
      <c r="P345" s="10"/>
      <c r="Q345" s="10"/>
      <c r="R345" s="10"/>
      <c r="S345" s="10"/>
      <c r="T345" s="10"/>
      <c r="U345" s="10"/>
      <c r="V345" s="10"/>
      <c r="W345" s="10"/>
      <c r="X345" s="10"/>
      <c r="Y345" s="10"/>
      <c r="Z345" s="10"/>
    </row>
    <row r="346" spans="1:26" ht="17.25" customHeight="1" x14ac:dyDescent="0.3">
      <c r="A346" s="10" t="s">
        <v>479</v>
      </c>
      <c r="B346" s="10">
        <f t="shared" si="0"/>
        <v>27</v>
      </c>
      <c r="C346" s="8" t="str">
        <f t="shared" si="1"/>
        <v xml:space="preserve">Martins, E. e Gouveia, L. </v>
      </c>
      <c r="D346" s="8" t="str">
        <f t="shared" si="2"/>
        <v>2019</v>
      </c>
      <c r="E346" s="10">
        <f t="shared" si="3"/>
        <v>32</v>
      </c>
      <c r="F346" s="10">
        <f t="shared" si="4"/>
        <v>78</v>
      </c>
      <c r="G346" s="8" t="str">
        <f t="shared" si="5"/>
        <v xml:space="preserve"> Facebook como Ferramenta de Apoio ao Ensino. </v>
      </c>
      <c r="H346" s="10" t="str">
        <f t="shared" si="6"/>
        <v xml:space="preserve">Martins, E. e Gouveia, L. </v>
      </c>
      <c r="I346" s="10" t="str">
        <f t="shared" si="7"/>
        <v xml:space="preserve">Martins, E. e Gouveia, L. </v>
      </c>
      <c r="J346" s="10" t="str">
        <f t="shared" si="8"/>
        <v xml:space="preserve">Martins, E.;Gouveia, L. </v>
      </c>
      <c r="K346" s="11" t="str">
        <f ca="1">IFERROR(__xludf.DUMMYFUNCTION("SPLIT(J346,"";"")"),"Martins, E.")</f>
        <v>Martins, E.</v>
      </c>
      <c r="L346" s="10" t="str">
        <f ca="1">IFERROR(__xludf.DUMMYFUNCTION("""COMPUTED_VALUE"""),"Gouveia, L. ")</f>
        <v xml:space="preserve">Gouveia, L. </v>
      </c>
      <c r="M346" s="10"/>
      <c r="N346" s="10"/>
      <c r="O346" s="10"/>
      <c r="P346" s="10"/>
      <c r="Q346" s="10"/>
      <c r="R346" s="10"/>
      <c r="S346" s="10"/>
      <c r="T346" s="10"/>
      <c r="U346" s="10"/>
      <c r="V346" s="10"/>
      <c r="W346" s="10"/>
      <c r="X346" s="10"/>
      <c r="Y346" s="10"/>
      <c r="Z346" s="10"/>
    </row>
    <row r="347" spans="1:26" ht="17.25" customHeight="1" x14ac:dyDescent="0.3">
      <c r="A347" s="10" t="s">
        <v>480</v>
      </c>
      <c r="B347" s="10">
        <f t="shared" si="0"/>
        <v>27</v>
      </c>
      <c r="C347" s="8" t="str">
        <f t="shared" si="1"/>
        <v xml:space="preserve">Martins, E. e Gouveia, L. </v>
      </c>
      <c r="D347" s="8" t="str">
        <f t="shared" si="2"/>
        <v>2019</v>
      </c>
      <c r="E347" s="10">
        <f t="shared" si="3"/>
        <v>32</v>
      </c>
      <c r="F347" s="10">
        <f t="shared" si="4"/>
        <v>81</v>
      </c>
      <c r="G347" s="8" t="str">
        <f t="shared" si="5"/>
        <v xml:space="preserve"> Sala de Aula Invertida com Auxílio do WhatsApp. </v>
      </c>
      <c r="H347" s="10" t="str">
        <f t="shared" si="6"/>
        <v xml:space="preserve">Martins, E. e Gouveia, L. </v>
      </c>
      <c r="I347" s="10" t="str">
        <f t="shared" si="7"/>
        <v xml:space="preserve">Martins, E. e Gouveia, L. </v>
      </c>
      <c r="J347" s="10" t="str">
        <f t="shared" si="8"/>
        <v xml:space="preserve">Martins, E.;Gouveia, L. </v>
      </c>
      <c r="K347" s="11" t="str">
        <f ca="1">IFERROR(__xludf.DUMMYFUNCTION("SPLIT(J347,"";"")"),"Martins, E.")</f>
        <v>Martins, E.</v>
      </c>
      <c r="L347" s="10" t="str">
        <f ca="1">IFERROR(__xludf.DUMMYFUNCTION("""COMPUTED_VALUE"""),"Gouveia, L. ")</f>
        <v xml:space="preserve">Gouveia, L. </v>
      </c>
      <c r="M347" s="10"/>
      <c r="N347" s="10"/>
      <c r="O347" s="10"/>
      <c r="P347" s="10"/>
      <c r="Q347" s="10"/>
      <c r="R347" s="10"/>
      <c r="S347" s="10"/>
      <c r="T347" s="10"/>
      <c r="U347" s="10"/>
      <c r="V347" s="10"/>
      <c r="W347" s="10"/>
      <c r="X347" s="10"/>
      <c r="Y347" s="10"/>
      <c r="Z347" s="10"/>
    </row>
    <row r="348" spans="1:26" ht="17.25" customHeight="1" x14ac:dyDescent="0.3">
      <c r="A348" s="10" t="s">
        <v>481</v>
      </c>
      <c r="B348" s="10">
        <f t="shared" si="0"/>
        <v>27</v>
      </c>
      <c r="C348" s="8" t="str">
        <f t="shared" si="1"/>
        <v xml:space="preserve">Martins, E. e Gouveia, L. </v>
      </c>
      <c r="D348" s="8" t="str">
        <f t="shared" si="2"/>
        <v>2019</v>
      </c>
      <c r="E348" s="10">
        <f t="shared" si="3"/>
        <v>32</v>
      </c>
      <c r="F348" s="10">
        <f t="shared" si="4"/>
        <v>103</v>
      </c>
      <c r="G348" s="8" t="str">
        <f t="shared" si="5"/>
        <v xml:space="preserve"> Tecnologias Móveis em Alguns Cursos da Universidade Aberta do Brasil. </v>
      </c>
      <c r="H348" s="10" t="str">
        <f t="shared" si="6"/>
        <v xml:space="preserve">Martins, E. e Gouveia, L. </v>
      </c>
      <c r="I348" s="10" t="str">
        <f t="shared" si="7"/>
        <v xml:space="preserve">Martins, E. e Gouveia, L. </v>
      </c>
      <c r="J348" s="10" t="str">
        <f t="shared" si="8"/>
        <v xml:space="preserve">Martins, E.;Gouveia, L. </v>
      </c>
      <c r="K348" s="11" t="str">
        <f ca="1">IFERROR(__xludf.DUMMYFUNCTION("SPLIT(J348,"";"")"),"Martins, E.")</f>
        <v>Martins, E.</v>
      </c>
      <c r="L348" s="10" t="str">
        <f ca="1">IFERROR(__xludf.DUMMYFUNCTION("""COMPUTED_VALUE"""),"Gouveia, L. ")</f>
        <v xml:space="preserve">Gouveia, L. </v>
      </c>
      <c r="M348" s="10"/>
      <c r="N348" s="10"/>
      <c r="O348" s="10"/>
      <c r="P348" s="10"/>
      <c r="Q348" s="10"/>
      <c r="R348" s="10"/>
      <c r="S348" s="10"/>
      <c r="T348" s="10"/>
      <c r="U348" s="10"/>
      <c r="V348" s="10"/>
      <c r="W348" s="10"/>
      <c r="X348" s="10"/>
      <c r="Y348" s="10"/>
      <c r="Z348" s="10"/>
    </row>
    <row r="349" spans="1:26" ht="17.25" customHeight="1" x14ac:dyDescent="0.3">
      <c r="A349" s="10" t="s">
        <v>482</v>
      </c>
      <c r="B349" s="10">
        <f t="shared" si="0"/>
        <v>52</v>
      </c>
      <c r="C349" s="8" t="str">
        <f t="shared" si="1"/>
        <v xml:space="preserve">Junior, W.; Andrade, P.; Andrade, A. e Gouveia, L. </v>
      </c>
      <c r="D349" s="8" t="str">
        <f t="shared" si="2"/>
        <v>2019</v>
      </c>
      <c r="E349" s="10">
        <f t="shared" si="3"/>
        <v>57</v>
      </c>
      <c r="F349" s="10">
        <f t="shared" si="4"/>
        <v>175</v>
      </c>
      <c r="G349" s="8" t="str">
        <f t="shared" si="5"/>
        <v xml:space="preserve"> Métricas de Desempenho em Campanhas na Rede Social Instagram e Reconhecimento da Marca: Estudo de Caso na SEAD UFMA. </v>
      </c>
      <c r="H349" s="10" t="str">
        <f t="shared" si="6"/>
        <v xml:space="preserve">Junior, W.; Andrade, P.; Andrade, A. e Gouveia, L. </v>
      </c>
      <c r="I349" s="10" t="str">
        <f t="shared" si="7"/>
        <v xml:space="preserve">Junior, W.; Andrade, P.; Andrade, A. e Gouveia, L. </v>
      </c>
      <c r="J349" s="10" t="str">
        <f t="shared" si="8"/>
        <v xml:space="preserve">Junior, W.; Andrade, P.; Andrade, A.;Gouveia, L. </v>
      </c>
      <c r="K349" s="11" t="str">
        <f ca="1">IFERROR(__xludf.DUMMYFUNCTION("SPLIT(J349,"";"")"),"Junior, W.")</f>
        <v>Junior, W.</v>
      </c>
      <c r="L349" s="10" t="str">
        <f ca="1">IFERROR(__xludf.DUMMYFUNCTION("""COMPUTED_VALUE""")," Andrade, P.")</f>
        <v xml:space="preserve"> Andrade, P.</v>
      </c>
      <c r="M349" s="10" t="str">
        <f ca="1">IFERROR(__xludf.DUMMYFUNCTION("""COMPUTED_VALUE""")," Andrade, A.")</f>
        <v xml:space="preserve"> Andrade, A.</v>
      </c>
      <c r="N349" s="10" t="str">
        <f ca="1">IFERROR(__xludf.DUMMYFUNCTION("""COMPUTED_VALUE"""),"Gouveia, L. ")</f>
        <v xml:space="preserve">Gouveia, L. </v>
      </c>
      <c r="O349" s="10"/>
      <c r="P349" s="10"/>
      <c r="Q349" s="10"/>
      <c r="R349" s="10"/>
      <c r="S349" s="10"/>
      <c r="T349" s="10"/>
      <c r="U349" s="10"/>
      <c r="V349" s="10"/>
      <c r="W349" s="10"/>
      <c r="X349" s="10"/>
      <c r="Y349" s="10"/>
      <c r="Z349" s="10"/>
    </row>
    <row r="350" spans="1:26" ht="17.25" customHeight="1" x14ac:dyDescent="0.3">
      <c r="A350" s="10" t="s">
        <v>483</v>
      </c>
      <c r="B350" s="10">
        <f t="shared" si="0"/>
        <v>39</v>
      </c>
      <c r="C350" s="8" t="str">
        <f t="shared" si="1"/>
        <v xml:space="preserve">Mançu, R.; Gouveia, L. e Cordeiro, S. </v>
      </c>
      <c r="D350" s="8" t="str">
        <f t="shared" si="2"/>
        <v>2019</v>
      </c>
      <c r="E350" s="10">
        <f t="shared" si="3"/>
        <v>44</v>
      </c>
      <c r="F350" s="10">
        <f t="shared" si="4"/>
        <v>210</v>
      </c>
      <c r="G350" s="8" t="str">
        <f t="shared" si="5"/>
        <v xml:space="preserve"> Proposta de Integração dos Sistemas de Gestão ISO 9001:2015, ISO 14001:2015 e ISO 45001:2018, com o Sistema de Gerenciamento de Segurança Operacional - SGSO da ANP. </v>
      </c>
      <c r="H350" s="10" t="str">
        <f t="shared" si="6"/>
        <v xml:space="preserve">Mançu, R.; Gouveia, L. e Cordeiro, S. </v>
      </c>
      <c r="I350" s="10" t="str">
        <f t="shared" si="7"/>
        <v xml:space="preserve">Mançu, R.; Gouveia, L. e Cordeiro, S. </v>
      </c>
      <c r="J350" s="10" t="str">
        <f t="shared" si="8"/>
        <v xml:space="preserve">Mançu, R.; Gouveia, L.;Cordeiro, S. </v>
      </c>
      <c r="K350" s="11" t="str">
        <f ca="1">IFERROR(__xludf.DUMMYFUNCTION("SPLIT(J350,"";"")"),"Mançu, R.")</f>
        <v>Mançu, R.</v>
      </c>
      <c r="L350" s="10" t="str">
        <f ca="1">IFERROR(__xludf.DUMMYFUNCTION("""COMPUTED_VALUE""")," Gouveia, L.")</f>
        <v xml:space="preserve"> Gouveia, L.</v>
      </c>
      <c r="M350" s="10" t="str">
        <f ca="1">IFERROR(__xludf.DUMMYFUNCTION("""COMPUTED_VALUE"""),"Cordeiro, S. ")</f>
        <v xml:space="preserve">Cordeiro, S. </v>
      </c>
      <c r="N350" s="10"/>
      <c r="O350" s="10"/>
      <c r="P350" s="10"/>
      <c r="Q350" s="10"/>
      <c r="R350" s="10"/>
      <c r="S350" s="10"/>
      <c r="T350" s="10"/>
      <c r="U350" s="10"/>
      <c r="V350" s="10"/>
      <c r="W350" s="10"/>
      <c r="X350" s="10"/>
      <c r="Y350" s="10"/>
      <c r="Z350" s="10"/>
    </row>
    <row r="351" spans="1:26" ht="17.25" customHeight="1" x14ac:dyDescent="0.3">
      <c r="A351" s="10" t="s">
        <v>484</v>
      </c>
      <c r="B351" s="10">
        <f t="shared" si="0"/>
        <v>35</v>
      </c>
      <c r="C351" s="8" t="str">
        <f t="shared" si="1"/>
        <v xml:space="preserve">Toso, R.; Roque, W. e Gouveia, L. </v>
      </c>
      <c r="D351" s="8" t="str">
        <f t="shared" si="2"/>
        <v>2019</v>
      </c>
      <c r="E351" s="10">
        <f t="shared" si="3"/>
        <v>40</v>
      </c>
      <c r="F351" s="10">
        <f t="shared" si="4"/>
        <v>128</v>
      </c>
      <c r="G351" s="8" t="str">
        <f t="shared" si="5"/>
        <v xml:space="preserve"> Interdisciplinaridades e Aplicações Didáticas com de maquetes voltadas ao Agronegócio. </v>
      </c>
      <c r="H351" s="10" t="str">
        <f t="shared" si="6"/>
        <v xml:space="preserve">Toso, R.; Roque, W. e Gouveia, L. </v>
      </c>
      <c r="I351" s="10" t="str">
        <f t="shared" si="7"/>
        <v xml:space="preserve">Toso, R.; Roque, W. e Gouveia, L. </v>
      </c>
      <c r="J351" s="10" t="str">
        <f t="shared" si="8"/>
        <v xml:space="preserve">Toso, R.; Roque, W.;Gouveia, L. </v>
      </c>
      <c r="K351" s="11" t="str">
        <f ca="1">IFERROR(__xludf.DUMMYFUNCTION("SPLIT(J351,"";"")"),"Toso, R.")</f>
        <v>Toso, R.</v>
      </c>
      <c r="L351" s="10" t="str">
        <f ca="1">IFERROR(__xludf.DUMMYFUNCTION("""COMPUTED_VALUE""")," Roque, W.")</f>
        <v xml:space="preserve"> Roque, W.</v>
      </c>
      <c r="M351" s="10" t="str">
        <f ca="1">IFERROR(__xludf.DUMMYFUNCTION("""COMPUTED_VALUE"""),"Gouveia, L. ")</f>
        <v xml:space="preserve">Gouveia, L. </v>
      </c>
      <c r="N351" s="10"/>
      <c r="O351" s="10"/>
      <c r="P351" s="10"/>
      <c r="Q351" s="10"/>
      <c r="R351" s="10"/>
      <c r="S351" s="10"/>
      <c r="T351" s="10"/>
      <c r="U351" s="10"/>
      <c r="V351" s="10"/>
      <c r="W351" s="10"/>
      <c r="X351" s="10"/>
      <c r="Y351" s="10"/>
      <c r="Z351" s="10"/>
    </row>
    <row r="352" spans="1:26" ht="17.25" customHeight="1" x14ac:dyDescent="0.3">
      <c r="A352" s="10" t="s">
        <v>485</v>
      </c>
      <c r="B352" s="10">
        <f t="shared" si="0"/>
        <v>28</v>
      </c>
      <c r="C352" s="8" t="str">
        <f t="shared" si="1"/>
        <v xml:space="preserve">Carvalho, M. e Gouveia, L. </v>
      </c>
      <c r="D352" s="8" t="str">
        <f t="shared" si="2"/>
        <v>2019</v>
      </c>
      <c r="E352" s="10">
        <f t="shared" si="3"/>
        <v>33</v>
      </c>
      <c r="F352" s="10">
        <f t="shared" si="4"/>
        <v>102</v>
      </c>
      <c r="G352" s="8" t="str">
        <f t="shared" si="5"/>
        <v xml:space="preserve"> Empreendedorismo como valor à inovação e à criação do conhecimento. </v>
      </c>
      <c r="H352" s="10" t="str">
        <f t="shared" si="6"/>
        <v xml:space="preserve">Carvalho, M. e Gouveia, L. </v>
      </c>
      <c r="I352" s="10" t="str">
        <f t="shared" si="7"/>
        <v xml:space="preserve">Carvalho, M. e Gouveia, L. </v>
      </c>
      <c r="J352" s="10" t="str">
        <f t="shared" si="8"/>
        <v xml:space="preserve">Carvalho, M.;Gouveia, L. </v>
      </c>
      <c r="K352" s="11" t="str">
        <f ca="1">IFERROR(__xludf.DUMMYFUNCTION("SPLIT(J352,"";"")"),"Carvalho, M.")</f>
        <v>Carvalho, M.</v>
      </c>
      <c r="L352" s="10" t="str">
        <f ca="1">IFERROR(__xludf.DUMMYFUNCTION("""COMPUTED_VALUE"""),"Gouveia, L. ")</f>
        <v xml:space="preserve">Gouveia, L. </v>
      </c>
      <c r="M352" s="10"/>
      <c r="N352" s="10"/>
      <c r="O352" s="10"/>
      <c r="P352" s="10"/>
      <c r="Q352" s="10"/>
      <c r="R352" s="10"/>
      <c r="S352" s="10"/>
      <c r="T352" s="10"/>
      <c r="U352" s="10"/>
      <c r="V352" s="10"/>
      <c r="W352" s="10"/>
      <c r="X352" s="10"/>
      <c r="Y352" s="10"/>
      <c r="Z352" s="10"/>
    </row>
    <row r="353" spans="1:26" ht="17.25" customHeight="1" x14ac:dyDescent="0.3">
      <c r="A353" s="10" t="s">
        <v>486</v>
      </c>
      <c r="B353" s="10">
        <f t="shared" si="0"/>
        <v>26</v>
      </c>
      <c r="C353" s="8" t="str">
        <f t="shared" si="1"/>
        <v xml:space="preserve">Aguiar, G. e Gouveia, L. </v>
      </c>
      <c r="D353" s="8" t="str">
        <f t="shared" si="2"/>
        <v>2019</v>
      </c>
      <c r="E353" s="10">
        <f t="shared" si="3"/>
        <v>31</v>
      </c>
      <c r="F353" s="10">
        <f t="shared" si="4"/>
        <v>125</v>
      </c>
      <c r="G353" s="8" t="str">
        <f t="shared" si="5"/>
        <v xml:space="preserve"> O Programa de Benefícios Fiscais da nota Fiscal Eletrônica como Estímulo a Cidadania Fiscal. </v>
      </c>
      <c r="H353" s="10" t="str">
        <f t="shared" si="6"/>
        <v xml:space="preserve">Aguiar, G. e Gouveia, L. </v>
      </c>
      <c r="I353" s="10" t="str">
        <f t="shared" si="7"/>
        <v xml:space="preserve">Aguiar, G. e Gouveia, L. </v>
      </c>
      <c r="J353" s="10" t="str">
        <f t="shared" si="8"/>
        <v xml:space="preserve">Aguiar, G.;Gouveia, L. </v>
      </c>
      <c r="K353" s="11" t="str">
        <f ca="1">IFERROR(__xludf.DUMMYFUNCTION("SPLIT(J353,"";"")"),"Aguiar, G.")</f>
        <v>Aguiar, G.</v>
      </c>
      <c r="L353" s="10" t="str">
        <f ca="1">IFERROR(__xludf.DUMMYFUNCTION("""COMPUTED_VALUE"""),"Gouveia, L. ")</f>
        <v xml:space="preserve">Gouveia, L. </v>
      </c>
      <c r="M353" s="10"/>
      <c r="N353" s="10"/>
      <c r="O353" s="10"/>
      <c r="P353" s="10"/>
      <c r="Q353" s="10"/>
      <c r="R353" s="10"/>
      <c r="S353" s="10"/>
      <c r="T353" s="10"/>
      <c r="U353" s="10"/>
      <c r="V353" s="10"/>
      <c r="W353" s="10"/>
      <c r="X353" s="10"/>
      <c r="Y353" s="10"/>
      <c r="Z353" s="10"/>
    </row>
    <row r="354" spans="1:26" ht="17.25" customHeight="1" x14ac:dyDescent="0.3">
      <c r="A354" s="10" t="s">
        <v>487</v>
      </c>
      <c r="B354" s="10">
        <f t="shared" si="0"/>
        <v>29</v>
      </c>
      <c r="C354" s="8" t="str">
        <f t="shared" si="1"/>
        <v xml:space="preserve">Martins, E. e  Gouveia, L.  </v>
      </c>
      <c r="D354" s="8" t="str">
        <f t="shared" si="2"/>
        <v>2019</v>
      </c>
      <c r="E354" s="10">
        <f t="shared" si="3"/>
        <v>34</v>
      </c>
      <c r="F354" s="10">
        <f t="shared" si="4"/>
        <v>122</v>
      </c>
      <c r="G354" s="8" t="str">
        <f t="shared" si="5"/>
        <v xml:space="preserve"> Uso do WhatsApp em Atividades Educativas Extraclasse On-line no Ensino de Programação. </v>
      </c>
      <c r="H354" s="10" t="str">
        <f t="shared" si="6"/>
        <v xml:space="preserve">Martins, E. e  Gouveia, L.  </v>
      </c>
      <c r="I354" s="10" t="str">
        <f t="shared" si="7"/>
        <v xml:space="preserve">Martins, E. e  Gouveia, L.  </v>
      </c>
      <c r="J354" s="10" t="str">
        <f t="shared" si="8"/>
        <v xml:space="preserve">Martins, E. e  Gouveia, L.  </v>
      </c>
      <c r="K354" s="11" t="str">
        <f ca="1">IFERROR(__xludf.DUMMYFUNCTION("SPLIT(J354,"";"")"),"Martins, E. e  Gouveia, L.  ")</f>
        <v xml:space="preserve">Martins, E. e  Gouveia, L.  </v>
      </c>
      <c r="L354" s="10"/>
      <c r="M354" s="10"/>
      <c r="N354" s="10"/>
      <c r="O354" s="10"/>
      <c r="P354" s="10"/>
      <c r="Q354" s="10"/>
      <c r="R354" s="10"/>
      <c r="S354" s="10"/>
      <c r="T354" s="10"/>
      <c r="U354" s="10"/>
      <c r="V354" s="10"/>
      <c r="W354" s="10"/>
      <c r="X354" s="10"/>
      <c r="Y354" s="10"/>
      <c r="Z354" s="10"/>
    </row>
    <row r="355" spans="1:26" ht="17.25" customHeight="1" x14ac:dyDescent="0.3">
      <c r="A355" s="10" t="s">
        <v>488</v>
      </c>
      <c r="B355" s="10">
        <f t="shared" si="0"/>
        <v>27</v>
      </c>
      <c r="C355" s="8" t="str">
        <f t="shared" si="1"/>
        <v xml:space="preserve">Martins, E. e Gouveia, L. </v>
      </c>
      <c r="D355" s="8" t="str">
        <f t="shared" si="2"/>
        <v>2019</v>
      </c>
      <c r="E355" s="10">
        <f t="shared" si="3"/>
        <v>32</v>
      </c>
      <c r="F355" s="10">
        <f t="shared" si="4"/>
        <v>143</v>
      </c>
      <c r="G355" s="8" t="str">
        <f t="shared" si="5"/>
        <v xml:space="preserve"> ML-SAI: Um Modelo Pedagógico para Atividades de M-Learning que Integra a Abordagem da Sala de Aula Invertida. </v>
      </c>
      <c r="H355" s="10" t="str">
        <f t="shared" si="6"/>
        <v xml:space="preserve">Martins, E. e Gouveia, L. </v>
      </c>
      <c r="I355" s="10" t="str">
        <f t="shared" si="7"/>
        <v xml:space="preserve">Martins, E. e Gouveia, L. </v>
      </c>
      <c r="J355" s="10" t="str">
        <f t="shared" si="8"/>
        <v xml:space="preserve">Martins, E.;Gouveia, L. </v>
      </c>
      <c r="K355" s="11" t="str">
        <f ca="1">IFERROR(__xludf.DUMMYFUNCTION("SPLIT(J355,"";"")"),"Martins, E.")</f>
        <v>Martins, E.</v>
      </c>
      <c r="L355" s="10" t="str">
        <f ca="1">IFERROR(__xludf.DUMMYFUNCTION("""COMPUTED_VALUE"""),"Gouveia, L. ")</f>
        <v xml:space="preserve">Gouveia, L. </v>
      </c>
      <c r="M355" s="10"/>
      <c r="N355" s="10"/>
      <c r="O355" s="10"/>
      <c r="P355" s="10"/>
      <c r="Q355" s="10"/>
      <c r="R355" s="10"/>
      <c r="S355" s="10"/>
      <c r="T355" s="10"/>
      <c r="U355" s="10"/>
      <c r="V355" s="10"/>
      <c r="W355" s="10"/>
      <c r="X355" s="10"/>
      <c r="Y355" s="10"/>
      <c r="Z355" s="10"/>
    </row>
    <row r="356" spans="1:26" ht="17.25" customHeight="1" x14ac:dyDescent="0.3">
      <c r="A356" s="10" t="s">
        <v>489</v>
      </c>
      <c r="B356" s="10">
        <f t="shared" si="0"/>
        <v>24</v>
      </c>
      <c r="C356" s="8" t="str">
        <f t="shared" si="1"/>
        <v xml:space="preserve">Toso, R. e Gouveia, L. </v>
      </c>
      <c r="D356" s="8" t="str">
        <f t="shared" si="2"/>
        <v>2019</v>
      </c>
      <c r="E356" s="10">
        <f t="shared" si="3"/>
        <v>29</v>
      </c>
      <c r="F356" s="10">
        <f t="shared" si="4"/>
        <v>88</v>
      </c>
      <c r="G356" s="8" t="str">
        <f t="shared" si="5"/>
        <v xml:space="preserve"> Projeto Logislab: Uso de Maquetes no Ensino da Logística. </v>
      </c>
      <c r="H356" s="10" t="str">
        <f t="shared" si="6"/>
        <v xml:space="preserve">Toso, R. e Gouveia, L. </v>
      </c>
      <c r="I356" s="10" t="str">
        <f t="shared" si="7"/>
        <v xml:space="preserve">Toso, R. e Gouveia, L. </v>
      </c>
      <c r="J356" s="10" t="str">
        <f t="shared" si="8"/>
        <v xml:space="preserve">Toso, R.;Gouveia, L. </v>
      </c>
      <c r="K356" s="11" t="str">
        <f ca="1">IFERROR(__xludf.DUMMYFUNCTION("SPLIT(J356,"";"")"),"Toso, R.")</f>
        <v>Toso, R.</v>
      </c>
      <c r="L356" s="10" t="str">
        <f ca="1">IFERROR(__xludf.DUMMYFUNCTION("""COMPUTED_VALUE"""),"Gouveia, L. ")</f>
        <v xml:space="preserve">Gouveia, L. </v>
      </c>
      <c r="M356" s="10"/>
      <c r="N356" s="10"/>
      <c r="O356" s="10"/>
      <c r="P356" s="10"/>
      <c r="Q356" s="10"/>
      <c r="R356" s="10"/>
      <c r="S356" s="10"/>
      <c r="T356" s="10"/>
      <c r="U356" s="10"/>
      <c r="V356" s="10"/>
      <c r="W356" s="10"/>
      <c r="X356" s="10"/>
      <c r="Y356" s="10"/>
      <c r="Z356" s="10"/>
    </row>
    <row r="357" spans="1:26" ht="17.25" customHeight="1" x14ac:dyDescent="0.3">
      <c r="A357" s="10" t="s">
        <v>490</v>
      </c>
      <c r="B357" s="10">
        <f t="shared" si="0"/>
        <v>27</v>
      </c>
      <c r="C357" s="8" t="str">
        <f t="shared" si="1"/>
        <v xml:space="preserve">Martins, E. e Gouveia, L. </v>
      </c>
      <c r="D357" s="8" t="str">
        <f t="shared" si="2"/>
        <v>2018</v>
      </c>
      <c r="E357" s="10">
        <f t="shared" si="3"/>
        <v>32</v>
      </c>
      <c r="F357" s="10">
        <f t="shared" si="4"/>
        <v>73</v>
      </c>
      <c r="G357" s="8" t="str">
        <f t="shared" si="5"/>
        <v xml:space="preserve"> Kahoot na Sala de Aula do Ensino Médio. </v>
      </c>
      <c r="H357" s="10" t="str">
        <f t="shared" si="6"/>
        <v xml:space="preserve">Martins, E. e Gouveia, L. </v>
      </c>
      <c r="I357" s="10" t="str">
        <f t="shared" si="7"/>
        <v xml:space="preserve">Martins, E. e Gouveia, L. </v>
      </c>
      <c r="J357" s="10" t="str">
        <f t="shared" si="8"/>
        <v xml:space="preserve">Martins, E.;Gouveia, L. </v>
      </c>
      <c r="K357" s="11" t="str">
        <f ca="1">IFERROR(__xludf.DUMMYFUNCTION("SPLIT(J357,"";"")"),"Martins, E.")</f>
        <v>Martins, E.</v>
      </c>
      <c r="L357" s="10" t="str">
        <f ca="1">IFERROR(__xludf.DUMMYFUNCTION("""COMPUTED_VALUE"""),"Gouveia, L. ")</f>
        <v xml:space="preserve">Gouveia, L. </v>
      </c>
      <c r="M357" s="10"/>
      <c r="N357" s="10"/>
      <c r="O357" s="10"/>
      <c r="P357" s="10"/>
      <c r="Q357" s="10"/>
      <c r="R357" s="10"/>
      <c r="S357" s="10"/>
      <c r="T357" s="10"/>
      <c r="U357" s="10"/>
      <c r="V357" s="10"/>
      <c r="W357" s="10"/>
      <c r="X357" s="10"/>
      <c r="Y357" s="10"/>
      <c r="Z357" s="10"/>
    </row>
    <row r="358" spans="1:26" ht="17.25" customHeight="1" x14ac:dyDescent="0.3">
      <c r="A358" s="10" t="s">
        <v>491</v>
      </c>
      <c r="B358" s="10">
        <f t="shared" si="0"/>
        <v>27</v>
      </c>
      <c r="C358" s="8" t="str">
        <f t="shared" si="1"/>
        <v xml:space="preserve">Martins, E. e Gouveia, L. </v>
      </c>
      <c r="D358" s="8" t="str">
        <f t="shared" si="2"/>
        <v>2018</v>
      </c>
      <c r="E358" s="10">
        <f t="shared" si="3"/>
        <v>32</v>
      </c>
      <c r="F358" s="10">
        <f t="shared" si="4"/>
        <v>91</v>
      </c>
      <c r="G358" s="8" t="str">
        <f t="shared" si="5"/>
        <v xml:space="preserve"> Uso do Google Drive no Apoio a Aprendizagem Colaborativa. </v>
      </c>
      <c r="H358" s="10" t="str">
        <f t="shared" si="6"/>
        <v xml:space="preserve">Martins, E. e Gouveia, L. </v>
      </c>
      <c r="I358" s="10" t="str">
        <f t="shared" si="7"/>
        <v xml:space="preserve">Martins, E. e Gouveia, L. </v>
      </c>
      <c r="J358" s="10" t="str">
        <f t="shared" si="8"/>
        <v xml:space="preserve">Martins, E.;Gouveia, L. </v>
      </c>
      <c r="K358" s="11" t="str">
        <f ca="1">IFERROR(__xludf.DUMMYFUNCTION("SPLIT(J358,"";"")"),"Martins, E.")</f>
        <v>Martins, E.</v>
      </c>
      <c r="L358" s="10" t="str">
        <f ca="1">IFERROR(__xludf.DUMMYFUNCTION("""COMPUTED_VALUE"""),"Gouveia, L. ")</f>
        <v xml:space="preserve">Gouveia, L. </v>
      </c>
      <c r="M358" s="10"/>
      <c r="N358" s="10"/>
      <c r="O358" s="10"/>
      <c r="P358" s="10"/>
      <c r="Q358" s="10"/>
      <c r="R358" s="10"/>
      <c r="S358" s="10"/>
      <c r="T358" s="10"/>
      <c r="U358" s="10"/>
      <c r="V358" s="10"/>
      <c r="W358" s="10"/>
      <c r="X358" s="10"/>
      <c r="Y358" s="10"/>
      <c r="Z358" s="10"/>
    </row>
    <row r="359" spans="1:26" ht="17.25" customHeight="1" x14ac:dyDescent="0.3">
      <c r="A359" s="10" t="s">
        <v>492</v>
      </c>
      <c r="B359" s="10">
        <f t="shared" si="0"/>
        <v>27</v>
      </c>
      <c r="C359" s="8" t="str">
        <f t="shared" si="1"/>
        <v xml:space="preserve">Gouveia, L. e Martins, E. </v>
      </c>
      <c r="D359" s="8" t="str">
        <f t="shared" si="2"/>
        <v>2018</v>
      </c>
      <c r="E359" s="10">
        <f t="shared" si="3"/>
        <v>32</v>
      </c>
      <c r="F359" s="10">
        <f t="shared" si="4"/>
        <v>87</v>
      </c>
      <c r="G359" s="8" t="str">
        <f t="shared" si="5"/>
        <v xml:space="preserve"> Uso do WhatsApp em Atividades Educativas Extraclasse. </v>
      </c>
      <c r="H359" s="10" t="str">
        <f t="shared" si="6"/>
        <v xml:space="preserve">Gouveia, L. e Martins, E. </v>
      </c>
      <c r="I359" s="10" t="str">
        <f t="shared" si="7"/>
        <v xml:space="preserve">Gouveia, L. e Martins, E. </v>
      </c>
      <c r="J359" s="10" t="str">
        <f t="shared" si="8"/>
        <v xml:space="preserve">Gouveia, L.;Martins, E. </v>
      </c>
      <c r="K359" s="11" t="str">
        <f ca="1">IFERROR(__xludf.DUMMYFUNCTION("SPLIT(J359,"";"")"),"Gouveia, L.")</f>
        <v>Gouveia, L.</v>
      </c>
      <c r="L359" s="10" t="str">
        <f ca="1">IFERROR(__xludf.DUMMYFUNCTION("""COMPUTED_VALUE"""),"Martins, E. ")</f>
        <v xml:space="preserve">Martins, E. </v>
      </c>
      <c r="M359" s="10"/>
      <c r="N359" s="10"/>
      <c r="O359" s="10"/>
      <c r="P359" s="10"/>
      <c r="Q359" s="10"/>
      <c r="R359" s="10"/>
      <c r="S359" s="10"/>
      <c r="T359" s="10"/>
      <c r="U359" s="10"/>
      <c r="V359" s="10"/>
      <c r="W359" s="10"/>
      <c r="X359" s="10"/>
      <c r="Y359" s="10"/>
      <c r="Z359" s="10"/>
    </row>
    <row r="360" spans="1:26" ht="17.25" customHeight="1" x14ac:dyDescent="0.3">
      <c r="A360" s="10" t="s">
        <v>493</v>
      </c>
      <c r="B360" s="10">
        <f t="shared" si="0"/>
        <v>27</v>
      </c>
      <c r="C360" s="8" t="str">
        <f t="shared" si="1"/>
        <v xml:space="preserve">Martins, E. e Gouveia, L. </v>
      </c>
      <c r="D360" s="8" t="str">
        <f t="shared" si="2"/>
        <v>2018</v>
      </c>
      <c r="E360" s="10">
        <f t="shared" si="3"/>
        <v>32</v>
      </c>
      <c r="F360" s="10">
        <f t="shared" si="4"/>
        <v>98</v>
      </c>
      <c r="G360" s="8" t="str">
        <f t="shared" si="5"/>
        <v xml:space="preserve"> O Uso da Rede Social Educativa Edmodo em Atividades Extraclasse. </v>
      </c>
      <c r="H360" s="10" t="str">
        <f t="shared" si="6"/>
        <v xml:space="preserve">Martins, E. e Gouveia, L. </v>
      </c>
      <c r="I360" s="10" t="str">
        <f t="shared" si="7"/>
        <v xml:space="preserve">Martins, E. e Gouveia, L. </v>
      </c>
      <c r="J360" s="10" t="str">
        <f t="shared" si="8"/>
        <v xml:space="preserve">Martins, E.;Gouveia, L. </v>
      </c>
      <c r="K360" s="11" t="str">
        <f ca="1">IFERROR(__xludf.DUMMYFUNCTION("SPLIT(J360,"";"")"),"Martins, E.")</f>
        <v>Martins, E.</v>
      </c>
      <c r="L360" s="10" t="str">
        <f ca="1">IFERROR(__xludf.DUMMYFUNCTION("""COMPUTED_VALUE"""),"Gouveia, L. ")</f>
        <v xml:space="preserve">Gouveia, L. </v>
      </c>
      <c r="M360" s="10"/>
      <c r="N360" s="10"/>
      <c r="O360" s="10"/>
      <c r="P360" s="10"/>
      <c r="Q360" s="10"/>
      <c r="R360" s="10"/>
      <c r="S360" s="10"/>
      <c r="T360" s="10"/>
      <c r="U360" s="10"/>
      <c r="V360" s="10"/>
      <c r="W360" s="10"/>
      <c r="X360" s="10"/>
      <c r="Y360" s="10"/>
      <c r="Z360" s="10"/>
    </row>
    <row r="361" spans="1:26" ht="17.25" customHeight="1" x14ac:dyDescent="0.3">
      <c r="A361" s="10" t="s">
        <v>494</v>
      </c>
      <c r="B361" s="10">
        <f t="shared" si="0"/>
        <v>27</v>
      </c>
      <c r="C361" s="8" t="str">
        <f t="shared" si="1"/>
        <v xml:space="preserve">Martins, E. e Gouveia, L. </v>
      </c>
      <c r="D361" s="8" t="str">
        <f t="shared" si="2"/>
        <v>2018</v>
      </c>
      <c r="E361" s="10">
        <f t="shared" si="3"/>
        <v>32</v>
      </c>
      <c r="F361" s="10">
        <f t="shared" si="4"/>
        <v>87</v>
      </c>
      <c r="G361" s="8" t="str">
        <f t="shared" si="5"/>
        <v xml:space="preserve"> Facebook como Ferramenta de Apoio ao Ensino Superior. </v>
      </c>
      <c r="H361" s="10" t="str">
        <f t="shared" si="6"/>
        <v xml:space="preserve">Martins, E. e Gouveia, L. </v>
      </c>
      <c r="I361" s="10" t="str">
        <f t="shared" si="7"/>
        <v xml:space="preserve">Martins, E. e Gouveia, L. </v>
      </c>
      <c r="J361" s="10" t="str">
        <f t="shared" si="8"/>
        <v xml:space="preserve">Martins, E.;Gouveia, L. </v>
      </c>
      <c r="K361" s="11" t="str">
        <f ca="1">IFERROR(__xludf.DUMMYFUNCTION("SPLIT(J361,"";"")"),"Martins, E.")</f>
        <v>Martins, E.</v>
      </c>
      <c r="L361" s="10" t="str">
        <f ca="1">IFERROR(__xludf.DUMMYFUNCTION("""COMPUTED_VALUE"""),"Gouveia, L. ")</f>
        <v xml:space="preserve">Gouveia, L. </v>
      </c>
      <c r="M361" s="10"/>
      <c r="N361" s="10"/>
      <c r="O361" s="10"/>
      <c r="P361" s="10"/>
      <c r="Q361" s="10"/>
      <c r="R361" s="10"/>
      <c r="S361" s="10"/>
      <c r="T361" s="10"/>
      <c r="U361" s="10"/>
      <c r="V361" s="10"/>
      <c r="W361" s="10"/>
      <c r="X361" s="10"/>
      <c r="Y361" s="10"/>
      <c r="Z361" s="10"/>
    </row>
    <row r="362" spans="1:26" ht="17.25" customHeight="1" x14ac:dyDescent="0.3">
      <c r="A362" s="10" t="s">
        <v>495</v>
      </c>
      <c r="B362" s="10">
        <f t="shared" si="0"/>
        <v>28</v>
      </c>
      <c r="C362" s="8" t="str">
        <f t="shared" si="1"/>
        <v xml:space="preserve">Martins , E. e Gouveia, L. </v>
      </c>
      <c r="D362" s="8" t="str">
        <f t="shared" si="2"/>
        <v>2018</v>
      </c>
      <c r="E362" s="10">
        <f t="shared" si="3"/>
        <v>33</v>
      </c>
      <c r="F362" s="10">
        <f t="shared" si="4"/>
        <v>86</v>
      </c>
      <c r="G362" s="8" t="str">
        <f t="shared" si="5"/>
        <v xml:space="preserve"> WhatsApp como Apoio a Aprendizagem no Ensino Médio. </v>
      </c>
      <c r="H362" s="10" t="str">
        <f t="shared" si="6"/>
        <v xml:space="preserve">Martins , E. e Gouveia, L. </v>
      </c>
      <c r="I362" s="10" t="str">
        <f t="shared" si="7"/>
        <v xml:space="preserve">Martins , E. e Gouveia, L. </v>
      </c>
      <c r="J362" s="10" t="str">
        <f t="shared" si="8"/>
        <v xml:space="preserve">Martins , E.;Gouveia, L. </v>
      </c>
      <c r="K362" s="11" t="str">
        <f ca="1">IFERROR(__xludf.DUMMYFUNCTION("SPLIT(J362,"";"")"),"Martins , E.")</f>
        <v>Martins , E.</v>
      </c>
      <c r="L362" s="10" t="str">
        <f ca="1">IFERROR(__xludf.DUMMYFUNCTION("""COMPUTED_VALUE"""),"Gouveia, L. ")</f>
        <v xml:space="preserve">Gouveia, L. </v>
      </c>
      <c r="M362" s="10"/>
      <c r="N362" s="10"/>
      <c r="O362" s="10"/>
      <c r="P362" s="10"/>
      <c r="Q362" s="10"/>
      <c r="R362" s="10"/>
      <c r="S362" s="10"/>
      <c r="T362" s="10"/>
      <c r="U362" s="10"/>
      <c r="V362" s="10"/>
      <c r="W362" s="10"/>
      <c r="X362" s="10"/>
      <c r="Y362" s="10"/>
      <c r="Z362" s="10"/>
    </row>
    <row r="363" spans="1:26" ht="17.25" customHeight="1" x14ac:dyDescent="0.3">
      <c r="A363" s="10" t="s">
        <v>496</v>
      </c>
      <c r="B363" s="10">
        <f t="shared" si="0"/>
        <v>27</v>
      </c>
      <c r="C363" s="8" t="str">
        <f t="shared" si="1"/>
        <v xml:space="preserve">Martins, E. e Gouveia, L. </v>
      </c>
      <c r="D363" s="8" t="str">
        <f t="shared" si="2"/>
        <v>2018</v>
      </c>
      <c r="E363" s="10">
        <f t="shared" si="3"/>
        <v>32</v>
      </c>
      <c r="F363" s="10">
        <f t="shared" si="4"/>
        <v>123</v>
      </c>
      <c r="G363" s="8" t="str">
        <f t="shared" si="5"/>
        <v xml:space="preserve"> Uso da Ferramenta Kahoot Transformando a Aula do Ensino Médio em um Game de Conhecimento. </v>
      </c>
      <c r="H363" s="10" t="str">
        <f t="shared" si="6"/>
        <v xml:space="preserve">Martins, E. e Gouveia, L. </v>
      </c>
      <c r="I363" s="10" t="str">
        <f t="shared" si="7"/>
        <v xml:space="preserve">Martins, E. e Gouveia, L. </v>
      </c>
      <c r="J363" s="10" t="str">
        <f t="shared" si="8"/>
        <v xml:space="preserve">Martins, E.;Gouveia, L. </v>
      </c>
      <c r="K363" s="11" t="str">
        <f ca="1">IFERROR(__xludf.DUMMYFUNCTION("SPLIT(J363,"";"")"),"Martins, E.")</f>
        <v>Martins, E.</v>
      </c>
      <c r="L363" s="10" t="str">
        <f ca="1">IFERROR(__xludf.DUMMYFUNCTION("""COMPUTED_VALUE"""),"Gouveia, L. ")</f>
        <v xml:space="preserve">Gouveia, L. </v>
      </c>
      <c r="M363" s="10"/>
      <c r="N363" s="10"/>
      <c r="O363" s="10"/>
      <c r="P363" s="10"/>
      <c r="Q363" s="10"/>
      <c r="R363" s="10"/>
      <c r="S363" s="10"/>
      <c r="T363" s="10"/>
      <c r="U363" s="10"/>
      <c r="V363" s="10"/>
      <c r="W363" s="10"/>
      <c r="X363" s="10"/>
      <c r="Y363" s="10"/>
      <c r="Z363" s="10"/>
    </row>
    <row r="364" spans="1:26" ht="17.25" customHeight="1" x14ac:dyDescent="0.3">
      <c r="A364" s="10" t="s">
        <v>497</v>
      </c>
      <c r="B364" s="10">
        <f t="shared" si="0"/>
        <v>27</v>
      </c>
      <c r="C364" s="8" t="str">
        <f t="shared" si="1"/>
        <v xml:space="preserve">Martins, E. e Gouveia, L. </v>
      </c>
      <c r="D364" s="8" t="str">
        <f t="shared" si="2"/>
        <v>2018</v>
      </c>
      <c r="E364" s="10">
        <f t="shared" si="3"/>
        <v>32</v>
      </c>
      <c r="F364" s="10">
        <f t="shared" si="4"/>
        <v>86</v>
      </c>
      <c r="G364" s="8" t="str">
        <f t="shared" si="5"/>
        <v xml:space="preserve"> Tecnologias Móveis em cursos da Universidade Aberta. </v>
      </c>
      <c r="H364" s="10" t="str">
        <f t="shared" si="6"/>
        <v xml:space="preserve">Martins, E. e Gouveia, L. </v>
      </c>
      <c r="I364" s="10" t="str">
        <f t="shared" si="7"/>
        <v xml:space="preserve">Martins, E. e Gouveia, L. </v>
      </c>
      <c r="J364" s="10" t="str">
        <f t="shared" si="8"/>
        <v xml:space="preserve">Martins, E.;Gouveia, L. </v>
      </c>
      <c r="K364" s="11" t="str">
        <f ca="1">IFERROR(__xludf.DUMMYFUNCTION("SPLIT(J364,"";"")"),"Martins, E.")</f>
        <v>Martins, E.</v>
      </c>
      <c r="L364" s="10" t="str">
        <f ca="1">IFERROR(__xludf.DUMMYFUNCTION("""COMPUTED_VALUE"""),"Gouveia, L. ")</f>
        <v xml:space="preserve">Gouveia, L. </v>
      </c>
      <c r="M364" s="10"/>
      <c r="N364" s="10"/>
      <c r="O364" s="10"/>
      <c r="P364" s="10"/>
      <c r="Q364" s="10"/>
      <c r="R364" s="10"/>
      <c r="S364" s="10"/>
      <c r="T364" s="10"/>
      <c r="U364" s="10"/>
      <c r="V364" s="10"/>
      <c r="W364" s="10"/>
      <c r="X364" s="10"/>
      <c r="Y364" s="10"/>
      <c r="Z364" s="10"/>
    </row>
    <row r="365" spans="1:26" ht="17.25" customHeight="1" x14ac:dyDescent="0.3">
      <c r="A365" s="10" t="s">
        <v>498</v>
      </c>
      <c r="B365" s="10">
        <f t="shared" si="0"/>
        <v>28</v>
      </c>
      <c r="C365" s="8" t="str">
        <f t="shared" si="1"/>
        <v xml:space="preserve">Oliveira, M. e Gouveia, L. </v>
      </c>
      <c r="D365" s="8" t="str">
        <f t="shared" si="2"/>
        <v>2018</v>
      </c>
      <c r="E365" s="10">
        <f t="shared" si="3"/>
        <v>33</v>
      </c>
      <c r="F365" s="10">
        <f t="shared" si="4"/>
        <v>126</v>
      </c>
      <c r="G365" s="8" t="str">
        <f t="shared" si="5"/>
        <v xml:space="preserve"> Uma metodologia para a medição da densidade óssea pela técnica de densitometria de raios-X. </v>
      </c>
      <c r="H365" s="10" t="str">
        <f t="shared" si="6"/>
        <v xml:space="preserve">Oliveira, M. e Gouveia, L. </v>
      </c>
      <c r="I365" s="10" t="str">
        <f t="shared" si="7"/>
        <v xml:space="preserve">Oliveira, M. e Gouveia, L. </v>
      </c>
      <c r="J365" s="10" t="str">
        <f t="shared" si="8"/>
        <v xml:space="preserve">Oliveira, M.;Gouveia, L. </v>
      </c>
      <c r="K365" s="11" t="str">
        <f ca="1">IFERROR(__xludf.DUMMYFUNCTION("SPLIT(J365,"";"")"),"Oliveira, M.")</f>
        <v>Oliveira, M.</v>
      </c>
      <c r="L365" s="10" t="str">
        <f ca="1">IFERROR(__xludf.DUMMYFUNCTION("""COMPUTED_VALUE"""),"Gouveia, L. ")</f>
        <v xml:space="preserve">Gouveia, L. </v>
      </c>
      <c r="M365" s="10"/>
      <c r="N365" s="10"/>
      <c r="O365" s="10"/>
      <c r="P365" s="10"/>
      <c r="Q365" s="10"/>
      <c r="R365" s="10"/>
      <c r="S365" s="10"/>
      <c r="T365" s="10"/>
      <c r="U365" s="10"/>
      <c r="V365" s="10"/>
      <c r="W365" s="10"/>
      <c r="X365" s="10"/>
      <c r="Y365" s="10"/>
      <c r="Z365" s="10"/>
    </row>
    <row r="366" spans="1:26" ht="17.25" customHeight="1" x14ac:dyDescent="0.3">
      <c r="A366" s="10" t="s">
        <v>499</v>
      </c>
      <c r="B366" s="10">
        <f t="shared" si="0"/>
        <v>28</v>
      </c>
      <c r="C366" s="8" t="str">
        <f t="shared" si="1"/>
        <v xml:space="preserve">Oliveira, M. e Gouveia, L. </v>
      </c>
      <c r="D366" s="8" t="str">
        <f t="shared" si="2"/>
        <v>2018</v>
      </c>
      <c r="E366" s="10">
        <f t="shared" si="3"/>
        <v>33</v>
      </c>
      <c r="F366" s="10">
        <f t="shared" si="4"/>
        <v>107</v>
      </c>
      <c r="G366" s="8" t="str">
        <f t="shared" si="5"/>
        <v xml:space="preserve"> Uma técnica para medir a densidade óssea usando uma imagem radiográfica. </v>
      </c>
      <c r="H366" s="10" t="str">
        <f t="shared" si="6"/>
        <v xml:space="preserve">Oliveira, M. e Gouveia, L. </v>
      </c>
      <c r="I366" s="10" t="str">
        <f t="shared" si="7"/>
        <v xml:space="preserve">Oliveira, M. e Gouveia, L. </v>
      </c>
      <c r="J366" s="10" t="str">
        <f t="shared" si="8"/>
        <v xml:space="preserve">Oliveira, M.;Gouveia, L. </v>
      </c>
      <c r="K366" s="11" t="str">
        <f ca="1">IFERROR(__xludf.DUMMYFUNCTION("SPLIT(J366,"";"")"),"Oliveira, M.")</f>
        <v>Oliveira, M.</v>
      </c>
      <c r="L366" s="10" t="str">
        <f ca="1">IFERROR(__xludf.DUMMYFUNCTION("""COMPUTED_VALUE"""),"Gouveia, L. ")</f>
        <v xml:space="preserve">Gouveia, L. </v>
      </c>
      <c r="M366" s="10"/>
      <c r="N366" s="10"/>
      <c r="O366" s="10"/>
      <c r="P366" s="10"/>
      <c r="Q366" s="10"/>
      <c r="R366" s="10"/>
      <c r="S366" s="10"/>
      <c r="T366" s="10"/>
      <c r="U366" s="10"/>
      <c r="V366" s="10"/>
      <c r="W366" s="10"/>
      <c r="X366" s="10"/>
      <c r="Y366" s="10"/>
      <c r="Z366" s="10"/>
    </row>
    <row r="367" spans="1:26" ht="17.25" customHeight="1" x14ac:dyDescent="0.3">
      <c r="A367" s="10" t="s">
        <v>500</v>
      </c>
      <c r="B367" s="10">
        <f t="shared" si="0"/>
        <v>26</v>
      </c>
      <c r="C367" s="8" t="str">
        <f t="shared" si="1"/>
        <v xml:space="preserve">Araújo, A. e Gouveia, L. </v>
      </c>
      <c r="D367" s="8" t="str">
        <f t="shared" si="2"/>
        <v>2018</v>
      </c>
      <c r="E367" s="10">
        <f t="shared" si="3"/>
        <v>31</v>
      </c>
      <c r="F367" s="10">
        <f t="shared" si="4"/>
        <v>159</v>
      </c>
      <c r="G367" s="8" t="str">
        <f t="shared" si="5"/>
        <v xml:space="preserve"> O Digital nas Instituições de Ensino Superior: um diagnóstico sobre a percepção docente em uma instituição de ensino superior. </v>
      </c>
      <c r="H367" s="10" t="str">
        <f t="shared" si="6"/>
        <v xml:space="preserve">Araújo, A. e Gouveia, L. </v>
      </c>
      <c r="I367" s="10" t="str">
        <f t="shared" si="7"/>
        <v xml:space="preserve">Araújo, A. e Gouveia, L. </v>
      </c>
      <c r="J367" s="10" t="str">
        <f t="shared" si="8"/>
        <v xml:space="preserve">Araújo, A.;Gouveia, L. </v>
      </c>
      <c r="K367" s="11" t="str">
        <f ca="1">IFERROR(__xludf.DUMMYFUNCTION("SPLIT(J367,"";"")"),"Araújo, A.")</f>
        <v>Araújo, A.</v>
      </c>
      <c r="L367" s="10" t="str">
        <f ca="1">IFERROR(__xludf.DUMMYFUNCTION("""COMPUTED_VALUE"""),"Gouveia, L. ")</f>
        <v xml:space="preserve">Gouveia, L. </v>
      </c>
      <c r="M367" s="10"/>
      <c r="N367" s="10"/>
      <c r="O367" s="10"/>
      <c r="P367" s="10"/>
      <c r="Q367" s="10"/>
      <c r="R367" s="10"/>
      <c r="S367" s="10"/>
      <c r="T367" s="10"/>
      <c r="U367" s="10"/>
      <c r="V367" s="10"/>
      <c r="W367" s="10"/>
      <c r="X367" s="10"/>
      <c r="Y367" s="10"/>
      <c r="Z367" s="10"/>
    </row>
    <row r="368" spans="1:26" ht="17.25" customHeight="1" x14ac:dyDescent="0.3">
      <c r="A368" s="10" t="s">
        <v>501</v>
      </c>
      <c r="B368" s="10">
        <f t="shared" si="0"/>
        <v>27</v>
      </c>
      <c r="C368" s="8" t="str">
        <f t="shared" si="1"/>
        <v xml:space="preserve">Alfredo, P. e Gouveia, L. </v>
      </c>
      <c r="D368" s="8" t="str">
        <f t="shared" si="2"/>
        <v>2017</v>
      </c>
      <c r="E368" s="10">
        <f t="shared" si="3"/>
        <v>32</v>
      </c>
      <c r="F368" s="10">
        <f t="shared" si="4"/>
        <v>95</v>
      </c>
      <c r="G368" s="8" t="str">
        <f t="shared" si="5"/>
        <v xml:space="preserve"> Crescimento económico de Angola e as TIC: os últimos 12 anos. </v>
      </c>
      <c r="H368" s="10" t="str">
        <f t="shared" si="6"/>
        <v xml:space="preserve">Alfredo, P. e Gouveia, L. </v>
      </c>
      <c r="I368" s="10" t="str">
        <f t="shared" si="7"/>
        <v xml:space="preserve">Alfredo, P. e Gouveia, L. </v>
      </c>
      <c r="J368" s="10" t="str">
        <f t="shared" si="8"/>
        <v xml:space="preserve">Alfredo, P.;Gouveia, L. </v>
      </c>
      <c r="K368" s="11" t="str">
        <f ca="1">IFERROR(__xludf.DUMMYFUNCTION("SPLIT(J368,"";"")"),"Alfredo, P.")</f>
        <v>Alfredo, P.</v>
      </c>
      <c r="L368" s="10" t="str">
        <f ca="1">IFERROR(__xludf.DUMMYFUNCTION("""COMPUTED_VALUE"""),"Gouveia, L. ")</f>
        <v xml:space="preserve">Gouveia, L. </v>
      </c>
      <c r="M368" s="10"/>
      <c r="N368" s="10"/>
      <c r="O368" s="10"/>
      <c r="P368" s="10"/>
      <c r="Q368" s="10"/>
      <c r="R368" s="10"/>
      <c r="S368" s="10"/>
      <c r="T368" s="10"/>
      <c r="U368" s="10"/>
      <c r="V368" s="10"/>
      <c r="W368" s="10"/>
      <c r="X368" s="10"/>
      <c r="Y368" s="10"/>
      <c r="Z368" s="10"/>
    </row>
    <row r="369" spans="1:26" ht="17.25" customHeight="1" x14ac:dyDescent="0.3">
      <c r="A369" s="10" t="s">
        <v>502</v>
      </c>
      <c r="B369" s="10">
        <f t="shared" si="0"/>
        <v>27</v>
      </c>
      <c r="C369" s="8" t="str">
        <f t="shared" si="1"/>
        <v xml:space="preserve">Alfredo, P. e Gouveia, L. </v>
      </c>
      <c r="D369" s="8" t="str">
        <f t="shared" si="2"/>
        <v>2017</v>
      </c>
      <c r="E369" s="10">
        <f t="shared" si="3"/>
        <v>32</v>
      </c>
      <c r="F369" s="10">
        <f t="shared" si="4"/>
        <v>85</v>
      </c>
      <c r="G369" s="8" t="str">
        <f t="shared" si="5"/>
        <v xml:space="preserve">Crescimento Económico de Angola: os últimos 12 anos. </v>
      </c>
      <c r="H369" s="10" t="str">
        <f t="shared" si="6"/>
        <v xml:space="preserve">Alfredo, P. e Gouveia, L. </v>
      </c>
      <c r="I369" s="10" t="str">
        <f t="shared" si="7"/>
        <v xml:space="preserve">Alfredo, P. e Gouveia, L. </v>
      </c>
      <c r="J369" s="10" t="str">
        <f t="shared" si="8"/>
        <v xml:space="preserve">Alfredo, P.;Gouveia, L. </v>
      </c>
      <c r="K369" s="11" t="str">
        <f ca="1">IFERROR(__xludf.DUMMYFUNCTION("SPLIT(J369,"";"")"),"Alfredo, P.")</f>
        <v>Alfredo, P.</v>
      </c>
      <c r="L369" s="10" t="str">
        <f ca="1">IFERROR(__xludf.DUMMYFUNCTION("""COMPUTED_VALUE"""),"Gouveia, L. ")</f>
        <v xml:space="preserve">Gouveia, L. </v>
      </c>
      <c r="M369" s="10"/>
      <c r="N369" s="10"/>
      <c r="O369" s="10"/>
      <c r="P369" s="10"/>
      <c r="Q369" s="10"/>
      <c r="R369" s="10"/>
      <c r="S369" s="10"/>
      <c r="T369" s="10"/>
      <c r="U369" s="10"/>
      <c r="V369" s="10"/>
      <c r="W369" s="10"/>
      <c r="X369" s="10"/>
      <c r="Y369" s="10"/>
      <c r="Z369" s="10"/>
    </row>
    <row r="370" spans="1:26" ht="17.25" customHeight="1" x14ac:dyDescent="0.3">
      <c r="A370" s="10" t="s">
        <v>503</v>
      </c>
      <c r="B370" s="10">
        <f t="shared" si="0"/>
        <v>25</v>
      </c>
      <c r="C370" s="8" t="str">
        <f t="shared" si="1"/>
        <v xml:space="preserve">Gouveia, L. e Couto, P. </v>
      </c>
      <c r="D370" s="8" t="str">
        <f t="shared" si="2"/>
        <v>2017</v>
      </c>
      <c r="E370" s="10">
        <f t="shared" si="3"/>
        <v>30</v>
      </c>
      <c r="F370" s="10">
        <f t="shared" si="4"/>
        <v>144</v>
      </c>
      <c r="G370" s="8" t="str">
        <f t="shared" si="5"/>
        <v xml:space="preserve"> A importância crescente do Capital Humano, Intelectual, Social e Territorial e a sua associação ao conhecimento. </v>
      </c>
      <c r="H370" s="10" t="str">
        <f t="shared" si="6"/>
        <v xml:space="preserve">Gouveia, L. e Couto, P. </v>
      </c>
      <c r="I370" s="10" t="str">
        <f t="shared" si="7"/>
        <v xml:space="preserve">Gouveia, L. e Couto, P. </v>
      </c>
      <c r="J370" s="10" t="str">
        <f t="shared" si="8"/>
        <v xml:space="preserve">Gouveia, L.;Couto, P. </v>
      </c>
      <c r="K370" s="11" t="str">
        <f ca="1">IFERROR(__xludf.DUMMYFUNCTION("SPLIT(J370,"";"")"),"Gouveia, L.")</f>
        <v>Gouveia, L.</v>
      </c>
      <c r="L370" s="10" t="str">
        <f ca="1">IFERROR(__xludf.DUMMYFUNCTION("""COMPUTED_VALUE"""),"Couto, P. ")</f>
        <v xml:space="preserve">Couto, P. </v>
      </c>
      <c r="M370" s="10"/>
      <c r="N370" s="10"/>
      <c r="O370" s="10"/>
      <c r="P370" s="10"/>
      <c r="Q370" s="10"/>
      <c r="R370" s="10"/>
      <c r="S370" s="10"/>
      <c r="T370" s="10"/>
      <c r="U370" s="10"/>
      <c r="V370" s="10"/>
      <c r="W370" s="10"/>
      <c r="X370" s="10"/>
      <c r="Y370" s="10"/>
      <c r="Z370" s="10"/>
    </row>
    <row r="371" spans="1:26" ht="17.25" customHeight="1" x14ac:dyDescent="0.3">
      <c r="A371" s="10" t="s">
        <v>504</v>
      </c>
      <c r="B371" s="10">
        <f t="shared" si="0"/>
        <v>27</v>
      </c>
      <c r="C371" s="8" t="str">
        <f t="shared" si="1"/>
        <v xml:space="preserve">Gouveia, L. e Morgado, R. </v>
      </c>
      <c r="D371" s="8" t="str">
        <f t="shared" si="2"/>
        <v>2017</v>
      </c>
      <c r="E371" s="10">
        <f t="shared" si="3"/>
        <v>32</v>
      </c>
      <c r="F371" s="10">
        <f t="shared" si="4"/>
        <v>110</v>
      </c>
      <c r="G371" s="8" t="str">
        <f t="shared" si="5"/>
        <v xml:space="preserve">A importância das Ciberarmas no Contexto da Ciberdefesa de um Pequeno Estado. </v>
      </c>
      <c r="H371" s="10" t="str">
        <f t="shared" si="6"/>
        <v xml:space="preserve">Gouveia, L. e Morgado, R. </v>
      </c>
      <c r="I371" s="10" t="str">
        <f t="shared" si="7"/>
        <v xml:space="preserve">Gouveia, L. e Morgado, R. </v>
      </c>
      <c r="J371" s="10" t="str">
        <f t="shared" si="8"/>
        <v xml:space="preserve">Gouveia, L.;Morgado, R. </v>
      </c>
      <c r="K371" s="11" t="str">
        <f ca="1">IFERROR(__xludf.DUMMYFUNCTION("SPLIT(J371,"";"")"),"Gouveia, L.")</f>
        <v>Gouveia, L.</v>
      </c>
      <c r="L371" s="10" t="str">
        <f ca="1">IFERROR(__xludf.DUMMYFUNCTION("""COMPUTED_VALUE"""),"Morgado, R. ")</f>
        <v xml:space="preserve">Morgado, R. </v>
      </c>
      <c r="M371" s="10"/>
      <c r="N371" s="10"/>
      <c r="O371" s="10"/>
      <c r="P371" s="10"/>
      <c r="Q371" s="10"/>
      <c r="R371" s="10"/>
      <c r="S371" s="10"/>
      <c r="T371" s="10"/>
      <c r="U371" s="10"/>
      <c r="V371" s="10"/>
      <c r="W371" s="10"/>
      <c r="X371" s="10"/>
      <c r="Y371" s="10"/>
      <c r="Z371" s="10"/>
    </row>
    <row r="372" spans="1:26" ht="17.25" customHeight="1" x14ac:dyDescent="0.3">
      <c r="A372" s="10" t="s">
        <v>505</v>
      </c>
      <c r="B372" s="10">
        <f t="shared" si="0"/>
        <v>25</v>
      </c>
      <c r="C372" s="8" t="str">
        <f t="shared" si="1"/>
        <v xml:space="preserve">Gouveia, L. e Pinto, C. </v>
      </c>
      <c r="D372" s="8" t="str">
        <f t="shared" si="2"/>
        <v>2017</v>
      </c>
      <c r="E372" s="10">
        <f t="shared" si="3"/>
        <v>30</v>
      </c>
      <c r="F372" s="10">
        <f t="shared" si="4"/>
        <v>135</v>
      </c>
      <c r="G372" s="8" t="str">
        <f t="shared" si="5"/>
        <v xml:space="preserve">Contributo para a discussão sobre a contabilização do Conhecimento e do Capital Humano nas Organizações. </v>
      </c>
      <c r="H372" s="10" t="str">
        <f t="shared" si="6"/>
        <v xml:space="preserve">Gouveia, L. e Pinto, C. </v>
      </c>
      <c r="I372" s="10" t="str">
        <f t="shared" si="7"/>
        <v xml:space="preserve">Gouveia, L. e Pinto, C. </v>
      </c>
      <c r="J372" s="10" t="str">
        <f t="shared" si="8"/>
        <v xml:space="preserve">Gouveia, L.;Pinto, C. </v>
      </c>
      <c r="K372" s="11" t="str">
        <f ca="1">IFERROR(__xludf.DUMMYFUNCTION("SPLIT(J372,"";"")"),"Gouveia, L.")</f>
        <v>Gouveia, L.</v>
      </c>
      <c r="L372" s="10" t="str">
        <f ca="1">IFERROR(__xludf.DUMMYFUNCTION("""COMPUTED_VALUE"""),"Pinto, C. ")</f>
        <v xml:space="preserve">Pinto, C. </v>
      </c>
      <c r="M372" s="10"/>
      <c r="N372" s="10"/>
      <c r="O372" s="10"/>
      <c r="P372" s="10"/>
      <c r="Q372" s="10"/>
      <c r="R372" s="10"/>
      <c r="S372" s="10"/>
      <c r="T372" s="10"/>
      <c r="U372" s="10"/>
      <c r="V372" s="10"/>
      <c r="W372" s="10"/>
      <c r="X372" s="10"/>
      <c r="Y372" s="10"/>
      <c r="Z372" s="10"/>
    </row>
    <row r="373" spans="1:26" ht="17.25" customHeight="1" x14ac:dyDescent="0.3">
      <c r="A373" s="10" t="s">
        <v>506</v>
      </c>
      <c r="B373" s="10">
        <f t="shared" si="0"/>
        <v>27</v>
      </c>
      <c r="C373" s="8" t="str">
        <f t="shared" si="1"/>
        <v xml:space="preserve">Martins, O. e Gouveia, L. </v>
      </c>
      <c r="D373" s="8" t="str">
        <f t="shared" si="2"/>
        <v>2015</v>
      </c>
      <c r="E373" s="10">
        <f t="shared" si="3"/>
        <v>32</v>
      </c>
      <c r="F373" s="10">
        <f t="shared" si="4"/>
        <v>126</v>
      </c>
      <c r="G373" s="8" t="str">
        <f t="shared" si="5"/>
        <v xml:space="preserve"> A promoção da infoliteracia como estratégia de autonomia numa biblioteca do ensino superior. </v>
      </c>
      <c r="H373" s="10" t="str">
        <f t="shared" si="6"/>
        <v xml:space="preserve">Martins, O. e Gouveia, L. </v>
      </c>
      <c r="I373" s="10" t="str">
        <f t="shared" si="7"/>
        <v xml:space="preserve">Martins, O. e Gouveia, L. </v>
      </c>
      <c r="J373" s="10" t="str">
        <f t="shared" si="8"/>
        <v xml:space="preserve">Martins, O.;Gouveia, L. </v>
      </c>
      <c r="K373" s="11" t="str">
        <f ca="1">IFERROR(__xludf.DUMMYFUNCTION("SPLIT(J373,"";"")"),"Martins, O.")</f>
        <v>Martins, O.</v>
      </c>
      <c r="L373" s="10" t="str">
        <f ca="1">IFERROR(__xludf.DUMMYFUNCTION("""COMPUTED_VALUE"""),"Gouveia, L. ")</f>
        <v xml:space="preserve">Gouveia, L. </v>
      </c>
      <c r="M373" s="10"/>
      <c r="N373" s="10"/>
      <c r="O373" s="10"/>
      <c r="P373" s="10"/>
      <c r="Q373" s="10"/>
      <c r="R373" s="10"/>
      <c r="S373" s="10"/>
      <c r="T373" s="10"/>
      <c r="U373" s="10"/>
      <c r="V373" s="10"/>
      <c r="W373" s="10"/>
      <c r="X373" s="10"/>
      <c r="Y373" s="10"/>
      <c r="Z373" s="10"/>
    </row>
    <row r="374" spans="1:26" ht="17.25" customHeight="1" x14ac:dyDescent="0.3">
      <c r="A374" s="10" t="s">
        <v>507</v>
      </c>
      <c r="B374" s="10">
        <f t="shared" si="0"/>
        <v>24</v>
      </c>
      <c r="C374" s="8" t="str">
        <f t="shared" si="1"/>
        <v xml:space="preserve">Leal, J. e Gouveia, L. </v>
      </c>
      <c r="D374" s="8" t="str">
        <f t="shared" si="2"/>
        <v>2015</v>
      </c>
      <c r="E374" s="10">
        <f t="shared" si="3"/>
        <v>29</v>
      </c>
      <c r="F374" s="10">
        <f t="shared" si="4"/>
        <v>88</v>
      </c>
      <c r="G374" s="8" t="str">
        <f t="shared" si="5"/>
        <v xml:space="preserve"> MOOC: Qual o papel na reconceptualização da Universidade. </v>
      </c>
      <c r="H374" s="10" t="str">
        <f t="shared" si="6"/>
        <v xml:space="preserve">Leal, J. e Gouveia, L. </v>
      </c>
      <c r="I374" s="10" t="str">
        <f t="shared" si="7"/>
        <v xml:space="preserve">Leal, J. e Gouveia, L. </v>
      </c>
      <c r="J374" s="10" t="str">
        <f t="shared" si="8"/>
        <v xml:space="preserve">Leal, J.;Gouveia, L. </v>
      </c>
      <c r="K374" s="11" t="str">
        <f ca="1">IFERROR(__xludf.DUMMYFUNCTION("SPLIT(J374,"";"")"),"Leal, J.")</f>
        <v>Leal, J.</v>
      </c>
      <c r="L374" s="10" t="str">
        <f ca="1">IFERROR(__xludf.DUMMYFUNCTION("""COMPUTED_VALUE"""),"Gouveia, L. ")</f>
        <v xml:space="preserve">Gouveia, L. </v>
      </c>
      <c r="M374" s="10"/>
      <c r="N374" s="10"/>
      <c r="O374" s="10"/>
      <c r="P374" s="10"/>
      <c r="Q374" s="10"/>
      <c r="R374" s="10"/>
      <c r="S374" s="10"/>
      <c r="T374" s="10"/>
      <c r="U374" s="10"/>
      <c r="V374" s="10"/>
      <c r="W374" s="10"/>
      <c r="X374" s="10"/>
      <c r="Y374" s="10"/>
      <c r="Z374" s="10"/>
    </row>
    <row r="375" spans="1:26" ht="17.25" customHeight="1" x14ac:dyDescent="0.3">
      <c r="A375" s="10" t="s">
        <v>508</v>
      </c>
      <c r="B375" s="10">
        <f t="shared" si="0"/>
        <v>26</v>
      </c>
      <c r="C375" s="8" t="str">
        <f t="shared" si="1"/>
        <v xml:space="preserve">Robalo, A. e Gouveia, L. </v>
      </c>
      <c r="D375" s="8" t="str">
        <f t="shared" si="2"/>
        <v>2014</v>
      </c>
      <c r="E375" s="10">
        <f t="shared" si="3"/>
        <v>31</v>
      </c>
      <c r="F375" s="10">
        <f t="shared" si="4"/>
        <v>157</v>
      </c>
      <c r="G375" s="8" t="str">
        <f t="shared" si="5"/>
        <v xml:space="preserve"> O contributo das plataformas educativas no ensino e formação de professores em Angola: Experiência piloto no ISCED - Huambo. </v>
      </c>
      <c r="H375" s="10" t="str">
        <f t="shared" si="6"/>
        <v xml:space="preserve">Robalo, A. e Gouveia, L. </v>
      </c>
      <c r="I375" s="10" t="str">
        <f t="shared" si="7"/>
        <v xml:space="preserve">Robalo, A. e Gouveia, L. </v>
      </c>
      <c r="J375" s="10" t="str">
        <f t="shared" si="8"/>
        <v xml:space="preserve">Robalo, A.;Gouveia, L. </v>
      </c>
      <c r="K375" s="11" t="str">
        <f ca="1">IFERROR(__xludf.DUMMYFUNCTION("SPLIT(J375,"";"")"),"Robalo, A.")</f>
        <v>Robalo, A.</v>
      </c>
      <c r="L375" s="10" t="str">
        <f ca="1">IFERROR(__xludf.DUMMYFUNCTION("""COMPUTED_VALUE"""),"Gouveia, L. ")</f>
        <v xml:space="preserve">Gouveia, L. </v>
      </c>
      <c r="M375" s="10"/>
      <c r="N375" s="10"/>
      <c r="O375" s="10"/>
      <c r="P375" s="10"/>
      <c r="Q375" s="10"/>
      <c r="R375" s="10"/>
      <c r="S375" s="10"/>
      <c r="T375" s="10"/>
      <c r="U375" s="10"/>
      <c r="V375" s="10"/>
      <c r="W375" s="10"/>
      <c r="X375" s="10"/>
      <c r="Y375" s="10"/>
      <c r="Z375" s="10"/>
    </row>
    <row r="376" spans="1:26" ht="17.25" customHeight="1" x14ac:dyDescent="0.3">
      <c r="A376" s="10" t="s">
        <v>509</v>
      </c>
      <c r="B376" s="10">
        <f t="shared" si="0"/>
        <v>13</v>
      </c>
      <c r="C376" s="8" t="str">
        <f t="shared" si="1"/>
        <v xml:space="preserve">Gouveia, L. </v>
      </c>
      <c r="D376" s="8" t="str">
        <f t="shared" si="2"/>
        <v>2014</v>
      </c>
      <c r="E376" s="10">
        <f t="shared" si="3"/>
        <v>18</v>
      </c>
      <c r="F376" s="10">
        <f t="shared" si="4"/>
        <v>97</v>
      </c>
      <c r="G376" s="8" t="str">
        <f t="shared" si="5"/>
        <v xml:space="preserve"> O Excesso de Informação e as suas implicações para indivíduos e organizações. </v>
      </c>
      <c r="H376" s="10" t="str">
        <f t="shared" si="6"/>
        <v xml:space="preserve">Gouveia, L. </v>
      </c>
      <c r="I376" s="10" t="str">
        <f t="shared" si="7"/>
        <v xml:space="preserve">Gouveia, L. </v>
      </c>
      <c r="J376" s="10" t="str">
        <f t="shared" si="8"/>
        <v xml:space="preserve">Gouveia, L. </v>
      </c>
      <c r="K376" s="11" t="str">
        <f ca="1">IFERROR(__xludf.DUMMYFUNCTION("SPLIT(J376,"";"")"),"Gouveia, L. ")</f>
        <v xml:space="preserve">Gouveia, L. </v>
      </c>
      <c r="L376" s="10"/>
      <c r="M376" s="10"/>
      <c r="N376" s="10"/>
      <c r="O376" s="10"/>
      <c r="P376" s="10"/>
      <c r="Q376" s="10"/>
      <c r="R376" s="10"/>
      <c r="S376" s="10"/>
      <c r="T376" s="10"/>
      <c r="U376" s="10"/>
      <c r="V376" s="10"/>
      <c r="W376" s="10"/>
      <c r="X376" s="10"/>
      <c r="Y376" s="10"/>
      <c r="Z376" s="10"/>
    </row>
    <row r="377" spans="1:26" ht="17.25" customHeight="1" x14ac:dyDescent="0.3">
      <c r="A377" s="10" t="s">
        <v>510</v>
      </c>
      <c r="B377" s="10">
        <f t="shared" si="0"/>
        <v>27</v>
      </c>
      <c r="C377" s="8" t="str">
        <f t="shared" si="1"/>
        <v xml:space="preserve">Cardoso, T. e Gouveia, L. </v>
      </c>
      <c r="D377" s="8" t="str">
        <f t="shared" si="2"/>
        <v>2012</v>
      </c>
      <c r="E377" s="10">
        <f t="shared" si="3"/>
        <v>32</v>
      </c>
      <c r="F377" s="10">
        <f t="shared" si="4"/>
        <v>61</v>
      </c>
      <c r="G377" s="8" t="str">
        <f t="shared" si="5"/>
        <v xml:space="preserve"> As redes sociais e a Web 2.0</v>
      </c>
      <c r="H377" s="10" t="str">
        <f t="shared" si="6"/>
        <v xml:space="preserve">Cardoso, T. e Gouveia, L. </v>
      </c>
      <c r="I377" s="10" t="str">
        <f t="shared" si="7"/>
        <v xml:space="preserve">Cardoso, T. e Gouveia, L. </v>
      </c>
      <c r="J377" s="10" t="str">
        <f t="shared" si="8"/>
        <v xml:space="preserve">Cardoso, T.;Gouveia, L. </v>
      </c>
      <c r="K377" s="11" t="str">
        <f ca="1">IFERROR(__xludf.DUMMYFUNCTION("SPLIT(J377,"";"")"),"Cardoso, T.")</f>
        <v>Cardoso, T.</v>
      </c>
      <c r="L377" s="10" t="str">
        <f ca="1">IFERROR(__xludf.DUMMYFUNCTION("""COMPUTED_VALUE"""),"Gouveia, L. ")</f>
        <v xml:space="preserve">Gouveia, L. </v>
      </c>
      <c r="M377" s="10"/>
      <c r="N377" s="10"/>
      <c r="O377" s="10"/>
      <c r="P377" s="10"/>
      <c r="Q377" s="10"/>
      <c r="R377" s="10"/>
      <c r="S377" s="10"/>
      <c r="T377" s="10"/>
      <c r="U377" s="10"/>
      <c r="V377" s="10"/>
      <c r="W377" s="10"/>
      <c r="X377" s="10"/>
      <c r="Y377" s="10"/>
      <c r="Z377" s="10"/>
    </row>
    <row r="378" spans="1:26" ht="17.25" customHeight="1" x14ac:dyDescent="0.3">
      <c r="A378" s="10" t="s">
        <v>511</v>
      </c>
      <c r="B378" s="10">
        <f t="shared" si="0"/>
        <v>13</v>
      </c>
      <c r="C378" s="8" t="str">
        <f t="shared" si="1"/>
        <v xml:space="preserve">Gouveia, L. </v>
      </c>
      <c r="D378" s="8" t="str">
        <f t="shared" si="2"/>
        <v>2010</v>
      </c>
      <c r="E378" s="10">
        <f t="shared" si="3"/>
        <v>18</v>
      </c>
      <c r="F378" s="10">
        <f t="shared" si="4"/>
        <v>93</v>
      </c>
      <c r="G378" s="8" t="str">
        <f t="shared" si="5"/>
        <v xml:space="preserve"> O digital e as redes como mecanismos de inovação na participação pública. </v>
      </c>
      <c r="H378" s="10" t="str">
        <f t="shared" si="6"/>
        <v xml:space="preserve">Gouveia, L. </v>
      </c>
      <c r="I378" s="10" t="str">
        <f t="shared" si="7"/>
        <v xml:space="preserve">Gouveia, L. </v>
      </c>
      <c r="J378" s="10" t="str">
        <f t="shared" si="8"/>
        <v xml:space="preserve">Gouveia, L. </v>
      </c>
      <c r="K378" s="11" t="str">
        <f ca="1">IFERROR(__xludf.DUMMYFUNCTION("SPLIT(J378,"";"")"),"Gouveia, L. ")</f>
        <v xml:space="preserve">Gouveia, L. </v>
      </c>
      <c r="L378" s="10"/>
      <c r="M378" s="10"/>
      <c r="N378" s="10"/>
      <c r="O378" s="10"/>
      <c r="P378" s="10"/>
      <c r="Q378" s="10"/>
      <c r="R378" s="10"/>
      <c r="S378" s="10"/>
      <c r="T378" s="10"/>
      <c r="U378" s="10"/>
      <c r="V378" s="10"/>
      <c r="W378" s="10"/>
      <c r="X378" s="10"/>
      <c r="Y378" s="10"/>
      <c r="Z378" s="10"/>
    </row>
    <row r="379" spans="1:26" ht="17.25" customHeight="1" x14ac:dyDescent="0.3">
      <c r="A379" s="10" t="s">
        <v>512</v>
      </c>
      <c r="B379" s="10">
        <f t="shared" si="0"/>
        <v>37</v>
      </c>
      <c r="C379" s="8" t="str">
        <f t="shared" si="1"/>
        <v xml:space="preserve">Gaio, S.; Gouveia, L. e Gouveia, J. </v>
      </c>
      <c r="D379" s="8" t="str">
        <f t="shared" si="2"/>
        <v>2010</v>
      </c>
      <c r="E379" s="10">
        <f t="shared" si="3"/>
        <v>42</v>
      </c>
      <c r="F379" s="10">
        <f t="shared" si="4"/>
        <v>184</v>
      </c>
      <c r="G379" s="8" t="str">
        <f t="shared" si="5"/>
        <v xml:space="preserve"> A gestão da marca territorial sob uma abordagem colaborativa: notas sobre os casos de Cascais, Guimarães, Paços de Ferreira e Ponte de Lima. </v>
      </c>
      <c r="H379" s="10" t="str">
        <f t="shared" si="6"/>
        <v xml:space="preserve">Gaio, S.; Gouveia, L. e Gouveia, J. </v>
      </c>
      <c r="I379" s="10" t="str">
        <f t="shared" si="7"/>
        <v xml:space="preserve">Gaio, S.; Gouveia, L. e Gouveia, J. </v>
      </c>
      <c r="J379" s="10" t="str">
        <f t="shared" si="8"/>
        <v xml:space="preserve">Gaio, S.; Gouveia, L.;Gouveia, J. </v>
      </c>
      <c r="K379" s="11" t="str">
        <f ca="1">IFERROR(__xludf.DUMMYFUNCTION("SPLIT(J379,"";"")"),"Gaio, S.")</f>
        <v>Gaio, S.</v>
      </c>
      <c r="L379" s="10" t="str">
        <f ca="1">IFERROR(__xludf.DUMMYFUNCTION("""COMPUTED_VALUE""")," Gouveia, L.")</f>
        <v xml:space="preserve"> Gouveia, L.</v>
      </c>
      <c r="M379" s="10" t="str">
        <f ca="1">IFERROR(__xludf.DUMMYFUNCTION("""COMPUTED_VALUE"""),"Gouveia, J. ")</f>
        <v xml:space="preserve">Gouveia, J. </v>
      </c>
      <c r="N379" s="10"/>
      <c r="O379" s="10"/>
      <c r="P379" s="10"/>
      <c r="Q379" s="10"/>
      <c r="R379" s="10"/>
      <c r="S379" s="10"/>
      <c r="T379" s="10"/>
      <c r="U379" s="10"/>
      <c r="V379" s="10"/>
      <c r="W379" s="10"/>
      <c r="X379" s="10"/>
      <c r="Y379" s="10"/>
      <c r="Z379" s="10"/>
    </row>
    <row r="380" spans="1:26" ht="17.25" customHeight="1" x14ac:dyDescent="0.3">
      <c r="A380" s="10" t="s">
        <v>513</v>
      </c>
      <c r="B380" s="10">
        <f t="shared" si="0"/>
        <v>37</v>
      </c>
      <c r="C380" s="8" t="str">
        <f t="shared" si="1"/>
        <v xml:space="preserve">Gaio, S.; Gouveia, L. e Gouveia, J. </v>
      </c>
      <c r="D380" s="8" t="str">
        <f t="shared" si="2"/>
        <v>2008</v>
      </c>
      <c r="E380" s="10">
        <f t="shared" si="3"/>
        <v>42</v>
      </c>
      <c r="F380" s="10">
        <f t="shared" si="4"/>
        <v>132</v>
      </c>
      <c r="G380" s="8" t="str">
        <f t="shared" si="5"/>
        <v xml:space="preserve"> Network Based Branding: Um Modelo Colaborativo para a Edificação de Marcas Territoriais. </v>
      </c>
      <c r="H380" s="10" t="str">
        <f t="shared" si="6"/>
        <v xml:space="preserve">Gaio, S.; Gouveia, L. e Gouveia, J. </v>
      </c>
      <c r="I380" s="10" t="str">
        <f t="shared" si="7"/>
        <v xml:space="preserve">Gaio, S.; Gouveia, L. e Gouveia, J. </v>
      </c>
      <c r="J380" s="10" t="str">
        <f t="shared" si="8"/>
        <v xml:space="preserve">Gaio, S.; Gouveia, L.;Gouveia, J. </v>
      </c>
      <c r="K380" s="11" t="str">
        <f ca="1">IFERROR(__xludf.DUMMYFUNCTION("SPLIT(J380,"";"")"),"Gaio, S.")</f>
        <v>Gaio, S.</v>
      </c>
      <c r="L380" s="10" t="str">
        <f ca="1">IFERROR(__xludf.DUMMYFUNCTION("""COMPUTED_VALUE""")," Gouveia, L.")</f>
        <v xml:space="preserve"> Gouveia, L.</v>
      </c>
      <c r="M380" s="10" t="str">
        <f ca="1">IFERROR(__xludf.DUMMYFUNCTION("""COMPUTED_VALUE"""),"Gouveia, J. ")</f>
        <v xml:space="preserve">Gouveia, J. </v>
      </c>
      <c r="N380" s="10"/>
      <c r="O380" s="10"/>
      <c r="P380" s="10"/>
      <c r="Q380" s="10"/>
      <c r="R380" s="10"/>
      <c r="S380" s="10"/>
      <c r="T380" s="10"/>
      <c r="U380" s="10"/>
      <c r="V380" s="10"/>
      <c r="W380" s="10"/>
      <c r="X380" s="10"/>
      <c r="Y380" s="10"/>
      <c r="Z380" s="10"/>
    </row>
    <row r="381" spans="1:26" ht="17.25" customHeight="1" x14ac:dyDescent="0.3">
      <c r="A381" s="10" t="s">
        <v>514</v>
      </c>
      <c r="B381" s="10">
        <f t="shared" si="0"/>
        <v>27</v>
      </c>
      <c r="C381" s="8" t="str">
        <f t="shared" si="1"/>
        <v xml:space="preserve">Gouveia, L. e Gouveia, J. </v>
      </c>
      <c r="D381" s="8" t="str">
        <f t="shared" si="2"/>
        <v>2008</v>
      </c>
      <c r="E381" s="10">
        <f t="shared" si="3"/>
        <v>32</v>
      </c>
      <c r="F381" s="10">
        <f t="shared" si="4"/>
        <v>125</v>
      </c>
      <c r="G381" s="8" t="str">
        <f t="shared" si="5"/>
        <v xml:space="preserve"> Território e oportunidades de desenvolvimento com recurso a práticas de local e-government. </v>
      </c>
      <c r="H381" s="10" t="str">
        <f t="shared" si="6"/>
        <v xml:space="preserve">Gouveia, L. e Gouveia, J. </v>
      </c>
      <c r="I381" s="10" t="str">
        <f t="shared" si="7"/>
        <v xml:space="preserve">Gouveia, L. e Gouveia, J. </v>
      </c>
      <c r="J381" s="10" t="str">
        <f t="shared" si="8"/>
        <v xml:space="preserve">Gouveia, L.;Gouveia, J. </v>
      </c>
      <c r="K381" s="11" t="str">
        <f ca="1">IFERROR(__xludf.DUMMYFUNCTION("SPLIT(J381,"";"")"),"Gouveia, L.")</f>
        <v>Gouveia, L.</v>
      </c>
      <c r="L381" s="10" t="str">
        <f ca="1">IFERROR(__xludf.DUMMYFUNCTION("""COMPUTED_VALUE"""),"Gouveia, J. ")</f>
        <v xml:space="preserve">Gouveia, J. </v>
      </c>
      <c r="M381" s="10"/>
      <c r="N381" s="10"/>
      <c r="O381" s="10"/>
      <c r="P381" s="10"/>
      <c r="Q381" s="10"/>
      <c r="R381" s="10"/>
      <c r="S381" s="10"/>
      <c r="T381" s="10"/>
      <c r="U381" s="10"/>
      <c r="V381" s="10"/>
      <c r="W381" s="10"/>
      <c r="X381" s="10"/>
      <c r="Y381" s="10"/>
      <c r="Z381" s="10"/>
    </row>
    <row r="382" spans="1:26" ht="17.25" customHeight="1" x14ac:dyDescent="0.3">
      <c r="A382" s="10" t="s">
        <v>515</v>
      </c>
      <c r="B382" s="10">
        <f t="shared" si="0"/>
        <v>26</v>
      </c>
      <c r="C382" s="8" t="str">
        <f t="shared" si="1"/>
        <v xml:space="preserve">Simões, L. e Gouveia, L. </v>
      </c>
      <c r="D382" s="8" t="str">
        <f t="shared" si="2"/>
        <v>2008</v>
      </c>
      <c r="E382" s="10">
        <f t="shared" si="3"/>
        <v>31</v>
      </c>
      <c r="F382" s="10">
        <f t="shared" si="4"/>
        <v>81</v>
      </c>
      <c r="G382" s="8" t="str">
        <f t="shared" si="5"/>
        <v xml:space="preserve"> Consumer Behaviour of the Millennial Generation. </v>
      </c>
      <c r="H382" s="10" t="str">
        <f t="shared" si="6"/>
        <v xml:space="preserve">Simões, L. e Gouveia, L. </v>
      </c>
      <c r="I382" s="10" t="str">
        <f t="shared" si="7"/>
        <v xml:space="preserve">Simões, L. e Gouveia, L. </v>
      </c>
      <c r="J382" s="10" t="str">
        <f t="shared" si="8"/>
        <v xml:space="preserve">Simões, L.;Gouveia, L. </v>
      </c>
      <c r="K382" s="11" t="str">
        <f ca="1">IFERROR(__xludf.DUMMYFUNCTION("SPLIT(J382,"";"")"),"Simões, L.")</f>
        <v>Simões, L.</v>
      </c>
      <c r="L382" s="10" t="str">
        <f ca="1">IFERROR(__xludf.DUMMYFUNCTION("""COMPUTED_VALUE"""),"Gouveia, L. ")</f>
        <v xml:space="preserve">Gouveia, L. </v>
      </c>
      <c r="M382" s="10"/>
      <c r="N382" s="10"/>
      <c r="O382" s="10"/>
      <c r="P382" s="10"/>
      <c r="Q382" s="10"/>
      <c r="R382" s="10"/>
      <c r="S382" s="10"/>
      <c r="T382" s="10"/>
      <c r="U382" s="10"/>
      <c r="V382" s="10"/>
      <c r="W382" s="10"/>
      <c r="X382" s="10"/>
      <c r="Y382" s="10"/>
      <c r="Z382" s="10"/>
    </row>
    <row r="383" spans="1:26" ht="17.25" customHeight="1" x14ac:dyDescent="0.3">
      <c r="A383" s="10" t="s">
        <v>516</v>
      </c>
      <c r="B383" s="10">
        <f t="shared" si="0"/>
        <v>13</v>
      </c>
      <c r="C383" s="8" t="str">
        <f t="shared" si="1"/>
        <v xml:space="preserve">Gouveia, L. </v>
      </c>
      <c r="D383" s="8" t="str">
        <f t="shared" si="2"/>
        <v>2004</v>
      </c>
      <c r="E383" s="10">
        <f t="shared" si="3"/>
        <v>18</v>
      </c>
      <c r="F383" s="10">
        <f t="shared" si="4"/>
        <v>91</v>
      </c>
      <c r="G383" s="8" t="str">
        <f t="shared" si="5"/>
        <v xml:space="preserve"> A administração pública local de base electrónica: questões e desafios.2</v>
      </c>
      <c r="H383" s="10" t="str">
        <f t="shared" si="6"/>
        <v xml:space="preserve">Gouveia, L. </v>
      </c>
      <c r="I383" s="10" t="str">
        <f t="shared" si="7"/>
        <v xml:space="preserve">Gouveia, L. </v>
      </c>
      <c r="J383" s="10" t="str">
        <f t="shared" si="8"/>
        <v xml:space="preserve">Gouveia, L. </v>
      </c>
      <c r="K383" s="11" t="str">
        <f ca="1">IFERROR(__xludf.DUMMYFUNCTION("SPLIT(J383,"";"")"),"Gouveia, L. ")</f>
        <v xml:space="preserve">Gouveia, L. </v>
      </c>
      <c r="L383" s="10"/>
      <c r="M383" s="10"/>
      <c r="N383" s="10"/>
      <c r="O383" s="10"/>
      <c r="P383" s="10"/>
      <c r="Q383" s="10"/>
      <c r="R383" s="10"/>
      <c r="S383" s="10"/>
      <c r="T383" s="10"/>
      <c r="U383" s="10"/>
      <c r="V383" s="10"/>
      <c r="W383" s="10"/>
      <c r="X383" s="10"/>
      <c r="Y383" s="10"/>
      <c r="Z383" s="10"/>
    </row>
    <row r="384" spans="1:26" ht="17.25" customHeight="1" x14ac:dyDescent="0.3">
      <c r="A384" s="10" t="s">
        <v>517</v>
      </c>
      <c r="B384" s="10">
        <f t="shared" si="0"/>
        <v>41</v>
      </c>
      <c r="C384" s="8" t="str">
        <f t="shared" si="1"/>
        <v xml:space="preserve">Xavier, J.; e Gouveia, L. e Gouveia, J. </v>
      </c>
      <c r="D384" s="8" t="str">
        <f t="shared" si="2"/>
        <v>2003</v>
      </c>
      <c r="E384" s="10">
        <f t="shared" si="3"/>
        <v>46</v>
      </c>
      <c r="F384" s="10">
        <f t="shared" si="4"/>
        <v>105</v>
      </c>
      <c r="G384" s="8" t="str">
        <f t="shared" si="5"/>
        <v xml:space="preserve"> Contribuição para a definição de Cidade e Região Digital. </v>
      </c>
      <c r="H384" s="10" t="str">
        <f t="shared" si="6"/>
        <v xml:space="preserve">Xavier, J.; e Gouveia, L. e Gouveia, J. </v>
      </c>
      <c r="I384" s="10" t="str">
        <f t="shared" si="7"/>
        <v xml:space="preserve">Xavier, J.; e Gouveia, L. e Gouveia, J. </v>
      </c>
      <c r="J384" s="10" t="str">
        <f t="shared" si="8"/>
        <v xml:space="preserve">Xavier, J.;;Gouveia, L.;Gouveia, J. </v>
      </c>
      <c r="K384" s="11" t="str">
        <f ca="1">IFERROR(__xludf.DUMMYFUNCTION("SPLIT(J384,"";"")"),"Xavier, J.")</f>
        <v>Xavier, J.</v>
      </c>
      <c r="L384" s="10" t="str">
        <f ca="1">IFERROR(__xludf.DUMMYFUNCTION("""COMPUTED_VALUE"""),"Gouveia, L.")</f>
        <v>Gouveia, L.</v>
      </c>
      <c r="M384" s="10" t="str">
        <f ca="1">IFERROR(__xludf.DUMMYFUNCTION("""COMPUTED_VALUE"""),"Gouveia, J. ")</f>
        <v xml:space="preserve">Gouveia, J. </v>
      </c>
      <c r="N384" s="10"/>
      <c r="O384" s="10"/>
      <c r="P384" s="10"/>
      <c r="Q384" s="10"/>
      <c r="R384" s="10"/>
      <c r="S384" s="10"/>
      <c r="T384" s="10"/>
      <c r="U384" s="10"/>
      <c r="V384" s="10"/>
      <c r="W384" s="10"/>
      <c r="X384" s="10"/>
      <c r="Y384" s="10"/>
      <c r="Z384" s="10"/>
    </row>
    <row r="385" spans="1:26" ht="17.25" customHeight="1" x14ac:dyDescent="0.3">
      <c r="A385" s="10" t="s">
        <v>518</v>
      </c>
      <c r="B385" s="10">
        <f t="shared" si="0"/>
        <v>27</v>
      </c>
      <c r="C385" s="8" t="str">
        <f t="shared" si="1"/>
        <v xml:space="preserve">Gouveia, L. e Gouveia, J. </v>
      </c>
      <c r="D385" s="8" t="str">
        <f t="shared" si="2"/>
        <v>2002</v>
      </c>
      <c r="E385" s="10">
        <f t="shared" si="3"/>
        <v>32</v>
      </c>
      <c r="F385" s="10">
        <f t="shared" si="4"/>
        <v>125</v>
      </c>
      <c r="G385" s="8" t="str">
        <f t="shared" si="5"/>
        <v xml:space="preserve"> Connecting the Real and the Virtual World: a discussion on measuring Digital Cities impact. </v>
      </c>
      <c r="H385" s="10" t="str">
        <f t="shared" si="6"/>
        <v xml:space="preserve">Gouveia, L. e Gouveia, J. </v>
      </c>
      <c r="I385" s="10" t="str">
        <f t="shared" si="7"/>
        <v xml:space="preserve">Gouveia, L. e Gouveia, J. </v>
      </c>
      <c r="J385" s="10" t="str">
        <f t="shared" si="8"/>
        <v xml:space="preserve">Gouveia, L.;Gouveia, J. </v>
      </c>
      <c r="K385" s="11" t="str">
        <f ca="1">IFERROR(__xludf.DUMMYFUNCTION("SPLIT(J385,"";"")"),"Gouveia, L.")</f>
        <v>Gouveia, L.</v>
      </c>
      <c r="L385" s="10" t="str">
        <f ca="1">IFERROR(__xludf.DUMMYFUNCTION("""COMPUTED_VALUE"""),"Gouveia, J. ")</f>
        <v xml:space="preserve">Gouveia, J. </v>
      </c>
      <c r="M385" s="10"/>
      <c r="N385" s="10"/>
      <c r="O385" s="10"/>
      <c r="P385" s="10"/>
      <c r="Q385" s="10"/>
      <c r="R385" s="10"/>
      <c r="S385" s="10"/>
      <c r="T385" s="10"/>
      <c r="U385" s="10"/>
      <c r="V385" s="10"/>
      <c r="W385" s="10"/>
      <c r="X385" s="10"/>
      <c r="Y385" s="10"/>
      <c r="Z385" s="10"/>
    </row>
    <row r="386" spans="1:26" ht="17.25" customHeight="1" x14ac:dyDescent="0.3">
      <c r="A386" s="10" t="s">
        <v>519</v>
      </c>
      <c r="B386" s="10">
        <f t="shared" si="0"/>
        <v>13</v>
      </c>
      <c r="C386" s="8" t="str">
        <f t="shared" si="1"/>
        <v xml:space="preserve">Gouveia, L. </v>
      </c>
      <c r="D386" s="8" t="str">
        <f t="shared" si="2"/>
        <v>2001</v>
      </c>
      <c r="E386" s="10">
        <f t="shared" si="3"/>
        <v>18</v>
      </c>
      <c r="F386" s="10">
        <f t="shared" si="4"/>
        <v>63</v>
      </c>
      <c r="G386" s="8" t="str">
        <f t="shared" si="5"/>
        <v xml:space="preserve"> Virtual Environments and Knowledge Sharing. </v>
      </c>
      <c r="H386" s="10" t="str">
        <f t="shared" si="6"/>
        <v xml:space="preserve">Gouveia, L. </v>
      </c>
      <c r="I386" s="10" t="str">
        <f t="shared" si="7"/>
        <v xml:space="preserve">Gouveia, L. </v>
      </c>
      <c r="J386" s="10" t="str">
        <f t="shared" si="8"/>
        <v xml:space="preserve">Gouveia, L. </v>
      </c>
      <c r="K386" s="11" t="str">
        <f ca="1">IFERROR(__xludf.DUMMYFUNCTION("SPLIT(J386,"";"")"),"Gouveia, L. ")</f>
        <v xml:space="preserve">Gouveia, L. </v>
      </c>
      <c r="L386" s="10"/>
      <c r="M386" s="10"/>
      <c r="N386" s="10"/>
      <c r="O386" s="10"/>
      <c r="P386" s="10"/>
      <c r="Q386" s="10"/>
      <c r="R386" s="10"/>
      <c r="S386" s="10"/>
      <c r="T386" s="10"/>
      <c r="U386" s="10"/>
      <c r="V386" s="10"/>
      <c r="W386" s="10"/>
      <c r="X386" s="10"/>
      <c r="Y386" s="10"/>
      <c r="Z386" s="10"/>
    </row>
    <row r="387" spans="1:26" ht="17.25" customHeight="1" x14ac:dyDescent="0.3">
      <c r="A387" s="10" t="s">
        <v>520</v>
      </c>
      <c r="B387" s="10">
        <f t="shared" si="0"/>
        <v>27</v>
      </c>
      <c r="C387" s="8" t="str">
        <f t="shared" si="1"/>
        <v xml:space="preserve">Gouveia, F. e Gouveia, L. </v>
      </c>
      <c r="D387" s="8" t="str">
        <f t="shared" si="2"/>
        <v>2001</v>
      </c>
      <c r="E387" s="10">
        <f t="shared" si="3"/>
        <v>32</v>
      </c>
      <c r="F387" s="10">
        <f t="shared" si="4"/>
        <v>71</v>
      </c>
      <c r="G387" s="8" t="str">
        <f t="shared" si="5"/>
        <v xml:space="preserve"> O património cultural como um activo. </v>
      </c>
      <c r="H387" s="10" t="str">
        <f t="shared" si="6"/>
        <v xml:space="preserve">Gouveia, F. e Gouveia, L. </v>
      </c>
      <c r="I387" s="10" t="str">
        <f t="shared" si="7"/>
        <v xml:space="preserve">Gouveia, F. e Gouveia, L. </v>
      </c>
      <c r="J387" s="10" t="str">
        <f t="shared" si="8"/>
        <v xml:space="preserve">Gouveia, F.;Gouveia, L. </v>
      </c>
      <c r="K387" s="11" t="str">
        <f ca="1">IFERROR(__xludf.DUMMYFUNCTION("SPLIT(J387,"";"")"),"Gouveia, F.")</f>
        <v>Gouveia, F.</v>
      </c>
      <c r="L387" s="10" t="str">
        <f ca="1">IFERROR(__xludf.DUMMYFUNCTION("""COMPUTED_VALUE"""),"Gouveia, L. ")</f>
        <v xml:space="preserve">Gouveia, L. </v>
      </c>
      <c r="M387" s="10"/>
      <c r="N387" s="10"/>
      <c r="O387" s="10"/>
      <c r="P387" s="10"/>
      <c r="Q387" s="10"/>
      <c r="R387" s="10"/>
      <c r="S387" s="10"/>
      <c r="T387" s="10"/>
      <c r="U387" s="10"/>
      <c r="V387" s="10"/>
      <c r="W387" s="10"/>
      <c r="X387" s="10"/>
      <c r="Y387" s="10"/>
      <c r="Z387" s="10"/>
    </row>
    <row r="388" spans="1:26" ht="17.25" customHeight="1" x14ac:dyDescent="0.3">
      <c r="A388" s="10" t="s">
        <v>521</v>
      </c>
      <c r="B388" s="10">
        <f t="shared" si="0"/>
        <v>27</v>
      </c>
      <c r="C388" s="8" t="str">
        <f t="shared" si="1"/>
        <v xml:space="preserve">Gouveia, L. e Gouveia, J. </v>
      </c>
      <c r="D388" s="8" t="str">
        <f t="shared" si="2"/>
        <v>2001</v>
      </c>
      <c r="E388" s="10">
        <f t="shared" si="3"/>
        <v>32</v>
      </c>
      <c r="F388" s="10">
        <f t="shared" si="4"/>
        <v>119</v>
      </c>
      <c r="G388" s="8" t="str">
        <f t="shared" si="5"/>
        <v xml:space="preserve"> E-learning: uma perspectiva sobre o ensino, formação e treino mediado por computador. </v>
      </c>
      <c r="H388" s="10" t="str">
        <f t="shared" si="6"/>
        <v xml:space="preserve">Gouveia, L. e Gouveia, J. </v>
      </c>
      <c r="I388" s="10" t="str">
        <f t="shared" si="7"/>
        <v xml:space="preserve">Gouveia, L. e Gouveia, J. </v>
      </c>
      <c r="J388" s="10" t="str">
        <f t="shared" si="8"/>
        <v xml:space="preserve">Gouveia, L.;Gouveia, J. </v>
      </c>
      <c r="K388" s="11" t="str">
        <f ca="1">IFERROR(__xludf.DUMMYFUNCTION("SPLIT(J388,"";"")"),"Gouveia, L.")</f>
        <v>Gouveia, L.</v>
      </c>
      <c r="L388" s="10" t="str">
        <f ca="1">IFERROR(__xludf.DUMMYFUNCTION("""COMPUTED_VALUE"""),"Gouveia, J. ")</f>
        <v xml:space="preserve">Gouveia, J. </v>
      </c>
      <c r="M388" s="10"/>
      <c r="N388" s="10"/>
      <c r="O388" s="10"/>
      <c r="P388" s="10"/>
      <c r="Q388" s="10"/>
      <c r="R388" s="10"/>
      <c r="S388" s="10"/>
      <c r="T388" s="10"/>
      <c r="U388" s="10"/>
      <c r="V388" s="10"/>
      <c r="W388" s="10"/>
      <c r="X388" s="10"/>
      <c r="Y388" s="10"/>
      <c r="Z388" s="10"/>
    </row>
    <row r="389" spans="1:26" ht="17.25" customHeight="1" x14ac:dyDescent="0.3">
      <c r="A389" s="10" t="s">
        <v>522</v>
      </c>
      <c r="B389" s="10">
        <f t="shared" si="0"/>
        <v>40</v>
      </c>
      <c r="C389" s="8" t="str">
        <f t="shared" si="1"/>
        <v xml:space="preserve">Gouveia, J.; Restivo, F. e Gouveia, L. </v>
      </c>
      <c r="D389" s="8" t="str">
        <f t="shared" si="2"/>
        <v>1999</v>
      </c>
      <c r="E389" s="10">
        <f t="shared" si="3"/>
        <v>45</v>
      </c>
      <c r="F389" s="10">
        <f t="shared" si="4"/>
        <v>102</v>
      </c>
      <c r="G389" s="8" t="str">
        <f t="shared" si="5"/>
        <v xml:space="preserve"> Integração e Convergência no Ensino, Formação e Treino. </v>
      </c>
      <c r="H389" s="10" t="str">
        <f t="shared" si="6"/>
        <v xml:space="preserve">Gouveia, J.; Restivo, F. e Gouveia, L. </v>
      </c>
      <c r="I389" s="10" t="str">
        <f t="shared" si="7"/>
        <v xml:space="preserve">Gouveia, J.; Restivo, F. e Gouveia, L. </v>
      </c>
      <c r="J389" s="10" t="str">
        <f t="shared" si="8"/>
        <v xml:space="preserve">Gouveia, J.; Restivo, F.;Gouveia, L. </v>
      </c>
      <c r="K389" s="11" t="str">
        <f ca="1">IFERROR(__xludf.DUMMYFUNCTION("SPLIT(J389,"";"")"),"Gouveia, J.")</f>
        <v>Gouveia, J.</v>
      </c>
      <c r="L389" s="10" t="str">
        <f ca="1">IFERROR(__xludf.DUMMYFUNCTION("""COMPUTED_VALUE""")," Restivo, F.")</f>
        <v xml:space="preserve"> Restivo, F.</v>
      </c>
      <c r="M389" s="10" t="str">
        <f ca="1">IFERROR(__xludf.DUMMYFUNCTION("""COMPUTED_VALUE"""),"Gouveia, L. ")</f>
        <v xml:space="preserve">Gouveia, L. </v>
      </c>
      <c r="N389" s="10"/>
      <c r="O389" s="10"/>
      <c r="P389" s="10"/>
      <c r="Q389" s="10"/>
      <c r="R389" s="10"/>
      <c r="S389" s="10"/>
      <c r="T389" s="10"/>
      <c r="U389" s="10"/>
      <c r="V389" s="10"/>
      <c r="W389" s="10"/>
      <c r="X389" s="10"/>
      <c r="Y389" s="10"/>
      <c r="Z389" s="10"/>
    </row>
    <row r="390" spans="1:26" ht="17.25" customHeight="1" x14ac:dyDescent="0.3">
      <c r="A390" s="10" t="s">
        <v>523</v>
      </c>
      <c r="B390" s="10">
        <f t="shared" si="0"/>
        <v>38</v>
      </c>
      <c r="C390" s="8" t="str">
        <f t="shared" si="1"/>
        <v xml:space="preserve">Lamas, D.; Gouveia, F. e Gouveia, L. </v>
      </c>
      <c r="D390" s="8" t="str">
        <f t="shared" si="2"/>
        <v>1999</v>
      </c>
      <c r="E390" s="10">
        <f t="shared" si="3"/>
        <v>43</v>
      </c>
      <c r="F390" s="10">
        <f t="shared" si="4"/>
        <v>98</v>
      </c>
      <c r="G390" s="8" t="str">
        <f t="shared" si="5"/>
        <v xml:space="preserve"> O Símbolo e a Interactividade no uso de computadores. </v>
      </c>
      <c r="H390" s="10" t="str">
        <f t="shared" si="6"/>
        <v xml:space="preserve">Lamas, D.; Gouveia, F. e Gouveia, L. </v>
      </c>
      <c r="I390" s="10" t="str">
        <f t="shared" si="7"/>
        <v xml:space="preserve">Lamas, D.; Gouveia, F. e Gouveia, L. </v>
      </c>
      <c r="J390" s="10" t="str">
        <f t="shared" si="8"/>
        <v xml:space="preserve">Lamas, D.; Gouveia, F.;Gouveia, L. </v>
      </c>
      <c r="K390" s="11" t="str">
        <f ca="1">IFERROR(__xludf.DUMMYFUNCTION("SPLIT(J390,"";"")"),"Lamas, D.")</f>
        <v>Lamas, D.</v>
      </c>
      <c r="L390" s="10" t="str">
        <f ca="1">IFERROR(__xludf.DUMMYFUNCTION("""COMPUTED_VALUE""")," Gouveia, F.")</f>
        <v xml:space="preserve"> Gouveia, F.</v>
      </c>
      <c r="M390" s="10" t="str">
        <f ca="1">IFERROR(__xludf.DUMMYFUNCTION("""COMPUTED_VALUE"""),"Gouveia, L. ")</f>
        <v xml:space="preserve">Gouveia, L. </v>
      </c>
      <c r="N390" s="10"/>
      <c r="O390" s="10"/>
      <c r="P390" s="10"/>
      <c r="Q390" s="10"/>
      <c r="R390" s="10"/>
      <c r="S390" s="10"/>
      <c r="T390" s="10"/>
      <c r="U390" s="10"/>
      <c r="V390" s="10"/>
      <c r="W390" s="10"/>
      <c r="X390" s="10"/>
      <c r="Y390" s="10"/>
      <c r="Z390" s="10"/>
    </row>
    <row r="391" spans="1:26" ht="17.25" customHeight="1" x14ac:dyDescent="0.3">
      <c r="A391" s="10" t="s">
        <v>524</v>
      </c>
      <c r="B391" s="10">
        <f t="shared" si="0"/>
        <v>13</v>
      </c>
      <c r="C391" s="8" t="str">
        <f t="shared" si="1"/>
        <v xml:space="preserve">Gouveia, L. </v>
      </c>
      <c r="D391" s="8" t="str">
        <f t="shared" si="2"/>
        <v>1998</v>
      </c>
      <c r="E391" s="10">
        <f t="shared" si="3"/>
        <v>18</v>
      </c>
      <c r="F391" s="10">
        <f t="shared" si="4"/>
        <v>87</v>
      </c>
      <c r="G391" s="8" t="str">
        <f t="shared" si="5"/>
        <v xml:space="preserve"> Uma proposta para a avaliação e diagnóstico mediada por computador. </v>
      </c>
      <c r="H391" s="10" t="str">
        <f t="shared" si="6"/>
        <v xml:space="preserve">Gouveia, L. </v>
      </c>
      <c r="I391" s="10" t="str">
        <f t="shared" si="7"/>
        <v xml:space="preserve">Gouveia, L. </v>
      </c>
      <c r="J391" s="10" t="str">
        <f t="shared" si="8"/>
        <v xml:space="preserve">Gouveia, L. </v>
      </c>
      <c r="K391" s="11" t="str">
        <f ca="1">IFERROR(__xludf.DUMMYFUNCTION("SPLIT(J391,"";"")"),"Gouveia, L. ")</f>
        <v xml:space="preserve">Gouveia, L. </v>
      </c>
      <c r="L391" s="10"/>
      <c r="M391" s="10"/>
      <c r="N391" s="10"/>
      <c r="O391" s="10"/>
      <c r="P391" s="10"/>
      <c r="Q391" s="10"/>
      <c r="R391" s="10"/>
      <c r="S391" s="10"/>
      <c r="T391" s="10"/>
      <c r="U391" s="10"/>
      <c r="V391" s="10"/>
      <c r="W391" s="10"/>
      <c r="X391" s="10"/>
      <c r="Y391" s="10"/>
      <c r="Z391" s="10"/>
    </row>
    <row r="392" spans="1:26" ht="17.25" customHeight="1" x14ac:dyDescent="0.3">
      <c r="A392" s="10" t="s">
        <v>525</v>
      </c>
      <c r="B392" s="10">
        <f t="shared" si="0"/>
        <v>27</v>
      </c>
      <c r="C392" s="8" t="str">
        <f t="shared" si="1"/>
        <v xml:space="preserve">Camacho, L. e Gouveia, L. </v>
      </c>
      <c r="D392" s="8" t="str">
        <f t="shared" si="2"/>
        <v>1998</v>
      </c>
      <c r="E392" s="10">
        <f t="shared" si="3"/>
        <v>32</v>
      </c>
      <c r="F392" s="10">
        <f t="shared" si="4"/>
        <v>80</v>
      </c>
      <c r="G392" s="8" t="str">
        <f t="shared" si="5"/>
        <v xml:space="preserve"> Criação de espaços de informação interactivos. </v>
      </c>
      <c r="H392" s="10" t="str">
        <f t="shared" si="6"/>
        <v xml:space="preserve">Camacho, L. e Gouveia, L. </v>
      </c>
      <c r="I392" s="10" t="str">
        <f t="shared" si="7"/>
        <v xml:space="preserve">Camacho, L. e Gouveia, L. </v>
      </c>
      <c r="J392" s="10" t="str">
        <f t="shared" si="8"/>
        <v xml:space="preserve">Camacho, L.;Gouveia, L. </v>
      </c>
      <c r="K392" s="11" t="str">
        <f ca="1">IFERROR(__xludf.DUMMYFUNCTION("SPLIT(J392,"";"")"),"Camacho, L.")</f>
        <v>Camacho, L.</v>
      </c>
      <c r="L392" s="10" t="str">
        <f ca="1">IFERROR(__xludf.DUMMYFUNCTION("""COMPUTED_VALUE"""),"Gouveia, L. ")</f>
        <v xml:space="preserve">Gouveia, L. </v>
      </c>
      <c r="M392" s="10"/>
      <c r="N392" s="10"/>
      <c r="O392" s="10"/>
      <c r="P392" s="10"/>
      <c r="Q392" s="10"/>
      <c r="R392" s="10"/>
      <c r="S392" s="10"/>
      <c r="T392" s="10"/>
      <c r="U392" s="10"/>
      <c r="V392" s="10"/>
      <c r="W392" s="10"/>
      <c r="X392" s="10"/>
      <c r="Y392" s="10"/>
      <c r="Z392" s="10"/>
    </row>
    <row r="393" spans="1:26" ht="17.25" customHeight="1" x14ac:dyDescent="0.3">
      <c r="A393" s="10" t="s">
        <v>526</v>
      </c>
      <c r="B393" s="10">
        <f t="shared" si="0"/>
        <v>13</v>
      </c>
      <c r="C393" s="8" t="str">
        <f t="shared" si="1"/>
        <v xml:space="preserve">Gouveia, L. </v>
      </c>
      <c r="D393" s="8" t="str">
        <f t="shared" si="2"/>
        <v>1998</v>
      </c>
      <c r="E393" s="10">
        <f t="shared" si="3"/>
        <v>18</v>
      </c>
      <c r="F393" s="10">
        <f t="shared" si="4"/>
        <v>163</v>
      </c>
      <c r="G393" s="8" t="str">
        <f t="shared" si="5"/>
        <v xml:space="preserve"> Será a Internet/Intranet uma plataforma viável para a sala de aula? Lições retiradas do uso de computadores portáteis e da web em sala de aula. </v>
      </c>
      <c r="H393" s="10" t="str">
        <f t="shared" si="6"/>
        <v xml:space="preserve">Gouveia, L. </v>
      </c>
      <c r="I393" s="10" t="str">
        <f t="shared" si="7"/>
        <v xml:space="preserve">Gouveia, L. </v>
      </c>
      <c r="J393" s="10" t="str">
        <f t="shared" si="8"/>
        <v xml:space="preserve">Gouveia, L. </v>
      </c>
      <c r="K393" s="11" t="str">
        <f ca="1">IFERROR(__xludf.DUMMYFUNCTION("SPLIT(J393,"";"")"),"Gouveia, L. ")</f>
        <v xml:space="preserve">Gouveia, L. </v>
      </c>
      <c r="L393" s="10"/>
      <c r="M393" s="10"/>
      <c r="N393" s="10"/>
      <c r="O393" s="10"/>
      <c r="P393" s="10"/>
      <c r="Q393" s="10"/>
      <c r="R393" s="10"/>
      <c r="S393" s="10"/>
      <c r="T393" s="10"/>
      <c r="U393" s="10"/>
      <c r="V393" s="10"/>
      <c r="W393" s="10"/>
      <c r="X393" s="10"/>
      <c r="Y393" s="10"/>
      <c r="Z393" s="10"/>
    </row>
    <row r="394" spans="1:26" ht="17.25" customHeight="1" x14ac:dyDescent="0.3">
      <c r="A394" s="10" t="s">
        <v>527</v>
      </c>
      <c r="B394" s="10">
        <f t="shared" si="0"/>
        <v>13</v>
      </c>
      <c r="C394" s="8" t="str">
        <f t="shared" si="1"/>
        <v xml:space="preserve">Gouveia, L. </v>
      </c>
      <c r="D394" s="8" t="str">
        <f t="shared" si="2"/>
        <v>1996</v>
      </c>
      <c r="E394" s="10">
        <f t="shared" si="3"/>
        <v>18</v>
      </c>
      <c r="F394" s="10">
        <f t="shared" si="4"/>
        <v>116</v>
      </c>
      <c r="G394" s="8" t="str">
        <f t="shared" si="5"/>
        <v xml:space="preserve"> Utilização de Computadores Portáteis em ambiente universitário: reflexão inicial e perspectivas. </v>
      </c>
      <c r="H394" s="10" t="str">
        <f t="shared" si="6"/>
        <v xml:space="preserve">Gouveia, L. </v>
      </c>
      <c r="I394" s="10" t="str">
        <f t="shared" si="7"/>
        <v xml:space="preserve">Gouveia, L. </v>
      </c>
      <c r="J394" s="10" t="str">
        <f t="shared" si="8"/>
        <v xml:space="preserve">Gouveia, L. </v>
      </c>
      <c r="K394" s="11" t="str">
        <f ca="1">IFERROR(__xludf.DUMMYFUNCTION("SPLIT(J394,"";"")"),"Gouveia, L. ")</f>
        <v xml:space="preserve">Gouveia, L. </v>
      </c>
      <c r="L394" s="10"/>
      <c r="M394" s="10"/>
      <c r="N394" s="10"/>
      <c r="O394" s="10"/>
      <c r="P394" s="10"/>
      <c r="Q394" s="10"/>
      <c r="R394" s="10"/>
      <c r="S394" s="10"/>
      <c r="T394" s="10"/>
      <c r="U394" s="10"/>
      <c r="V394" s="10"/>
      <c r="W394" s="10"/>
      <c r="X394" s="10"/>
      <c r="Y394" s="10"/>
      <c r="Z394" s="10"/>
    </row>
    <row r="395" spans="1:26" ht="17.25" customHeight="1" x14ac:dyDescent="0.3">
      <c r="A395" s="10" t="s">
        <v>528</v>
      </c>
      <c r="B395" s="10" t="e">
        <f t="shared" si="0"/>
        <v>#VALUE!</v>
      </c>
      <c r="C395" s="8" t="e">
        <f t="shared" si="1"/>
        <v>#VALUE!</v>
      </c>
      <c r="D395" s="8" t="e">
        <f t="shared" si="2"/>
        <v>#VALUE!</v>
      </c>
      <c r="E395" s="10" t="e">
        <f t="shared" si="3"/>
        <v>#VALUE!</v>
      </c>
      <c r="F395" s="10" t="e">
        <f t="shared" si="4"/>
        <v>#VALUE!</v>
      </c>
      <c r="G395" s="8" t="e">
        <f t="shared" si="5"/>
        <v>#VALUE!</v>
      </c>
      <c r="H395" s="10" t="e">
        <f t="shared" si="6"/>
        <v>#VALUE!</v>
      </c>
      <c r="I395" s="10" t="e">
        <f t="shared" si="7"/>
        <v>#VALUE!</v>
      </c>
      <c r="J395" s="10" t="e">
        <f t="shared" si="8"/>
        <v>#VALUE!</v>
      </c>
      <c r="K395" s="11" t="str">
        <f ca="1">IFERROR(__xludf.DUMMYFUNCTION("SPLIT(J395,"";"")"),"#VALUE!")</f>
        <v>#VALUE!</v>
      </c>
      <c r="L395" s="10"/>
      <c r="M395" s="10"/>
      <c r="N395" s="10"/>
      <c r="O395" s="10"/>
      <c r="P395" s="10"/>
      <c r="Q395" s="10"/>
      <c r="R395" s="10"/>
      <c r="S395" s="10"/>
      <c r="T395" s="10"/>
      <c r="U395" s="10"/>
      <c r="V395" s="10"/>
      <c r="W395" s="10"/>
      <c r="X395" s="10"/>
      <c r="Y395" s="10"/>
      <c r="Z395" s="10"/>
    </row>
    <row r="396" spans="1:26" ht="17.25" customHeight="1" x14ac:dyDescent="0.3">
      <c r="A396" s="10" t="s">
        <v>529</v>
      </c>
      <c r="B396" s="10" t="e">
        <f t="shared" si="0"/>
        <v>#VALUE!</v>
      </c>
      <c r="C396" s="8" t="e">
        <f t="shared" si="1"/>
        <v>#VALUE!</v>
      </c>
      <c r="D396" s="8" t="e">
        <f t="shared" si="2"/>
        <v>#VALUE!</v>
      </c>
      <c r="E396" s="10" t="e">
        <f t="shared" si="3"/>
        <v>#VALUE!</v>
      </c>
      <c r="F396" s="10" t="e">
        <f t="shared" si="4"/>
        <v>#VALUE!</v>
      </c>
      <c r="G396" s="8" t="e">
        <f t="shared" si="5"/>
        <v>#VALUE!</v>
      </c>
      <c r="H396" s="10" t="e">
        <f t="shared" si="6"/>
        <v>#VALUE!</v>
      </c>
      <c r="I396" s="10" t="e">
        <f t="shared" si="7"/>
        <v>#VALUE!</v>
      </c>
      <c r="J396" s="10" t="e">
        <f t="shared" si="8"/>
        <v>#VALUE!</v>
      </c>
      <c r="K396" s="11" t="str">
        <f ca="1">IFERROR(__xludf.DUMMYFUNCTION("SPLIT(J396,"";"")"),"#VALUE!")</f>
        <v>#VALUE!</v>
      </c>
      <c r="L396" s="10"/>
      <c r="M396" s="10"/>
      <c r="N396" s="10"/>
      <c r="O396" s="10"/>
      <c r="P396" s="10"/>
      <c r="Q396" s="10"/>
      <c r="R396" s="10"/>
      <c r="S396" s="10"/>
      <c r="T396" s="10"/>
      <c r="U396" s="10"/>
      <c r="V396" s="10"/>
      <c r="W396" s="10"/>
      <c r="X396" s="10"/>
      <c r="Y396" s="10"/>
      <c r="Z396" s="10"/>
    </row>
    <row r="397" spans="1:26" ht="17.25" customHeight="1" x14ac:dyDescent="0.3">
      <c r="A397" s="10" t="s">
        <v>530</v>
      </c>
      <c r="B397" s="10">
        <f t="shared" si="0"/>
        <v>13</v>
      </c>
      <c r="C397" s="8" t="str">
        <f t="shared" si="1"/>
        <v xml:space="preserve">Gouveia, L. </v>
      </c>
      <c r="D397" s="8" t="str">
        <f t="shared" si="2"/>
        <v>2020</v>
      </c>
      <c r="E397" s="10">
        <f t="shared" si="3"/>
        <v>18</v>
      </c>
      <c r="F397" s="10">
        <f t="shared" si="4"/>
        <v>117</v>
      </c>
      <c r="G397" s="8" t="str">
        <f t="shared" si="5"/>
        <v xml:space="preserve"> e-Government and Smart Cities: Contexts and Challenges Taking from Digital Usage and Exploration. </v>
      </c>
      <c r="H397" s="10" t="str">
        <f t="shared" si="6"/>
        <v xml:space="preserve">Gouveia, L. </v>
      </c>
      <c r="I397" s="10" t="str">
        <f t="shared" si="7"/>
        <v xml:space="preserve">Gouveia, L. </v>
      </c>
      <c r="J397" s="10" t="str">
        <f t="shared" si="8"/>
        <v xml:space="preserve">Gouveia, L. </v>
      </c>
      <c r="K397" s="11" t="str">
        <f ca="1">IFERROR(__xludf.DUMMYFUNCTION("SPLIT(J397,"";"")"),"Gouveia, L. ")</f>
        <v xml:space="preserve">Gouveia, L. </v>
      </c>
      <c r="L397" s="10"/>
      <c r="M397" s="10"/>
      <c r="N397" s="10"/>
      <c r="O397" s="10"/>
      <c r="P397" s="10"/>
      <c r="Q397" s="10"/>
      <c r="R397" s="10"/>
      <c r="S397" s="10"/>
      <c r="T397" s="10"/>
      <c r="U397" s="10"/>
      <c r="V397" s="10"/>
      <c r="W397" s="10"/>
      <c r="X397" s="10"/>
      <c r="Y397" s="10"/>
      <c r="Z397" s="10"/>
    </row>
    <row r="398" spans="1:26" ht="17.25" customHeight="1" x14ac:dyDescent="0.3">
      <c r="A398" s="10" t="s">
        <v>531</v>
      </c>
      <c r="B398" s="10">
        <f t="shared" si="0"/>
        <v>13</v>
      </c>
      <c r="C398" s="8" t="str">
        <f t="shared" si="1"/>
        <v xml:space="preserve">Gouveia, L. </v>
      </c>
      <c r="D398" s="8" t="str">
        <f t="shared" si="2"/>
        <v>2019</v>
      </c>
      <c r="E398" s="10">
        <f t="shared" si="3"/>
        <v>18</v>
      </c>
      <c r="F398" s="10">
        <f t="shared" si="4"/>
        <v>64</v>
      </c>
      <c r="G398" s="8" t="str">
        <f t="shared" si="5"/>
        <v xml:space="preserve"> Cibersegurança e proteção do espaço digital. </v>
      </c>
      <c r="H398" s="10" t="str">
        <f t="shared" si="6"/>
        <v xml:space="preserve">Gouveia, L. </v>
      </c>
      <c r="I398" s="10" t="str">
        <f t="shared" si="7"/>
        <v xml:space="preserve">Gouveia, L. </v>
      </c>
      <c r="J398" s="10" t="str">
        <f t="shared" si="8"/>
        <v xml:space="preserve">Gouveia, L. </v>
      </c>
      <c r="K398" s="11" t="str">
        <f ca="1">IFERROR(__xludf.DUMMYFUNCTION("SPLIT(J398,"";"")"),"Gouveia, L. ")</f>
        <v xml:space="preserve">Gouveia, L. </v>
      </c>
      <c r="L398" s="10"/>
      <c r="M398" s="10"/>
      <c r="N398" s="10"/>
      <c r="O398" s="10"/>
      <c r="P398" s="10"/>
      <c r="Q398" s="10"/>
      <c r="R398" s="10"/>
      <c r="S398" s="10"/>
      <c r="T398" s="10"/>
      <c r="U398" s="10"/>
      <c r="V398" s="10"/>
      <c r="W398" s="10"/>
      <c r="X398" s="10"/>
      <c r="Y398" s="10"/>
      <c r="Z398" s="10"/>
    </row>
    <row r="399" spans="1:26" ht="17.25" customHeight="1" x14ac:dyDescent="0.3">
      <c r="A399" s="10" t="s">
        <v>532</v>
      </c>
      <c r="B399" s="10">
        <f t="shared" si="0"/>
        <v>13</v>
      </c>
      <c r="C399" s="8" t="str">
        <f t="shared" si="1"/>
        <v xml:space="preserve">Gouveia, L. </v>
      </c>
      <c r="D399" s="8" t="str">
        <f t="shared" si="2"/>
        <v>2019</v>
      </c>
      <c r="E399" s="10">
        <f t="shared" si="3"/>
        <v>18</v>
      </c>
      <c r="F399" s="10">
        <f t="shared" si="4"/>
        <v>102</v>
      </c>
      <c r="G399" s="8" t="str">
        <f t="shared" si="5"/>
        <v xml:space="preserve"> A gestão da informação no tempo do digital: pessoas, dados e plataformas digitais. </v>
      </c>
      <c r="H399" s="10" t="str">
        <f t="shared" si="6"/>
        <v xml:space="preserve">Gouveia, L. </v>
      </c>
      <c r="I399" s="10" t="str">
        <f t="shared" si="7"/>
        <v xml:space="preserve">Gouveia, L. </v>
      </c>
      <c r="J399" s="10" t="str">
        <f t="shared" si="8"/>
        <v xml:space="preserve">Gouveia, L. </v>
      </c>
      <c r="K399" s="11" t="str">
        <f ca="1">IFERROR(__xludf.DUMMYFUNCTION("SPLIT(J399,"";"")"),"Gouveia, L. ")</f>
        <v xml:space="preserve">Gouveia, L. </v>
      </c>
      <c r="L399" s="10"/>
      <c r="M399" s="10"/>
      <c r="N399" s="10"/>
      <c r="O399" s="10"/>
      <c r="P399" s="10"/>
      <c r="Q399" s="10"/>
      <c r="R399" s="10"/>
      <c r="S399" s="10"/>
      <c r="T399" s="10"/>
      <c r="U399" s="10"/>
      <c r="V399" s="10"/>
      <c r="W399" s="10"/>
      <c r="X399" s="10"/>
      <c r="Y399" s="10"/>
      <c r="Z399" s="10"/>
    </row>
    <row r="400" spans="1:26" ht="17.25" customHeight="1" x14ac:dyDescent="0.3">
      <c r="A400" s="10" t="s">
        <v>533</v>
      </c>
      <c r="B400" s="10">
        <f t="shared" si="0"/>
        <v>13</v>
      </c>
      <c r="C400" s="8" t="str">
        <f t="shared" si="1"/>
        <v xml:space="preserve">Gouveia, L. </v>
      </c>
      <c r="D400" s="8" t="str">
        <f t="shared" si="2"/>
        <v>2019</v>
      </c>
      <c r="E400" s="10">
        <f t="shared" si="3"/>
        <v>18</v>
      </c>
      <c r="F400" s="10">
        <f t="shared" si="4"/>
        <v>76</v>
      </c>
      <c r="G400" s="8" t="str">
        <f t="shared" si="5"/>
        <v xml:space="preserve"> Liderança Digital e as novas plataformas de colaboração. </v>
      </c>
      <c r="H400" s="10" t="str">
        <f t="shared" si="6"/>
        <v xml:space="preserve">Gouveia, L. </v>
      </c>
      <c r="I400" s="10" t="str">
        <f t="shared" si="7"/>
        <v xml:space="preserve">Gouveia, L. </v>
      </c>
      <c r="J400" s="10" t="str">
        <f t="shared" si="8"/>
        <v xml:space="preserve">Gouveia, L. </v>
      </c>
      <c r="K400" s="11" t="str">
        <f ca="1">IFERROR(__xludf.DUMMYFUNCTION("SPLIT(J400,"";"")"),"Gouveia, L. ")</f>
        <v xml:space="preserve">Gouveia, L. </v>
      </c>
      <c r="L400" s="10"/>
      <c r="M400" s="10"/>
      <c r="N400" s="10"/>
      <c r="O400" s="10"/>
      <c r="P400" s="10"/>
      <c r="Q400" s="10"/>
      <c r="R400" s="10"/>
      <c r="S400" s="10"/>
      <c r="T400" s="10"/>
      <c r="U400" s="10"/>
      <c r="V400" s="10"/>
      <c r="W400" s="10"/>
      <c r="X400" s="10"/>
      <c r="Y400" s="10"/>
      <c r="Z400" s="10"/>
    </row>
    <row r="401" spans="1:26" ht="17.25" customHeight="1" x14ac:dyDescent="0.3">
      <c r="A401" s="10" t="s">
        <v>534</v>
      </c>
      <c r="B401" s="10">
        <f t="shared" si="0"/>
        <v>13</v>
      </c>
      <c r="C401" s="8" t="str">
        <f t="shared" si="1"/>
        <v xml:space="preserve">Gouveia, L. </v>
      </c>
      <c r="D401" s="8" t="str">
        <f t="shared" si="2"/>
        <v>2019</v>
      </c>
      <c r="E401" s="10">
        <f t="shared" si="3"/>
        <v>18</v>
      </c>
      <c r="F401" s="10">
        <f t="shared" si="4"/>
        <v>88</v>
      </c>
      <c r="G401" s="8" t="str">
        <f t="shared" si="5"/>
        <v xml:space="preserve"> Atividade Humana, o digital e os processos de ensino e aprendizagem. </v>
      </c>
      <c r="H401" s="10" t="str">
        <f t="shared" si="6"/>
        <v xml:space="preserve">Gouveia, L. </v>
      </c>
      <c r="I401" s="10" t="str">
        <f t="shared" si="7"/>
        <v xml:space="preserve">Gouveia, L. </v>
      </c>
      <c r="J401" s="10" t="str">
        <f t="shared" si="8"/>
        <v xml:space="preserve">Gouveia, L. </v>
      </c>
      <c r="K401" s="11" t="str">
        <f ca="1">IFERROR(__xludf.DUMMYFUNCTION("SPLIT(J401,"";"")"),"Gouveia, L. ")</f>
        <v xml:space="preserve">Gouveia, L. </v>
      </c>
      <c r="L401" s="10"/>
      <c r="M401" s="10"/>
      <c r="N401" s="10"/>
      <c r="O401" s="10"/>
      <c r="P401" s="10"/>
      <c r="Q401" s="10"/>
      <c r="R401" s="10"/>
      <c r="S401" s="10"/>
      <c r="T401" s="10"/>
      <c r="U401" s="10"/>
      <c r="V401" s="10"/>
      <c r="W401" s="10"/>
      <c r="X401" s="10"/>
      <c r="Y401" s="10"/>
      <c r="Z401" s="10"/>
    </row>
    <row r="402" spans="1:26" ht="17.25" customHeight="1" x14ac:dyDescent="0.3">
      <c r="A402" s="10" t="s">
        <v>535</v>
      </c>
      <c r="B402" s="10">
        <f t="shared" si="0"/>
        <v>30</v>
      </c>
      <c r="C402" s="8" t="str">
        <f t="shared" si="1"/>
        <v xml:space="preserve">Daradkeh, Y. and Gouveia, L. </v>
      </c>
      <c r="D402" s="8" t="str">
        <f t="shared" si="2"/>
        <v>2018</v>
      </c>
      <c r="E402" s="10">
        <f t="shared" si="3"/>
        <v>35</v>
      </c>
      <c r="F402" s="10">
        <f t="shared" si="4"/>
        <v>109</v>
      </c>
      <c r="G402" s="8" t="str">
        <f t="shared" si="5"/>
        <v xml:space="preserve"> Getting Mobile: a critical challenge for the higher education classroom. </v>
      </c>
      <c r="H402" s="10" t="str">
        <f t="shared" si="6"/>
        <v xml:space="preserve">Daradkeh, Y. ; Gouveia, L. </v>
      </c>
      <c r="I402" s="10" t="str">
        <f t="shared" si="7"/>
        <v xml:space="preserve">Daradkeh, Y. ; Gouveia, L. </v>
      </c>
      <c r="J402" s="10" t="str">
        <f t="shared" si="8"/>
        <v xml:space="preserve">Daradkeh, Y. ; Gouveia, L. </v>
      </c>
      <c r="K402" s="11" t="str">
        <f ca="1">IFERROR(__xludf.DUMMYFUNCTION("SPLIT(J402,"";"")"),"Daradkeh, Y. ")</f>
        <v xml:space="preserve">Daradkeh, Y. </v>
      </c>
      <c r="L402" s="10" t="str">
        <f ca="1">IFERROR(__xludf.DUMMYFUNCTION("""COMPUTED_VALUE""")," Gouveia, L. ")</f>
        <v xml:space="preserve"> Gouveia, L. </v>
      </c>
      <c r="M402" s="10"/>
      <c r="N402" s="10"/>
      <c r="O402" s="10"/>
      <c r="P402" s="10"/>
      <c r="Q402" s="10"/>
      <c r="R402" s="10"/>
      <c r="S402" s="10"/>
      <c r="T402" s="10"/>
      <c r="U402" s="10"/>
      <c r="V402" s="10"/>
      <c r="W402" s="10"/>
      <c r="X402" s="10"/>
      <c r="Y402" s="10"/>
      <c r="Z402" s="10"/>
    </row>
    <row r="403" spans="1:26" ht="17.25" customHeight="1" x14ac:dyDescent="0.3">
      <c r="A403" s="10" t="s">
        <v>536</v>
      </c>
      <c r="B403" s="10">
        <f t="shared" si="0"/>
        <v>13</v>
      </c>
      <c r="C403" s="8" t="str">
        <f t="shared" si="1"/>
        <v xml:space="preserve">Gouveia, L. </v>
      </c>
      <c r="D403" s="8" t="str">
        <f t="shared" si="2"/>
        <v>2018</v>
      </c>
      <c r="E403" s="10">
        <f t="shared" si="3"/>
        <v>18</v>
      </c>
      <c r="F403" s="10">
        <f t="shared" si="4"/>
        <v>106</v>
      </c>
      <c r="G403" s="8" t="str">
        <f t="shared" si="5"/>
        <v xml:space="preserve"> Open access and social media: challenges and opportunities for information management. </v>
      </c>
      <c r="H403" s="10" t="str">
        <f t="shared" si="6"/>
        <v xml:space="preserve">Gouveia, L. </v>
      </c>
      <c r="I403" s="10" t="str">
        <f t="shared" si="7"/>
        <v xml:space="preserve">Gouveia, L. </v>
      </c>
      <c r="J403" s="10" t="str">
        <f t="shared" si="8"/>
        <v xml:space="preserve">Gouveia, L. </v>
      </c>
      <c r="K403" s="11" t="str">
        <f ca="1">IFERROR(__xludf.DUMMYFUNCTION("SPLIT(J403,"";"")"),"Gouveia, L. ")</f>
        <v xml:space="preserve">Gouveia, L. </v>
      </c>
      <c r="L403" s="10"/>
      <c r="M403" s="10"/>
      <c r="N403" s="10"/>
      <c r="O403" s="10"/>
      <c r="P403" s="10"/>
      <c r="Q403" s="10"/>
      <c r="R403" s="10"/>
      <c r="S403" s="10"/>
      <c r="T403" s="10"/>
      <c r="U403" s="10"/>
      <c r="V403" s="10"/>
      <c r="W403" s="10"/>
      <c r="X403" s="10"/>
      <c r="Y403" s="10"/>
      <c r="Z403" s="10"/>
    </row>
    <row r="404" spans="1:26" ht="17.25" customHeight="1" x14ac:dyDescent="0.3">
      <c r="A404" s="10" t="s">
        <v>537</v>
      </c>
      <c r="B404" s="10">
        <f t="shared" si="0"/>
        <v>13</v>
      </c>
      <c r="C404" s="8" t="str">
        <f t="shared" si="1"/>
        <v xml:space="preserve">Gouveia, L. </v>
      </c>
      <c r="D404" s="8" t="str">
        <f t="shared" si="2"/>
        <v>2017</v>
      </c>
      <c r="E404" s="10">
        <f t="shared" si="3"/>
        <v>18</v>
      </c>
      <c r="F404" s="10">
        <f t="shared" si="4"/>
        <v>109</v>
      </c>
      <c r="G404" s="8" t="str">
        <f t="shared" si="5"/>
        <v xml:space="preserve"> Challenges in Higher Education as a Transformative Ecosystem for Students and Professors. </v>
      </c>
      <c r="H404" s="10" t="str">
        <f t="shared" si="6"/>
        <v xml:space="preserve">Gouveia, L. </v>
      </c>
      <c r="I404" s="10" t="str">
        <f t="shared" si="7"/>
        <v xml:space="preserve">Gouveia, L. </v>
      </c>
      <c r="J404" s="10" t="str">
        <f t="shared" si="8"/>
        <v xml:space="preserve">Gouveia, L. </v>
      </c>
      <c r="K404" s="11" t="str">
        <f ca="1">IFERROR(__xludf.DUMMYFUNCTION("SPLIT(J404,"";"")"),"Gouveia, L. ")</f>
        <v xml:space="preserve">Gouveia, L. </v>
      </c>
      <c r="L404" s="10"/>
      <c r="M404" s="10"/>
      <c r="N404" s="10"/>
      <c r="O404" s="10"/>
      <c r="P404" s="10"/>
      <c r="Q404" s="10"/>
      <c r="R404" s="10"/>
      <c r="S404" s="10"/>
      <c r="T404" s="10"/>
      <c r="U404" s="10"/>
      <c r="V404" s="10"/>
      <c r="W404" s="10"/>
      <c r="X404" s="10"/>
      <c r="Y404" s="10"/>
      <c r="Z404" s="10"/>
    </row>
    <row r="405" spans="1:26" ht="17.25" customHeight="1" x14ac:dyDescent="0.3">
      <c r="A405" s="10" t="s">
        <v>538</v>
      </c>
      <c r="B405" s="10">
        <f t="shared" si="0"/>
        <v>13</v>
      </c>
      <c r="C405" s="8" t="str">
        <f t="shared" si="1"/>
        <v xml:space="preserve">Gouveia, L. </v>
      </c>
      <c r="D405" s="8" t="str">
        <f t="shared" si="2"/>
        <v>2017</v>
      </c>
      <c r="E405" s="10">
        <f t="shared" si="3"/>
        <v>18</v>
      </c>
      <c r="F405" s="10">
        <f t="shared" si="4"/>
        <v>85</v>
      </c>
      <c r="G405" s="8" t="str">
        <f t="shared" si="5"/>
        <v xml:space="preserve">Going Open in University &amp; Libraries: challenges and applications. </v>
      </c>
      <c r="H405" s="10" t="str">
        <f t="shared" si="6"/>
        <v xml:space="preserve">Gouveia, L. </v>
      </c>
      <c r="I405" s="10" t="str">
        <f t="shared" si="7"/>
        <v xml:space="preserve">Gouveia, L. </v>
      </c>
      <c r="J405" s="10" t="str">
        <f t="shared" si="8"/>
        <v xml:space="preserve">Gouveia, L. </v>
      </c>
      <c r="K405" s="11" t="str">
        <f ca="1">IFERROR(__xludf.DUMMYFUNCTION("SPLIT(J405,"";"")"),"Gouveia, L. ")</f>
        <v xml:space="preserve">Gouveia, L. </v>
      </c>
      <c r="L405" s="10"/>
      <c r="M405" s="10"/>
      <c r="N405" s="10"/>
      <c r="O405" s="10"/>
      <c r="P405" s="10"/>
      <c r="Q405" s="10"/>
      <c r="R405" s="10"/>
      <c r="S405" s="10"/>
      <c r="T405" s="10"/>
      <c r="U405" s="10"/>
      <c r="V405" s="10"/>
      <c r="W405" s="10"/>
      <c r="X405" s="10"/>
      <c r="Y405" s="10"/>
      <c r="Z405" s="10"/>
    </row>
    <row r="406" spans="1:26" ht="17.25" customHeight="1" x14ac:dyDescent="0.3">
      <c r="A406" s="10" t="s">
        <v>539</v>
      </c>
      <c r="B406" s="10">
        <f t="shared" si="0"/>
        <v>13</v>
      </c>
      <c r="C406" s="8" t="str">
        <f t="shared" si="1"/>
        <v xml:space="preserve">Gouveia, L. </v>
      </c>
      <c r="D406" s="8" t="str">
        <f t="shared" si="2"/>
        <v>2016</v>
      </c>
      <c r="E406" s="10">
        <f t="shared" si="3"/>
        <v>18</v>
      </c>
      <c r="F406" s="10">
        <f t="shared" si="4"/>
        <v>106</v>
      </c>
      <c r="G406" s="8" t="str">
        <f t="shared" si="5"/>
        <v xml:space="preserve"> Higher Education in the XXI century: challenging everything and also the library role. </v>
      </c>
      <c r="H406" s="10" t="str">
        <f t="shared" si="6"/>
        <v xml:space="preserve">Gouveia, L. </v>
      </c>
      <c r="I406" s="10" t="str">
        <f t="shared" si="7"/>
        <v xml:space="preserve">Gouveia, L. </v>
      </c>
      <c r="J406" s="10" t="str">
        <f t="shared" si="8"/>
        <v xml:space="preserve">Gouveia, L. </v>
      </c>
      <c r="K406" s="11" t="str">
        <f ca="1">IFERROR(__xludf.DUMMYFUNCTION("SPLIT(J406,"";"")"),"Gouveia, L. ")</f>
        <v xml:space="preserve">Gouveia, L. </v>
      </c>
      <c r="L406" s="10"/>
      <c r="M406" s="10"/>
      <c r="N406" s="10"/>
      <c r="O406" s="10"/>
      <c r="P406" s="10"/>
      <c r="Q406" s="10"/>
      <c r="R406" s="10"/>
      <c r="S406" s="10"/>
      <c r="T406" s="10"/>
      <c r="U406" s="10"/>
      <c r="V406" s="10"/>
      <c r="W406" s="10"/>
      <c r="X406" s="10"/>
      <c r="Y406" s="10"/>
      <c r="Z406" s="10"/>
    </row>
    <row r="407" spans="1:26" ht="17.25" customHeight="1" x14ac:dyDescent="0.3">
      <c r="A407" s="10" t="s">
        <v>540</v>
      </c>
      <c r="B407" s="10">
        <f t="shared" si="0"/>
        <v>13</v>
      </c>
      <c r="C407" s="8" t="str">
        <f t="shared" si="1"/>
        <v xml:space="preserve">Gouveia, L. </v>
      </c>
      <c r="D407" s="8" t="str">
        <f t="shared" si="2"/>
        <v>2015</v>
      </c>
      <c r="E407" s="10">
        <f t="shared" si="3"/>
        <v>18</v>
      </c>
      <c r="F407" s="10">
        <f t="shared" si="4"/>
        <v>94</v>
      </c>
      <c r="G407" s="8" t="str">
        <f t="shared" si="5"/>
        <v xml:space="preserve"> The  Library and Higher Education: where and how to rethink relationships. </v>
      </c>
      <c r="H407" s="10" t="str">
        <f t="shared" si="6"/>
        <v xml:space="preserve">Gouveia, L. </v>
      </c>
      <c r="I407" s="10" t="str">
        <f t="shared" si="7"/>
        <v xml:space="preserve">Gouveia, L. </v>
      </c>
      <c r="J407" s="10" t="str">
        <f t="shared" si="8"/>
        <v xml:space="preserve">Gouveia, L. </v>
      </c>
      <c r="K407" s="11" t="str">
        <f ca="1">IFERROR(__xludf.DUMMYFUNCTION("SPLIT(J407,"";"")"),"Gouveia, L. ")</f>
        <v xml:space="preserve">Gouveia, L. </v>
      </c>
      <c r="L407" s="10"/>
      <c r="M407" s="10"/>
      <c r="N407" s="10"/>
      <c r="O407" s="10"/>
      <c r="P407" s="10"/>
      <c r="Q407" s="10"/>
      <c r="R407" s="10"/>
      <c r="S407" s="10"/>
      <c r="T407" s="10"/>
      <c r="U407" s="10"/>
      <c r="V407" s="10"/>
      <c r="W407" s="10"/>
      <c r="X407" s="10"/>
      <c r="Y407" s="10"/>
      <c r="Z407" s="10"/>
    </row>
    <row r="408" spans="1:26" ht="17.25" customHeight="1" x14ac:dyDescent="0.3">
      <c r="A408" s="10" t="s">
        <v>541</v>
      </c>
      <c r="B408" s="10">
        <f t="shared" si="0"/>
        <v>13</v>
      </c>
      <c r="C408" s="8" t="str">
        <f t="shared" si="1"/>
        <v xml:space="preserve">Gouveia, L. </v>
      </c>
      <c r="D408" s="8" t="str">
        <f t="shared" si="2"/>
        <v>2014</v>
      </c>
      <c r="E408" s="10">
        <f t="shared" si="3"/>
        <v>18</v>
      </c>
      <c r="F408" s="10">
        <f t="shared" si="4"/>
        <v>122</v>
      </c>
      <c r="G408" s="8" t="str">
        <f t="shared" si="5"/>
        <v xml:space="preserve"> O caso do Gaia Global (2000-2005) um testemunho da exploração do digital para benefício do território. </v>
      </c>
      <c r="H408" s="10" t="str">
        <f t="shared" si="6"/>
        <v xml:space="preserve">Gouveia, L. </v>
      </c>
      <c r="I408" s="10" t="str">
        <f t="shared" si="7"/>
        <v xml:space="preserve">Gouveia, L. </v>
      </c>
      <c r="J408" s="10" t="str">
        <f t="shared" si="8"/>
        <v xml:space="preserve">Gouveia, L. </v>
      </c>
      <c r="K408" s="11" t="str">
        <f ca="1">IFERROR(__xludf.DUMMYFUNCTION("SPLIT(J408,"";"")"),"Gouveia, L. ")</f>
        <v xml:space="preserve">Gouveia, L. </v>
      </c>
      <c r="L408" s="10"/>
      <c r="M408" s="10"/>
      <c r="N408" s="10"/>
      <c r="O408" s="10"/>
      <c r="P408" s="10"/>
      <c r="Q408" s="10"/>
      <c r="R408" s="10"/>
      <c r="S408" s="10"/>
      <c r="T408" s="10"/>
      <c r="U408" s="10"/>
      <c r="V408" s="10"/>
      <c r="W408" s="10"/>
      <c r="X408" s="10"/>
      <c r="Y408" s="10"/>
      <c r="Z408" s="10"/>
    </row>
    <row r="409" spans="1:26" ht="17.25" customHeight="1" x14ac:dyDescent="0.3">
      <c r="A409" s="10" t="s">
        <v>542</v>
      </c>
      <c r="B409" s="10">
        <f t="shared" si="0"/>
        <v>13</v>
      </c>
      <c r="C409" s="8" t="str">
        <f t="shared" si="1"/>
        <v xml:space="preserve">Gouveia, L. </v>
      </c>
      <c r="D409" s="8" t="str">
        <f t="shared" si="2"/>
        <v>2013</v>
      </c>
      <c r="E409" s="10">
        <f t="shared" si="3"/>
        <v>18</v>
      </c>
      <c r="F409" s="10">
        <f t="shared" si="4"/>
        <v>67</v>
      </c>
      <c r="G409" s="8" t="str">
        <f t="shared" si="5"/>
        <v xml:space="preserve"> Adoção e Inovação em Tecnologias de Informação. </v>
      </c>
      <c r="H409" s="10" t="str">
        <f t="shared" si="6"/>
        <v xml:space="preserve">Gouveia, L. </v>
      </c>
      <c r="I409" s="10" t="str">
        <f t="shared" si="7"/>
        <v xml:space="preserve">Gouveia, L. </v>
      </c>
      <c r="J409" s="10" t="str">
        <f t="shared" si="8"/>
        <v xml:space="preserve">Gouveia, L. </v>
      </c>
      <c r="K409" s="11" t="str">
        <f ca="1">IFERROR(__xludf.DUMMYFUNCTION("SPLIT(J409,"";"")"),"Gouveia, L. ")</f>
        <v xml:space="preserve">Gouveia, L. </v>
      </c>
      <c r="L409" s="10"/>
      <c r="M409" s="10"/>
      <c r="N409" s="10"/>
      <c r="O409" s="10"/>
      <c r="P409" s="10"/>
      <c r="Q409" s="10"/>
      <c r="R409" s="10"/>
      <c r="S409" s="10"/>
      <c r="T409" s="10"/>
      <c r="U409" s="10"/>
      <c r="V409" s="10"/>
      <c r="W409" s="10"/>
      <c r="X409" s="10"/>
      <c r="Y409" s="10"/>
      <c r="Z409" s="10"/>
    </row>
    <row r="410" spans="1:26" ht="17.25" customHeight="1" x14ac:dyDescent="0.3">
      <c r="A410" s="10" t="s">
        <v>543</v>
      </c>
      <c r="B410" s="10">
        <f t="shared" si="0"/>
        <v>13</v>
      </c>
      <c r="C410" s="8" t="str">
        <f t="shared" si="1"/>
        <v xml:space="preserve">Gouveia, L. </v>
      </c>
      <c r="D410" s="8" t="str">
        <f t="shared" si="2"/>
        <v>2014</v>
      </c>
      <c r="E410" s="10">
        <f t="shared" si="3"/>
        <v>18</v>
      </c>
      <c r="F410" s="10">
        <f t="shared" si="4"/>
        <v>77</v>
      </c>
      <c r="G410" s="8" t="str">
        <f t="shared" si="5"/>
        <v xml:space="preserve"> Digital Libraries and the quest for information curation. </v>
      </c>
      <c r="H410" s="10" t="str">
        <f t="shared" si="6"/>
        <v xml:space="preserve">Gouveia, L. </v>
      </c>
      <c r="I410" s="10" t="str">
        <f t="shared" si="7"/>
        <v xml:space="preserve">Gouveia, L. </v>
      </c>
      <c r="J410" s="10" t="str">
        <f t="shared" si="8"/>
        <v xml:space="preserve">Gouveia, L. </v>
      </c>
      <c r="K410" s="11" t="str">
        <f ca="1">IFERROR(__xludf.DUMMYFUNCTION("SPLIT(J410,"";"")"),"Gouveia, L. ")</f>
        <v xml:space="preserve">Gouveia, L. </v>
      </c>
      <c r="L410" s="10"/>
      <c r="M410" s="10"/>
      <c r="N410" s="10"/>
      <c r="O410" s="10"/>
      <c r="P410" s="10"/>
      <c r="Q410" s="10"/>
      <c r="R410" s="10"/>
      <c r="S410" s="10"/>
      <c r="T410" s="10"/>
      <c r="U410" s="10"/>
      <c r="V410" s="10"/>
      <c r="W410" s="10"/>
      <c r="X410" s="10"/>
      <c r="Y410" s="10"/>
      <c r="Z410" s="10"/>
    </row>
    <row r="411" spans="1:26" ht="17.25" customHeight="1" x14ac:dyDescent="0.3">
      <c r="A411" s="10" t="s">
        <v>544</v>
      </c>
      <c r="B411" s="10">
        <f t="shared" si="0"/>
        <v>13</v>
      </c>
      <c r="C411" s="8" t="str">
        <f t="shared" si="1"/>
        <v xml:space="preserve">Gouveia, L. </v>
      </c>
      <c r="D411" s="8" t="str">
        <f t="shared" si="2"/>
        <v>2013</v>
      </c>
      <c r="E411" s="10">
        <f t="shared" si="3"/>
        <v>18</v>
      </c>
      <c r="F411" s="10">
        <f t="shared" si="4"/>
        <v>110</v>
      </c>
      <c r="G411" s="8" t="str">
        <f t="shared" si="5"/>
        <v xml:space="preserve"> Some issues on Bibliometrics: the way I would like to be helped as a University Professor. </v>
      </c>
      <c r="H411" s="10" t="str">
        <f t="shared" si="6"/>
        <v xml:space="preserve">Gouveia, L. </v>
      </c>
      <c r="I411" s="10" t="str">
        <f t="shared" si="7"/>
        <v xml:space="preserve">Gouveia, L. </v>
      </c>
      <c r="J411" s="10" t="str">
        <f t="shared" si="8"/>
        <v xml:space="preserve">Gouveia, L. </v>
      </c>
      <c r="K411" s="11" t="str">
        <f ca="1">IFERROR(__xludf.DUMMYFUNCTION("SPLIT(J411,"";"")"),"Gouveia, L. ")</f>
        <v xml:space="preserve">Gouveia, L. </v>
      </c>
      <c r="L411" s="10"/>
      <c r="M411" s="10"/>
      <c r="N411" s="10"/>
      <c r="O411" s="10"/>
      <c r="P411" s="10"/>
      <c r="Q411" s="10"/>
      <c r="R411" s="10"/>
      <c r="S411" s="10"/>
      <c r="T411" s="10"/>
      <c r="U411" s="10"/>
      <c r="V411" s="10"/>
      <c r="W411" s="10"/>
      <c r="X411" s="10"/>
      <c r="Y411" s="10"/>
      <c r="Z411" s="10"/>
    </row>
    <row r="412" spans="1:26" ht="17.25" customHeight="1" x14ac:dyDescent="0.3">
      <c r="A412" s="10" t="s">
        <v>545</v>
      </c>
      <c r="B412" s="10">
        <f t="shared" si="0"/>
        <v>13</v>
      </c>
      <c r="C412" s="8" t="str">
        <f t="shared" si="1"/>
        <v xml:space="preserve">Gouveia, L. </v>
      </c>
      <c r="D412" s="8" t="str">
        <f t="shared" si="2"/>
        <v>2010</v>
      </c>
      <c r="E412" s="10">
        <f t="shared" si="3"/>
        <v>18</v>
      </c>
      <c r="F412" s="10">
        <f t="shared" si="4"/>
        <v>102</v>
      </c>
      <c r="G412" s="8" t="str">
        <f t="shared" si="5"/>
        <v xml:space="preserve"> Digital Paradox: why place matters, putting place in its place! Switch conference. </v>
      </c>
      <c r="H412" s="10" t="str">
        <f t="shared" si="6"/>
        <v xml:space="preserve">Gouveia, L. </v>
      </c>
      <c r="I412" s="10" t="str">
        <f t="shared" si="7"/>
        <v xml:space="preserve">Gouveia, L. </v>
      </c>
      <c r="J412" s="10" t="str">
        <f t="shared" si="8"/>
        <v xml:space="preserve">Gouveia, L. </v>
      </c>
      <c r="K412" s="11" t="str">
        <f ca="1">IFERROR(__xludf.DUMMYFUNCTION("SPLIT(J412,"";"")"),"Gouveia, L. ")</f>
        <v xml:space="preserve">Gouveia, L. </v>
      </c>
      <c r="L412" s="10"/>
      <c r="M412" s="10"/>
      <c r="N412" s="10"/>
      <c r="O412" s="10"/>
      <c r="P412" s="10"/>
      <c r="Q412" s="10"/>
      <c r="R412" s="10"/>
      <c r="S412" s="10"/>
      <c r="T412" s="10"/>
      <c r="U412" s="10"/>
      <c r="V412" s="10"/>
      <c r="W412" s="10"/>
      <c r="X412" s="10"/>
      <c r="Y412" s="10"/>
      <c r="Z412" s="10"/>
    </row>
    <row r="413" spans="1:26" ht="17.25" customHeight="1" x14ac:dyDescent="0.3">
      <c r="A413" s="10" t="s">
        <v>546</v>
      </c>
      <c r="B413" s="10">
        <f t="shared" si="0"/>
        <v>58</v>
      </c>
      <c r="C413" s="8" t="str">
        <f t="shared" si="1"/>
        <v xml:space="preserve">Fernandes, N.; Gouveia, F.; Gouveia, L. and Martinez, D. </v>
      </c>
      <c r="D413" s="8" t="str">
        <f t="shared" si="2"/>
        <v>2010</v>
      </c>
      <c r="E413" s="10">
        <f t="shared" si="3"/>
        <v>63</v>
      </c>
      <c r="F413" s="10">
        <f t="shared" si="4"/>
        <v>132</v>
      </c>
      <c r="G413" s="8" t="str">
        <f t="shared" si="5"/>
        <v xml:space="preserve"> Site Stats: the power of event tracking at a single click in Sakai. </v>
      </c>
      <c r="H413" s="10" t="str">
        <f t="shared" si="6"/>
        <v xml:space="preserve">Fern;es, N.; Gouveia, F.; Gouveia, L. ; Martinez, D. </v>
      </c>
      <c r="I413" s="10" t="str">
        <f t="shared" si="7"/>
        <v xml:space="preserve">Fern;es, N.; Gouveia, F.; Gouveia, L. ; Martinez, D. </v>
      </c>
      <c r="J413" s="10" t="str">
        <f t="shared" si="8"/>
        <v xml:space="preserve">Fern;es, N.; Gouveia, F.; Gouveia, L. ; Martinez, D. </v>
      </c>
      <c r="K413" s="11" t="str">
        <f ca="1">IFERROR(__xludf.DUMMYFUNCTION("SPLIT(J413,"";"")"),"Fern")</f>
        <v>Fern</v>
      </c>
      <c r="L413" s="10" t="str">
        <f ca="1">IFERROR(__xludf.DUMMYFUNCTION("""COMPUTED_VALUE"""),"es, N.")</f>
        <v>es, N.</v>
      </c>
      <c r="M413" s="10" t="str">
        <f ca="1">IFERROR(__xludf.DUMMYFUNCTION("""COMPUTED_VALUE""")," Gouveia, F.")</f>
        <v xml:space="preserve"> Gouveia, F.</v>
      </c>
      <c r="N413" s="10" t="str">
        <f ca="1">IFERROR(__xludf.DUMMYFUNCTION("""COMPUTED_VALUE""")," Gouveia, L. ")</f>
        <v xml:space="preserve"> Gouveia, L. </v>
      </c>
      <c r="O413" s="10" t="str">
        <f ca="1">IFERROR(__xludf.DUMMYFUNCTION("""COMPUTED_VALUE""")," Martinez, D. ")</f>
        <v xml:space="preserve"> Martinez, D. </v>
      </c>
      <c r="P413" s="10"/>
      <c r="Q413" s="10"/>
      <c r="R413" s="10"/>
      <c r="S413" s="10"/>
      <c r="T413" s="10"/>
      <c r="U413" s="10"/>
      <c r="V413" s="10"/>
      <c r="W413" s="10"/>
      <c r="X413" s="10"/>
      <c r="Y413" s="10"/>
      <c r="Z413" s="10"/>
    </row>
    <row r="414" spans="1:26" ht="17.25" customHeight="1" x14ac:dyDescent="0.3">
      <c r="A414" s="10" t="s">
        <v>547</v>
      </c>
      <c r="B414" s="10">
        <f t="shared" si="0"/>
        <v>44</v>
      </c>
      <c r="C414" s="8" t="str">
        <f t="shared" si="1"/>
        <v xml:space="preserve">Gouveia, F.; Gouveia, L. and Fernandes, N. </v>
      </c>
      <c r="D414" s="8" t="str">
        <f t="shared" si="2"/>
        <v>2010</v>
      </c>
      <c r="E414" s="10">
        <f t="shared" si="3"/>
        <v>49</v>
      </c>
      <c r="F414" s="10">
        <f t="shared" si="4"/>
        <v>114</v>
      </c>
      <c r="G414" s="8" t="str">
        <f t="shared" si="5"/>
        <v xml:space="preserve"> My students and shared resources: design of a supervision tool. </v>
      </c>
      <c r="H414" s="10" t="str">
        <f t="shared" si="6"/>
        <v xml:space="preserve">Gouveia, F.; Gouveia, L. ; Fern;es, N. </v>
      </c>
      <c r="I414" s="10" t="str">
        <f t="shared" si="7"/>
        <v xml:space="preserve">Gouveia, F.; Gouveia, L. ; Fern;es, N. </v>
      </c>
      <c r="J414" s="10" t="str">
        <f t="shared" si="8"/>
        <v xml:space="preserve">Gouveia, F.; Gouveia, L. ; Fern;es, N. </v>
      </c>
      <c r="K414" s="11" t="str">
        <f ca="1">IFERROR(__xludf.DUMMYFUNCTION("SPLIT(J414,"";"")"),"Gouveia, F.")</f>
        <v>Gouveia, F.</v>
      </c>
      <c r="L414" s="10" t="str">
        <f ca="1">IFERROR(__xludf.DUMMYFUNCTION("""COMPUTED_VALUE""")," Gouveia, L. ")</f>
        <v xml:space="preserve"> Gouveia, L. </v>
      </c>
      <c r="M414" s="10" t="str">
        <f ca="1">IFERROR(__xludf.DUMMYFUNCTION("""COMPUTED_VALUE""")," Fern")</f>
        <v xml:space="preserve"> Fern</v>
      </c>
      <c r="N414" s="10" t="str">
        <f ca="1">IFERROR(__xludf.DUMMYFUNCTION("""COMPUTED_VALUE"""),"es, N. ")</f>
        <v xml:space="preserve">es, N. </v>
      </c>
      <c r="O414" s="10"/>
      <c r="P414" s="10"/>
      <c r="Q414" s="10"/>
      <c r="R414" s="10"/>
      <c r="S414" s="10"/>
      <c r="T414" s="10"/>
      <c r="U414" s="10"/>
      <c r="V414" s="10"/>
      <c r="W414" s="10"/>
      <c r="X414" s="10"/>
      <c r="Y414" s="10"/>
      <c r="Z414" s="10"/>
    </row>
    <row r="415" spans="1:26" ht="17.25" customHeight="1" x14ac:dyDescent="0.3">
      <c r="A415" s="10" t="s">
        <v>548</v>
      </c>
      <c r="B415" s="10">
        <f t="shared" si="0"/>
        <v>26</v>
      </c>
      <c r="C415" s="8" t="str">
        <f t="shared" si="1"/>
        <v xml:space="preserve">Simões, L. e Gouveia, L. </v>
      </c>
      <c r="D415" s="8" t="str">
        <f t="shared" si="2"/>
        <v>2008</v>
      </c>
      <c r="E415" s="10">
        <f t="shared" si="3"/>
        <v>31</v>
      </c>
      <c r="F415" s="10">
        <f t="shared" si="4"/>
        <v>69</v>
      </c>
      <c r="G415" s="8" t="str">
        <f t="shared" si="5"/>
        <v xml:space="preserve"> Targeting the Millennial Generation. </v>
      </c>
      <c r="H415" s="10" t="str">
        <f t="shared" si="6"/>
        <v xml:space="preserve">Simões, L. e Gouveia, L. </v>
      </c>
      <c r="I415" s="10" t="str">
        <f t="shared" si="7"/>
        <v xml:space="preserve">Simões, L. e Gouveia, L. </v>
      </c>
      <c r="J415" s="10" t="str">
        <f t="shared" si="8"/>
        <v xml:space="preserve">Simões, L.;Gouveia, L. </v>
      </c>
      <c r="K415" s="11" t="str">
        <f ca="1">IFERROR(__xludf.DUMMYFUNCTION("SPLIT(J415,"";"")"),"Simões, L.")</f>
        <v>Simões, L.</v>
      </c>
      <c r="L415" s="10" t="str">
        <f ca="1">IFERROR(__xludf.DUMMYFUNCTION("""COMPUTED_VALUE"""),"Gouveia, L. ")</f>
        <v xml:space="preserve">Gouveia, L. </v>
      </c>
      <c r="M415" s="10"/>
      <c r="N415" s="10"/>
      <c r="O415" s="10"/>
      <c r="P415" s="10"/>
      <c r="Q415" s="10"/>
      <c r="R415" s="10"/>
      <c r="S415" s="10"/>
      <c r="T415" s="10"/>
      <c r="U415" s="10"/>
      <c r="V415" s="10"/>
      <c r="W415" s="10"/>
      <c r="X415" s="10"/>
      <c r="Y415" s="10"/>
      <c r="Z415" s="10"/>
    </row>
    <row r="416" spans="1:26" ht="17.25" customHeight="1" x14ac:dyDescent="0.3">
      <c r="A416" s="10" t="s">
        <v>549</v>
      </c>
      <c r="B416" s="10">
        <f t="shared" si="0"/>
        <v>28</v>
      </c>
      <c r="C416" s="8" t="str">
        <f t="shared" si="1"/>
        <v xml:space="preserve">Simões, L. and Gouveia, L. </v>
      </c>
      <c r="D416" s="8" t="str">
        <f t="shared" si="2"/>
        <v>2008</v>
      </c>
      <c r="E416" s="10">
        <f t="shared" si="3"/>
        <v>33</v>
      </c>
      <c r="F416" s="10">
        <f t="shared" si="4"/>
        <v>79</v>
      </c>
      <c r="G416" s="8" t="str">
        <f t="shared" si="5"/>
        <v xml:space="preserve"> The University and the Social Web challenge. </v>
      </c>
      <c r="H416" s="10" t="str">
        <f t="shared" si="6"/>
        <v xml:space="preserve">Simões, L. ; Gouveia, L. </v>
      </c>
      <c r="I416" s="10" t="str">
        <f t="shared" si="7"/>
        <v xml:space="preserve">Simões, L. ; Gouveia, L. </v>
      </c>
      <c r="J416" s="10" t="str">
        <f t="shared" si="8"/>
        <v xml:space="preserve">Simões, L. ; Gouveia, L. </v>
      </c>
      <c r="K416" s="11" t="str">
        <f ca="1">IFERROR(__xludf.DUMMYFUNCTION("SPLIT(J416,"";"")"),"Simões, L. ")</f>
        <v xml:space="preserve">Simões, L. </v>
      </c>
      <c r="L416" s="10" t="str">
        <f ca="1">IFERROR(__xludf.DUMMYFUNCTION("""COMPUTED_VALUE""")," Gouveia, L. ")</f>
        <v xml:space="preserve"> Gouveia, L. </v>
      </c>
      <c r="M416" s="10"/>
      <c r="N416" s="10"/>
      <c r="O416" s="10"/>
      <c r="P416" s="10"/>
      <c r="Q416" s="10"/>
      <c r="R416" s="10"/>
      <c r="S416" s="10"/>
      <c r="T416" s="10"/>
      <c r="U416" s="10"/>
      <c r="V416" s="10"/>
      <c r="W416" s="10"/>
      <c r="X416" s="10"/>
      <c r="Y416" s="10"/>
      <c r="Z416" s="10"/>
    </row>
    <row r="417" spans="1:26" ht="17.25" customHeight="1" x14ac:dyDescent="0.3">
      <c r="A417" s="10" t="s">
        <v>550</v>
      </c>
      <c r="B417" s="10">
        <f t="shared" si="0"/>
        <v>13</v>
      </c>
      <c r="C417" s="8" t="str">
        <f t="shared" si="1"/>
        <v xml:space="preserve">Gouveia, L. </v>
      </c>
      <c r="D417" s="8" t="str">
        <f t="shared" si="2"/>
        <v>2008</v>
      </c>
      <c r="E417" s="10">
        <f t="shared" si="3"/>
        <v>18</v>
      </c>
      <c r="F417" s="10">
        <f t="shared" si="4"/>
        <v>72</v>
      </c>
      <c r="G417" s="8" t="str">
        <f t="shared" si="5"/>
        <v xml:space="preserve"> Intelligent cities: from digital to social analogic. </v>
      </c>
      <c r="H417" s="10" t="str">
        <f t="shared" si="6"/>
        <v xml:space="preserve">Gouveia, L. </v>
      </c>
      <c r="I417" s="10" t="str">
        <f t="shared" si="7"/>
        <v xml:space="preserve">Gouveia, L. </v>
      </c>
      <c r="J417" s="10" t="str">
        <f t="shared" si="8"/>
        <v xml:space="preserve">Gouveia, L. </v>
      </c>
      <c r="K417" s="11" t="str">
        <f ca="1">IFERROR(__xludf.DUMMYFUNCTION("SPLIT(J417,"";"")"),"Gouveia, L. ")</f>
        <v xml:space="preserve">Gouveia, L. </v>
      </c>
      <c r="L417" s="10"/>
      <c r="M417" s="10"/>
      <c r="N417" s="10"/>
      <c r="O417" s="10"/>
      <c r="P417" s="10"/>
      <c r="Q417" s="10"/>
      <c r="R417" s="10"/>
      <c r="S417" s="10"/>
      <c r="T417" s="10"/>
      <c r="U417" s="10"/>
      <c r="V417" s="10"/>
      <c r="W417" s="10"/>
      <c r="X417" s="10"/>
      <c r="Y417" s="10"/>
      <c r="Z417" s="10"/>
    </row>
    <row r="418" spans="1:26" ht="17.25" customHeight="1" x14ac:dyDescent="0.3">
      <c r="A418" s="10" t="s">
        <v>551</v>
      </c>
      <c r="B418" s="10">
        <f t="shared" si="0"/>
        <v>29</v>
      </c>
      <c r="C418" s="8" t="str">
        <f t="shared" si="1"/>
        <v xml:space="preserve">Gouveia, L. and Gouveia, F. </v>
      </c>
      <c r="D418" s="8" t="str">
        <f t="shared" si="2"/>
        <v>2008</v>
      </c>
      <c r="E418" s="10">
        <f t="shared" si="3"/>
        <v>34</v>
      </c>
      <c r="F418" s="10">
        <f t="shared" si="4"/>
        <v>65</v>
      </c>
      <c r="G418" s="8" t="str">
        <f t="shared" si="5"/>
        <v xml:space="preserve"> Distance Learning with Sakai. </v>
      </c>
      <c r="H418" s="10" t="str">
        <f t="shared" si="6"/>
        <v xml:space="preserve">Gouveia, L. ; Gouveia, F. </v>
      </c>
      <c r="I418" s="10" t="str">
        <f t="shared" si="7"/>
        <v xml:space="preserve">Gouveia, L. ; Gouveia, F. </v>
      </c>
      <c r="J418" s="10" t="str">
        <f t="shared" si="8"/>
        <v xml:space="preserve">Gouveia, L. ; Gouveia, F. </v>
      </c>
      <c r="K418" s="11" t="str">
        <f ca="1">IFERROR(__xludf.DUMMYFUNCTION("SPLIT(J418,"";"")"),"Gouveia, L. ")</f>
        <v xml:space="preserve">Gouveia, L. </v>
      </c>
      <c r="L418" s="10" t="str">
        <f ca="1">IFERROR(__xludf.DUMMYFUNCTION("""COMPUTED_VALUE""")," Gouveia, F. ")</f>
        <v xml:space="preserve"> Gouveia, F. </v>
      </c>
      <c r="M418" s="10"/>
      <c r="N418" s="10"/>
      <c r="O418" s="10"/>
      <c r="P418" s="10"/>
      <c r="Q418" s="10"/>
      <c r="R418" s="10"/>
      <c r="S418" s="10"/>
      <c r="T418" s="10"/>
      <c r="U418" s="10"/>
      <c r="V418" s="10"/>
      <c r="W418" s="10"/>
      <c r="X418" s="10"/>
      <c r="Y418" s="10"/>
      <c r="Z418" s="10"/>
    </row>
    <row r="419" spans="1:26" ht="17.25" customHeight="1" x14ac:dyDescent="0.3">
      <c r="A419" s="10" t="s">
        <v>552</v>
      </c>
      <c r="B419" s="10">
        <f t="shared" si="0"/>
        <v>44</v>
      </c>
      <c r="C419" s="8" t="str">
        <f t="shared" si="1"/>
        <v xml:space="preserve">Gouveia, F.; Gouveia, L. and Fernandes, N. </v>
      </c>
      <c r="D419" s="8" t="str">
        <f t="shared" si="2"/>
        <v>2008</v>
      </c>
      <c r="E419" s="10">
        <f t="shared" si="3"/>
        <v>49</v>
      </c>
      <c r="F419" s="10">
        <f t="shared" si="4"/>
        <v>153</v>
      </c>
      <c r="G419" s="8" t="str">
        <f t="shared" si="5"/>
        <v xml:space="preserve"> UFPUV contribution for the Deployment Sakai panel: an implementation Panel: the Sakai journey Part II. </v>
      </c>
      <c r="H419" s="10" t="str">
        <f t="shared" si="6"/>
        <v xml:space="preserve">Gouveia, F.; Gouveia, L. ; Fern;es, N. </v>
      </c>
      <c r="I419" s="10" t="str">
        <f t="shared" si="7"/>
        <v xml:space="preserve">Gouveia, F.; Gouveia, L. ; Fern;es, N. </v>
      </c>
      <c r="J419" s="10" t="str">
        <f t="shared" si="8"/>
        <v xml:space="preserve">Gouveia, F.; Gouveia, L. ; Fern;es, N. </v>
      </c>
      <c r="K419" s="11" t="str">
        <f ca="1">IFERROR(__xludf.DUMMYFUNCTION("SPLIT(J419,"";"")"),"Gouveia, F.")</f>
        <v>Gouveia, F.</v>
      </c>
      <c r="L419" s="10" t="str">
        <f ca="1">IFERROR(__xludf.DUMMYFUNCTION("""COMPUTED_VALUE""")," Gouveia, L. ")</f>
        <v xml:space="preserve"> Gouveia, L. </v>
      </c>
      <c r="M419" s="10" t="str">
        <f ca="1">IFERROR(__xludf.DUMMYFUNCTION("""COMPUTED_VALUE""")," Fern")</f>
        <v xml:space="preserve"> Fern</v>
      </c>
      <c r="N419" s="10" t="str">
        <f ca="1">IFERROR(__xludf.DUMMYFUNCTION("""COMPUTED_VALUE"""),"es, N. ")</f>
        <v xml:space="preserve">es, N. </v>
      </c>
      <c r="O419" s="10"/>
      <c r="P419" s="10"/>
      <c r="Q419" s="10"/>
      <c r="R419" s="10"/>
      <c r="S419" s="10"/>
      <c r="T419" s="10"/>
      <c r="U419" s="10"/>
      <c r="V419" s="10"/>
      <c r="W419" s="10"/>
      <c r="X419" s="10"/>
      <c r="Y419" s="10"/>
      <c r="Z419" s="10"/>
    </row>
    <row r="420" spans="1:26" ht="17.25" customHeight="1" x14ac:dyDescent="0.3">
      <c r="A420" s="10" t="s">
        <v>553</v>
      </c>
      <c r="B420" s="10">
        <f t="shared" si="0"/>
        <v>13</v>
      </c>
      <c r="C420" s="8" t="str">
        <f t="shared" si="1"/>
        <v xml:space="preserve">Gouveia, L. </v>
      </c>
      <c r="D420" s="8" t="str">
        <f t="shared" si="2"/>
        <v>2007</v>
      </c>
      <c r="E420" s="10">
        <f t="shared" si="3"/>
        <v>18</v>
      </c>
      <c r="F420" s="10">
        <f t="shared" si="4"/>
        <v>85</v>
      </c>
      <c r="G420" s="8" t="str">
        <f t="shared" si="5"/>
        <v xml:space="preserve"> The use of Sakai to deploy the UFP Virtual University Initiative. </v>
      </c>
      <c r="H420" s="10" t="str">
        <f t="shared" si="6"/>
        <v xml:space="preserve">Gouveia, L. </v>
      </c>
      <c r="I420" s="10" t="str">
        <f t="shared" si="7"/>
        <v xml:space="preserve">Gouveia, L. </v>
      </c>
      <c r="J420" s="10" t="str">
        <f t="shared" si="8"/>
        <v xml:space="preserve">Gouveia, L. </v>
      </c>
      <c r="K420" s="11" t="str">
        <f ca="1">IFERROR(__xludf.DUMMYFUNCTION("SPLIT(J420,"";"")"),"Gouveia, L. ")</f>
        <v xml:space="preserve">Gouveia, L. </v>
      </c>
      <c r="L420" s="10"/>
      <c r="M420" s="10"/>
      <c r="N420" s="10"/>
      <c r="O420" s="10"/>
      <c r="P420" s="10"/>
      <c r="Q420" s="10"/>
      <c r="R420" s="10"/>
      <c r="S420" s="10"/>
      <c r="T420" s="10"/>
      <c r="U420" s="10"/>
      <c r="V420" s="10"/>
      <c r="W420" s="10"/>
      <c r="X420" s="10"/>
      <c r="Y420" s="10"/>
      <c r="Z420" s="10"/>
    </row>
    <row r="421" spans="1:26" ht="17.25" customHeight="1" x14ac:dyDescent="0.3">
      <c r="A421" s="10" t="s">
        <v>554</v>
      </c>
      <c r="B421" s="10">
        <f t="shared" si="0"/>
        <v>27</v>
      </c>
      <c r="C421" s="8" t="str">
        <f t="shared" si="1"/>
        <v xml:space="preserve">Gouveia, F. e Gouveia, L. </v>
      </c>
      <c r="D421" s="8" t="str">
        <f t="shared" si="2"/>
        <v>2006</v>
      </c>
      <c r="E421" s="10">
        <f t="shared" si="3"/>
        <v>32</v>
      </c>
      <c r="F421" s="10">
        <f t="shared" si="4"/>
        <v>83</v>
      </c>
      <c r="G421" s="8" t="str">
        <f t="shared" si="5"/>
        <v xml:space="preserve"> Sakay in practice at an European University: UFP. </v>
      </c>
      <c r="H421" s="10" t="str">
        <f t="shared" si="6"/>
        <v xml:space="preserve">Gouveia, F. e Gouveia, L. </v>
      </c>
      <c r="I421" s="10" t="str">
        <f t="shared" si="7"/>
        <v xml:space="preserve">Gouveia, F. e Gouveia, L. </v>
      </c>
      <c r="J421" s="10" t="str">
        <f t="shared" si="8"/>
        <v xml:space="preserve">Gouveia, F.;Gouveia, L. </v>
      </c>
      <c r="K421" s="11" t="str">
        <f ca="1">IFERROR(__xludf.DUMMYFUNCTION("SPLIT(J421,"";"")"),"Gouveia, F.")</f>
        <v>Gouveia, F.</v>
      </c>
      <c r="L421" s="10" t="str">
        <f ca="1">IFERROR(__xludf.DUMMYFUNCTION("""COMPUTED_VALUE"""),"Gouveia, L. ")</f>
        <v xml:space="preserve">Gouveia, L. </v>
      </c>
      <c r="M421" s="10"/>
      <c r="N421" s="10"/>
      <c r="O421" s="10"/>
      <c r="P421" s="10"/>
      <c r="Q421" s="10"/>
      <c r="R421" s="10"/>
      <c r="S421" s="10"/>
      <c r="T421" s="10"/>
      <c r="U421" s="10"/>
      <c r="V421" s="10"/>
      <c r="W421" s="10"/>
      <c r="X421" s="10"/>
      <c r="Y421" s="10"/>
      <c r="Z421" s="10"/>
    </row>
    <row r="422" spans="1:26" ht="17.25" customHeight="1" x14ac:dyDescent="0.3">
      <c r="A422" s="10" t="s">
        <v>555</v>
      </c>
      <c r="B422" s="10">
        <f t="shared" si="0"/>
        <v>13</v>
      </c>
      <c r="C422" s="8" t="str">
        <f t="shared" si="1"/>
        <v xml:space="preserve">Gouveia, L. </v>
      </c>
      <c r="D422" s="8" t="str">
        <f t="shared" si="2"/>
        <v>2004</v>
      </c>
      <c r="E422" s="10">
        <f t="shared" si="3"/>
        <v>18</v>
      </c>
      <c r="F422" s="10">
        <f t="shared" si="4"/>
        <v>81</v>
      </c>
      <c r="G422" s="8" t="str">
        <f t="shared" si="5"/>
        <v xml:space="preserve">  Cidades Digitais, o digital e implicações para o território. </v>
      </c>
      <c r="H422" s="10" t="str">
        <f t="shared" si="6"/>
        <v xml:space="preserve">Gouveia, L. </v>
      </c>
      <c r="I422" s="10" t="str">
        <f t="shared" si="7"/>
        <v xml:space="preserve">Gouveia, L. </v>
      </c>
      <c r="J422" s="10" t="str">
        <f t="shared" si="8"/>
        <v xml:space="preserve">Gouveia, L. </v>
      </c>
      <c r="K422" s="11" t="str">
        <f ca="1">IFERROR(__xludf.DUMMYFUNCTION("SPLIT(J422,"";"")"),"Gouveia, L. ")</f>
        <v xml:space="preserve">Gouveia, L. </v>
      </c>
      <c r="L422" s="10"/>
      <c r="M422" s="10"/>
      <c r="N422" s="10"/>
      <c r="O422" s="10"/>
      <c r="P422" s="10"/>
      <c r="Q422" s="10"/>
      <c r="R422" s="10"/>
      <c r="S422" s="10"/>
      <c r="T422" s="10"/>
      <c r="U422" s="10"/>
      <c r="V422" s="10"/>
      <c r="W422" s="10"/>
      <c r="X422" s="10"/>
      <c r="Y422" s="10"/>
      <c r="Z422" s="10"/>
    </row>
    <row r="423" spans="1:26" ht="17.25" customHeight="1" x14ac:dyDescent="0.3">
      <c r="A423" s="10" t="s">
        <v>556</v>
      </c>
      <c r="B423" s="10">
        <f t="shared" si="0"/>
        <v>13</v>
      </c>
      <c r="C423" s="8" t="str">
        <f t="shared" si="1"/>
        <v xml:space="preserve">Gouveia, L. </v>
      </c>
      <c r="D423" s="8" t="str">
        <f t="shared" si="2"/>
        <v>2003</v>
      </c>
      <c r="E423" s="10">
        <f t="shared" si="3"/>
        <v>18</v>
      </c>
      <c r="F423" s="10">
        <f t="shared" si="4"/>
        <v>91</v>
      </c>
      <c r="G423" s="8" t="str">
        <f t="shared" si="5"/>
        <v xml:space="preserve"> Identidade para quê? Desafios ao território na Sociedade da Informação. </v>
      </c>
      <c r="H423" s="10" t="str">
        <f t="shared" si="6"/>
        <v xml:space="preserve">Gouveia, L. </v>
      </c>
      <c r="I423" s="10" t="str">
        <f t="shared" si="7"/>
        <v xml:space="preserve">Gouveia, L. </v>
      </c>
      <c r="J423" s="10" t="str">
        <f t="shared" si="8"/>
        <v xml:space="preserve">Gouveia, L. </v>
      </c>
      <c r="K423" s="11" t="str">
        <f ca="1">IFERROR(__xludf.DUMMYFUNCTION("SPLIT(J423,"";"")"),"Gouveia, L. ")</f>
        <v xml:space="preserve">Gouveia, L. </v>
      </c>
      <c r="L423" s="10"/>
      <c r="M423" s="10"/>
      <c r="N423" s="10"/>
      <c r="O423" s="10"/>
      <c r="P423" s="10"/>
      <c r="Q423" s="10"/>
      <c r="R423" s="10"/>
      <c r="S423" s="10"/>
      <c r="T423" s="10"/>
      <c r="U423" s="10"/>
      <c r="V423" s="10"/>
      <c r="W423" s="10"/>
      <c r="X423" s="10"/>
      <c r="Y423" s="10"/>
      <c r="Z423" s="10"/>
    </row>
    <row r="424" spans="1:26" ht="17.25" customHeight="1" x14ac:dyDescent="0.3">
      <c r="A424" s="10" t="s">
        <v>557</v>
      </c>
      <c r="B424" s="10">
        <f t="shared" si="0"/>
        <v>13</v>
      </c>
      <c r="C424" s="8" t="str">
        <f t="shared" si="1"/>
        <v xml:space="preserve">Gouveia, L. </v>
      </c>
      <c r="D424" s="8" t="str">
        <f t="shared" si="2"/>
        <v>2003</v>
      </c>
      <c r="E424" s="10">
        <f t="shared" si="3"/>
        <v>18</v>
      </c>
      <c r="F424" s="10">
        <f t="shared" si="4"/>
        <v>89</v>
      </c>
      <c r="G424" s="8" t="str">
        <f t="shared" si="5"/>
        <v xml:space="preserve"> Agregar o Digital, o Virtual e o Real: reinventar o espaço e o tempo. </v>
      </c>
      <c r="H424" s="10" t="str">
        <f t="shared" si="6"/>
        <v xml:space="preserve">Gouveia, L. </v>
      </c>
      <c r="I424" s="10" t="str">
        <f t="shared" si="7"/>
        <v xml:space="preserve">Gouveia, L. </v>
      </c>
      <c r="J424" s="10" t="str">
        <f t="shared" si="8"/>
        <v xml:space="preserve">Gouveia, L. </v>
      </c>
      <c r="K424" s="11" t="str">
        <f ca="1">IFERROR(__xludf.DUMMYFUNCTION("SPLIT(J424,"";"")"),"Gouveia, L. ")</f>
        <v xml:space="preserve">Gouveia, L. </v>
      </c>
      <c r="L424" s="10"/>
      <c r="M424" s="10"/>
      <c r="N424" s="10"/>
      <c r="O424" s="10"/>
      <c r="P424" s="10"/>
      <c r="Q424" s="10"/>
      <c r="R424" s="10"/>
      <c r="S424" s="10"/>
      <c r="T424" s="10"/>
      <c r="U424" s="10"/>
      <c r="V424" s="10"/>
      <c r="W424" s="10"/>
      <c r="X424" s="10"/>
      <c r="Y424" s="10"/>
      <c r="Z424" s="10"/>
    </row>
    <row r="425" spans="1:26" ht="17.25" customHeight="1" x14ac:dyDescent="0.3">
      <c r="A425" s="10" t="s">
        <v>558</v>
      </c>
      <c r="B425" s="10">
        <f t="shared" si="0"/>
        <v>29</v>
      </c>
      <c r="C425" s="8" t="str">
        <f t="shared" si="1"/>
        <v xml:space="preserve">Gouveia, J. and Gouveia, L. </v>
      </c>
      <c r="D425" s="8" t="str">
        <f t="shared" si="2"/>
        <v>2001</v>
      </c>
      <c r="E425" s="10">
        <f t="shared" si="3"/>
        <v>34</v>
      </c>
      <c r="F425" s="10">
        <f t="shared" si="4"/>
        <v>109</v>
      </c>
      <c r="G425" s="8" t="str">
        <f t="shared" si="5"/>
        <v xml:space="preserve"> EFTWeb: an environment to support context sharing for education settings. </v>
      </c>
      <c r="H425" s="10" t="str">
        <f t="shared" si="6"/>
        <v xml:space="preserve">Gouveia, J. ; Gouveia, L. </v>
      </c>
      <c r="I425" s="10" t="str">
        <f t="shared" si="7"/>
        <v xml:space="preserve">Gouveia, J. ; Gouveia, L. </v>
      </c>
      <c r="J425" s="10" t="str">
        <f t="shared" si="8"/>
        <v xml:space="preserve">Gouveia, J. ; Gouveia, L. </v>
      </c>
      <c r="K425" s="11" t="str">
        <f ca="1">IFERROR(__xludf.DUMMYFUNCTION("SPLIT(J425,"";"")"),"Gouveia, J. ")</f>
        <v xml:space="preserve">Gouveia, J. </v>
      </c>
      <c r="L425" s="10" t="str">
        <f ca="1">IFERROR(__xludf.DUMMYFUNCTION("""COMPUTED_VALUE""")," Gouveia, L. ")</f>
        <v xml:space="preserve"> Gouveia, L. </v>
      </c>
      <c r="M425" s="10"/>
      <c r="N425" s="10"/>
      <c r="O425" s="10"/>
      <c r="P425" s="10"/>
      <c r="Q425" s="10"/>
      <c r="R425" s="10"/>
      <c r="S425" s="10"/>
      <c r="T425" s="10"/>
      <c r="U425" s="10"/>
      <c r="V425" s="10"/>
      <c r="W425" s="10"/>
      <c r="X425" s="10"/>
      <c r="Y425" s="10"/>
      <c r="Z425" s="10"/>
    </row>
    <row r="426" spans="1:26" ht="17.25" customHeight="1" x14ac:dyDescent="0.3">
      <c r="A426" s="10" t="s">
        <v>559</v>
      </c>
      <c r="B426" s="10">
        <f t="shared" si="0"/>
        <v>13</v>
      </c>
      <c r="C426" s="8" t="str">
        <f t="shared" si="1"/>
        <v xml:space="preserve">Gouveia, L. </v>
      </c>
      <c r="D426" s="8" t="str">
        <f t="shared" si="2"/>
        <v>2001</v>
      </c>
      <c r="E426" s="10">
        <f t="shared" si="3"/>
        <v>18</v>
      </c>
      <c r="F426" s="10">
        <f t="shared" si="4"/>
        <v>88</v>
      </c>
      <c r="G426" s="8" t="str">
        <f t="shared" si="5"/>
        <v xml:space="preserve"> Divulgar conteúdos e partilhar experiências usando a World Wide Web. </v>
      </c>
      <c r="H426" s="10" t="str">
        <f t="shared" si="6"/>
        <v xml:space="preserve">Gouveia, L. </v>
      </c>
      <c r="I426" s="10" t="str">
        <f t="shared" si="7"/>
        <v xml:space="preserve">Gouveia, L. </v>
      </c>
      <c r="J426" s="10" t="str">
        <f t="shared" si="8"/>
        <v xml:space="preserve">Gouveia, L. </v>
      </c>
      <c r="K426" s="11" t="str">
        <f ca="1">IFERROR(__xludf.DUMMYFUNCTION("SPLIT(J426,"";"")"),"Gouveia, L. ")</f>
        <v xml:space="preserve">Gouveia, L. </v>
      </c>
      <c r="L426" s="10"/>
      <c r="M426" s="10"/>
      <c r="N426" s="10"/>
      <c r="O426" s="10"/>
      <c r="P426" s="10"/>
      <c r="Q426" s="10"/>
      <c r="R426" s="10"/>
      <c r="S426" s="10"/>
      <c r="T426" s="10"/>
      <c r="U426" s="10"/>
      <c r="V426" s="10"/>
      <c r="W426" s="10"/>
      <c r="X426" s="10"/>
      <c r="Y426" s="10"/>
      <c r="Z426" s="10"/>
    </row>
    <row r="427" spans="1:26" ht="17.25" customHeight="1" x14ac:dyDescent="0.3">
      <c r="A427" s="10" t="s">
        <v>560</v>
      </c>
      <c r="B427" s="10">
        <f t="shared" si="0"/>
        <v>13</v>
      </c>
      <c r="C427" s="8" t="str">
        <f t="shared" si="1"/>
        <v xml:space="preserve">Gouveia, L. </v>
      </c>
      <c r="D427" s="8" t="str">
        <f t="shared" si="2"/>
        <v>2001</v>
      </c>
      <c r="E427" s="10">
        <f t="shared" si="3"/>
        <v>18</v>
      </c>
      <c r="F427" s="10">
        <f t="shared" si="4"/>
        <v>286</v>
      </c>
      <c r="G427" s="8" t="str">
        <f t="shared" si="5"/>
        <v xml:space="preserve"> Is a virtual environment feasible to support knowledge sharing? SSGRR 2001 International Conference on Advances in Infrastructure for Electronic Business, Science, and Education on the Internet, Scuola Superiore Guglielmo Reiss Romoli, L'Aquila, Italy, August, 6-12. </v>
      </c>
      <c r="H427" s="10" t="str">
        <f t="shared" si="6"/>
        <v xml:space="preserve">Gouveia, L. </v>
      </c>
      <c r="I427" s="10" t="str">
        <f t="shared" si="7"/>
        <v xml:space="preserve">Gouveia, L. </v>
      </c>
      <c r="J427" s="10" t="str">
        <f t="shared" si="8"/>
        <v xml:space="preserve">Gouveia, L. </v>
      </c>
      <c r="K427" s="11" t="str">
        <f ca="1">IFERROR(__xludf.DUMMYFUNCTION("SPLIT(J427,"";"")"),"Gouveia, L. ")</f>
        <v xml:space="preserve">Gouveia, L. </v>
      </c>
      <c r="L427" s="10"/>
      <c r="M427" s="10"/>
      <c r="N427" s="10"/>
      <c r="O427" s="10"/>
      <c r="P427" s="10"/>
      <c r="Q427" s="10"/>
      <c r="R427" s="10"/>
      <c r="S427" s="10"/>
      <c r="T427" s="10"/>
      <c r="U427" s="10"/>
      <c r="V427" s="10"/>
      <c r="W427" s="10"/>
      <c r="X427" s="10"/>
      <c r="Y427" s="10"/>
      <c r="Z427" s="10"/>
    </row>
    <row r="428" spans="1:26" ht="17.25" customHeight="1" x14ac:dyDescent="0.3">
      <c r="A428" s="10" t="s">
        <v>561</v>
      </c>
      <c r="B428" s="10">
        <f t="shared" si="0"/>
        <v>13</v>
      </c>
      <c r="C428" s="8" t="str">
        <f t="shared" si="1"/>
        <v xml:space="preserve">Gouveia, L. </v>
      </c>
      <c r="D428" s="8" t="str">
        <f t="shared" si="2"/>
        <v>1999</v>
      </c>
      <c r="E428" s="10">
        <f t="shared" si="3"/>
        <v>18</v>
      </c>
      <c r="F428" s="10">
        <f t="shared" si="4"/>
        <v>78</v>
      </c>
      <c r="G428" s="8" t="str">
        <f t="shared" si="5"/>
        <v xml:space="preserve"> Beyond the NetLab: how to involve the community producers. </v>
      </c>
      <c r="H428" s="10" t="str">
        <f t="shared" si="6"/>
        <v xml:space="preserve">Gouveia, L. </v>
      </c>
      <c r="I428" s="10" t="str">
        <f t="shared" si="7"/>
        <v xml:space="preserve">Gouveia, L. </v>
      </c>
      <c r="J428" s="10" t="str">
        <f t="shared" si="8"/>
        <v xml:space="preserve">Gouveia, L. </v>
      </c>
      <c r="K428" s="11" t="str">
        <f ca="1">IFERROR(__xludf.DUMMYFUNCTION("SPLIT(J428,"";"")"),"Gouveia, L. ")</f>
        <v xml:space="preserve">Gouveia, L. </v>
      </c>
      <c r="L428" s="10"/>
      <c r="M428" s="10"/>
      <c r="N428" s="10"/>
      <c r="O428" s="10"/>
      <c r="P428" s="10"/>
      <c r="Q428" s="10"/>
      <c r="R428" s="10"/>
      <c r="S428" s="10"/>
      <c r="T428" s="10"/>
      <c r="U428" s="10"/>
      <c r="V428" s="10"/>
      <c r="W428" s="10"/>
      <c r="X428" s="10"/>
      <c r="Y428" s="10"/>
      <c r="Z428" s="10"/>
    </row>
    <row r="429" spans="1:26" ht="17.25" customHeight="1" x14ac:dyDescent="0.3">
      <c r="A429" s="10" t="s">
        <v>562</v>
      </c>
      <c r="B429" s="10">
        <f t="shared" si="0"/>
        <v>13</v>
      </c>
      <c r="C429" s="8" t="str">
        <f t="shared" si="1"/>
        <v xml:space="preserve">Gouveia, L. </v>
      </c>
      <c r="D429" s="8" t="str">
        <f t="shared" si="2"/>
        <v>1998</v>
      </c>
      <c r="E429" s="10">
        <f t="shared" si="3"/>
        <v>18</v>
      </c>
      <c r="F429" s="10">
        <f t="shared" si="4"/>
        <v>76</v>
      </c>
      <c r="G429" s="8" t="str">
        <f t="shared" si="5"/>
        <v xml:space="preserve"> The Role of Teachers in Rich Technological Environments. </v>
      </c>
      <c r="H429" s="10" t="str">
        <f t="shared" si="6"/>
        <v xml:space="preserve">Gouveia, L. </v>
      </c>
      <c r="I429" s="10" t="str">
        <f t="shared" si="7"/>
        <v xml:space="preserve">Gouveia, L. </v>
      </c>
      <c r="J429" s="10" t="str">
        <f t="shared" si="8"/>
        <v xml:space="preserve">Gouveia, L. </v>
      </c>
      <c r="K429" s="11" t="str">
        <f ca="1">IFERROR(__xludf.DUMMYFUNCTION("SPLIT(J429,"";"")"),"Gouveia, L. ")</f>
        <v xml:space="preserve">Gouveia, L. </v>
      </c>
      <c r="L429" s="10"/>
      <c r="M429" s="10"/>
      <c r="N429" s="10"/>
      <c r="O429" s="10"/>
      <c r="P429" s="10"/>
      <c r="Q429" s="10"/>
      <c r="R429" s="10"/>
      <c r="S429" s="10"/>
      <c r="T429" s="10"/>
      <c r="U429" s="10"/>
      <c r="V429" s="10"/>
      <c r="W429" s="10"/>
      <c r="X429" s="10"/>
      <c r="Y429" s="10"/>
      <c r="Z429" s="10"/>
    </row>
    <row r="430" spans="1:26" ht="17.25" customHeight="1" x14ac:dyDescent="0.3">
      <c r="A430" s="10" t="s">
        <v>563</v>
      </c>
      <c r="B430" s="10" t="e">
        <f t="shared" si="0"/>
        <v>#VALUE!</v>
      </c>
      <c r="C430" s="8" t="e">
        <f t="shared" si="1"/>
        <v>#VALUE!</v>
      </c>
      <c r="D430" s="8" t="e">
        <f t="shared" si="2"/>
        <v>#VALUE!</v>
      </c>
      <c r="E430" s="10" t="e">
        <f t="shared" si="3"/>
        <v>#VALUE!</v>
      </c>
      <c r="F430" s="10" t="e">
        <f t="shared" si="4"/>
        <v>#VALUE!</v>
      </c>
      <c r="G430" s="8" t="e">
        <f t="shared" si="5"/>
        <v>#VALUE!</v>
      </c>
      <c r="H430" s="10" t="e">
        <f t="shared" si="6"/>
        <v>#VALUE!</v>
      </c>
      <c r="I430" s="10" t="e">
        <f t="shared" si="7"/>
        <v>#VALUE!</v>
      </c>
      <c r="J430" s="10" t="e">
        <f t="shared" si="8"/>
        <v>#VALUE!</v>
      </c>
      <c r="K430" s="11" t="str">
        <f ca="1">IFERROR(__xludf.DUMMYFUNCTION("SPLIT(J430,"";"")"),"#VALUE!")</f>
        <v>#VALUE!</v>
      </c>
      <c r="L430" s="10"/>
      <c r="M430" s="10"/>
      <c r="N430" s="10"/>
      <c r="O430" s="10"/>
      <c r="P430" s="10"/>
      <c r="Q430" s="10"/>
      <c r="R430" s="10"/>
      <c r="S430" s="10"/>
      <c r="T430" s="10"/>
      <c r="U430" s="10"/>
      <c r="V430" s="10"/>
      <c r="W430" s="10"/>
      <c r="X430" s="10"/>
      <c r="Y430" s="10"/>
      <c r="Z430" s="10"/>
    </row>
    <row r="431" spans="1:26" ht="17.25" customHeight="1" x14ac:dyDescent="0.3">
      <c r="A431" s="10" t="s">
        <v>564</v>
      </c>
      <c r="B431" s="10">
        <f t="shared" si="0"/>
        <v>85</v>
      </c>
      <c r="C431" s="8" t="str">
        <f t="shared" si="1"/>
        <v xml:space="preserve">Botelho, R.; Freitas, M.; Araújo Júnior, R.; Teixeira, M.; Gouveia, L. e Vianna, W. </v>
      </c>
      <c r="D431" s="8" t="str">
        <f t="shared" si="2"/>
        <v>2019</v>
      </c>
      <c r="E431" s="10">
        <f t="shared" si="3"/>
        <v>90</v>
      </c>
      <c r="F431" s="10">
        <f t="shared" si="4"/>
        <v>181</v>
      </c>
      <c r="G431" s="8" t="str">
        <f t="shared" si="5"/>
        <v xml:space="preserve"> Perspetivas de Internacionalização para a Rede de Gestão da Informação e do Conhecimento. </v>
      </c>
      <c r="H431" s="10" t="str">
        <f t="shared" si="6"/>
        <v xml:space="preserve">Botelho, R.; Freitas, M.; Araújo Júnior, R.; Teixeira, M.; Gouveia, L. e Vianna, W. </v>
      </c>
      <c r="I431" s="10" t="str">
        <f t="shared" si="7"/>
        <v xml:space="preserve">Botelho, R.; Freitas, M.; Araújo Júnior, R.; Teixeira, M.; Gouveia, L. e Vianna, W. </v>
      </c>
      <c r="J431" s="10" t="str">
        <f t="shared" si="8"/>
        <v xml:space="preserve">Botelho, R.; Freitas, M.; Araújo Júnior, R.; Teixeira, M.; Gouveia, L.;Vianna, W. </v>
      </c>
      <c r="K431" s="11" t="str">
        <f ca="1">IFERROR(__xludf.DUMMYFUNCTION("SPLIT(J431,"";"")"),"Botelho, R.")</f>
        <v>Botelho, R.</v>
      </c>
      <c r="L431" s="10" t="str">
        <f ca="1">IFERROR(__xludf.DUMMYFUNCTION("""COMPUTED_VALUE""")," Freitas, M.")</f>
        <v xml:space="preserve"> Freitas, M.</v>
      </c>
      <c r="M431" s="10" t="str">
        <f ca="1">IFERROR(__xludf.DUMMYFUNCTION("""COMPUTED_VALUE""")," Araújo Júnior, R.")</f>
        <v xml:space="preserve"> Araújo Júnior, R.</v>
      </c>
      <c r="N431" s="10" t="str">
        <f ca="1">IFERROR(__xludf.DUMMYFUNCTION("""COMPUTED_VALUE""")," Teixeira, M.")</f>
        <v xml:space="preserve"> Teixeira, M.</v>
      </c>
      <c r="O431" s="10" t="str">
        <f ca="1">IFERROR(__xludf.DUMMYFUNCTION("""COMPUTED_VALUE""")," Gouveia, L.")</f>
        <v xml:space="preserve"> Gouveia, L.</v>
      </c>
      <c r="P431" s="10" t="str">
        <f ca="1">IFERROR(__xludf.DUMMYFUNCTION("""COMPUTED_VALUE"""),"Vianna, W. ")</f>
        <v xml:space="preserve">Vianna, W. </v>
      </c>
      <c r="Q431" s="10"/>
      <c r="R431" s="10"/>
      <c r="S431" s="10"/>
      <c r="T431" s="10"/>
      <c r="U431" s="10"/>
      <c r="V431" s="10"/>
      <c r="W431" s="10"/>
      <c r="X431" s="10"/>
      <c r="Y431" s="10"/>
      <c r="Z431" s="10"/>
    </row>
    <row r="432" spans="1:26" ht="17.25" customHeight="1" x14ac:dyDescent="0.3">
      <c r="A432" s="10" t="s">
        <v>565</v>
      </c>
      <c r="B432" s="10">
        <f t="shared" si="0"/>
        <v>24</v>
      </c>
      <c r="C432" s="8" t="str">
        <f t="shared" si="1"/>
        <v xml:space="preserve">Mascaranhas, R. et al. </v>
      </c>
      <c r="D432" s="8" t="str">
        <f t="shared" si="2"/>
        <v>2016</v>
      </c>
      <c r="E432" s="10">
        <f t="shared" si="3"/>
        <v>29</v>
      </c>
      <c r="F432" s="10">
        <f t="shared" si="4"/>
        <v>86</v>
      </c>
      <c r="G432" s="8" t="str">
        <f t="shared" si="5"/>
        <v xml:space="preserve"> Privacidade, cibersegurança e regulamentação económica. </v>
      </c>
      <c r="H432" s="10" t="str">
        <f t="shared" si="6"/>
        <v xml:space="preserve">Mascaranhas, R. et al. </v>
      </c>
      <c r="I432" s="10" t="str">
        <f t="shared" si="7"/>
        <v xml:space="preserve">Mascaranhas, R. et al. </v>
      </c>
      <c r="J432" s="10" t="str">
        <f t="shared" si="8"/>
        <v xml:space="preserve">Mascaranhas, R. et al. </v>
      </c>
      <c r="K432" s="11" t="str">
        <f ca="1">IFERROR(__xludf.DUMMYFUNCTION("SPLIT(J432,"";"")"),"Mascaranhas, R. et al. ")</f>
        <v xml:space="preserve">Mascaranhas, R. et al. </v>
      </c>
      <c r="L432" s="10"/>
      <c r="M432" s="10"/>
      <c r="N432" s="10"/>
      <c r="O432" s="10"/>
      <c r="P432" s="10"/>
      <c r="Q432" s="10"/>
      <c r="R432" s="10"/>
      <c r="S432" s="10"/>
      <c r="T432" s="10"/>
      <c r="U432" s="10"/>
      <c r="V432" s="10"/>
      <c r="W432" s="10"/>
      <c r="X432" s="10"/>
      <c r="Y432" s="10"/>
      <c r="Z432" s="10"/>
    </row>
    <row r="433" spans="1:26" ht="17.25" customHeight="1" x14ac:dyDescent="0.3">
      <c r="A433" s="10" t="s">
        <v>566</v>
      </c>
      <c r="B433" s="10">
        <f t="shared" si="0"/>
        <v>13</v>
      </c>
      <c r="C433" s="8" t="str">
        <f t="shared" si="1"/>
        <v xml:space="preserve">Gouveia, L. </v>
      </c>
      <c r="D433" s="8" t="str">
        <f t="shared" si="2"/>
        <v>2016</v>
      </c>
      <c r="E433" s="10">
        <f t="shared" si="3"/>
        <v>18</v>
      </c>
      <c r="F433" s="10">
        <f t="shared" si="4"/>
        <v>104</v>
      </c>
      <c r="G433" s="8" t="str">
        <f t="shared" si="5"/>
        <v xml:space="preserve">  Grupo de reflexão Privacidade e Cibersegurança (apresentação e moderação do grupo). </v>
      </c>
      <c r="H433" s="10" t="str">
        <f t="shared" si="6"/>
        <v xml:space="preserve">Gouveia, L. </v>
      </c>
      <c r="I433" s="10" t="str">
        <f t="shared" si="7"/>
        <v xml:space="preserve">Gouveia, L. </v>
      </c>
      <c r="J433" s="10" t="str">
        <f t="shared" si="8"/>
        <v xml:space="preserve">Gouveia, L. </v>
      </c>
      <c r="K433" s="11" t="str">
        <f ca="1">IFERROR(__xludf.DUMMYFUNCTION("SPLIT(J433,"";"")"),"Gouveia, L. ")</f>
        <v xml:space="preserve">Gouveia, L. </v>
      </c>
      <c r="L433" s="10"/>
      <c r="M433" s="10"/>
      <c r="N433" s="10"/>
      <c r="O433" s="10"/>
      <c r="P433" s="10"/>
      <c r="Q433" s="10"/>
      <c r="R433" s="10"/>
      <c r="S433" s="10"/>
      <c r="T433" s="10"/>
      <c r="U433" s="10"/>
      <c r="V433" s="10"/>
      <c r="W433" s="10"/>
      <c r="X433" s="10"/>
      <c r="Y433" s="10"/>
      <c r="Z433" s="10"/>
    </row>
    <row r="434" spans="1:26" ht="17.25" customHeight="1" x14ac:dyDescent="0.3">
      <c r="A434" s="10" t="s">
        <v>567</v>
      </c>
      <c r="B434" s="10">
        <f t="shared" si="0"/>
        <v>20</v>
      </c>
      <c r="C434" s="8" t="str">
        <f t="shared" si="1"/>
        <v xml:space="preserve">Gouveia, L. et al. </v>
      </c>
      <c r="D434" s="8" t="str">
        <f t="shared" si="2"/>
        <v>2016</v>
      </c>
      <c r="E434" s="10">
        <f t="shared" si="3"/>
        <v>25</v>
      </c>
      <c r="F434" s="10">
        <f t="shared" si="4"/>
        <v>96</v>
      </c>
      <c r="G434" s="8" t="str">
        <f t="shared" si="5"/>
        <v xml:space="preserve"> Ciclo de Debates Arquivos, Bibliotecas e Museus: acesso à Informação. </v>
      </c>
      <c r="H434" s="10" t="str">
        <f t="shared" si="6"/>
        <v xml:space="preserve">Gouveia, L. et al. </v>
      </c>
      <c r="I434" s="10" t="str">
        <f t="shared" si="7"/>
        <v xml:space="preserve">Gouveia, L. et al. </v>
      </c>
      <c r="J434" s="10" t="str">
        <f t="shared" si="8"/>
        <v xml:space="preserve">Gouveia, L. et al. </v>
      </c>
      <c r="K434" s="11" t="str">
        <f ca="1">IFERROR(__xludf.DUMMYFUNCTION("SPLIT(J434,"";"")"),"Gouveia, L. et al. ")</f>
        <v xml:space="preserve">Gouveia, L. et al. </v>
      </c>
      <c r="L434" s="10"/>
      <c r="M434" s="10"/>
      <c r="N434" s="10"/>
      <c r="O434" s="10"/>
      <c r="P434" s="10"/>
      <c r="Q434" s="10"/>
      <c r="R434" s="10"/>
      <c r="S434" s="10"/>
      <c r="T434" s="10"/>
      <c r="U434" s="10"/>
      <c r="V434" s="10"/>
      <c r="W434" s="10"/>
      <c r="X434" s="10"/>
      <c r="Y434" s="10"/>
      <c r="Z434" s="10"/>
    </row>
    <row r="435" spans="1:26" ht="17.25" customHeight="1" x14ac:dyDescent="0.3">
      <c r="A435" s="10" t="s">
        <v>568</v>
      </c>
      <c r="B435" s="10">
        <f t="shared" si="0"/>
        <v>24</v>
      </c>
      <c r="C435" s="8" t="str">
        <f t="shared" si="1"/>
        <v xml:space="preserve">Mascaranhas, R. et al. </v>
      </c>
      <c r="D435" s="8" t="str">
        <f t="shared" si="2"/>
        <v>2015</v>
      </c>
      <c r="E435" s="10">
        <f t="shared" si="3"/>
        <v>29</v>
      </c>
      <c r="F435" s="10">
        <f t="shared" si="4"/>
        <v>120</v>
      </c>
      <c r="G435" s="8" t="str">
        <f t="shared" si="5"/>
        <v xml:space="preserve"> Mercado único digital europeu: transformações económicas, competências e empregabilidade. </v>
      </c>
      <c r="H435" s="10" t="str">
        <f t="shared" si="6"/>
        <v xml:space="preserve">Mascaranhas, R. et al. </v>
      </c>
      <c r="I435" s="10" t="str">
        <f t="shared" si="7"/>
        <v xml:space="preserve">Mascaranhas, R. et al. </v>
      </c>
      <c r="J435" s="10" t="str">
        <f t="shared" si="8"/>
        <v xml:space="preserve">Mascaranhas, R. et al. </v>
      </c>
      <c r="K435" s="11" t="str">
        <f ca="1">IFERROR(__xludf.DUMMYFUNCTION("SPLIT(J435,"";"")"),"Mascaranhas, R. et al. ")</f>
        <v xml:space="preserve">Mascaranhas, R. et al. </v>
      </c>
      <c r="L435" s="10"/>
      <c r="M435" s="10"/>
      <c r="N435" s="10"/>
      <c r="O435" s="10"/>
      <c r="P435" s="10"/>
      <c r="Q435" s="10"/>
      <c r="R435" s="10"/>
      <c r="S435" s="10"/>
      <c r="T435" s="10"/>
      <c r="U435" s="10"/>
      <c r="V435" s="10"/>
      <c r="W435" s="10"/>
      <c r="X435" s="10"/>
      <c r="Y435" s="10"/>
      <c r="Z435" s="10"/>
    </row>
    <row r="436" spans="1:26" ht="17.25" customHeight="1" x14ac:dyDescent="0.3">
      <c r="A436" s="10" t="s">
        <v>569</v>
      </c>
      <c r="B436" s="10">
        <f t="shared" si="0"/>
        <v>13</v>
      </c>
      <c r="C436" s="8" t="str">
        <f t="shared" si="1"/>
        <v xml:space="preserve">Gouveia, L. </v>
      </c>
      <c r="D436" s="8" t="str">
        <f t="shared" si="2"/>
        <v>2015</v>
      </c>
      <c r="E436" s="10">
        <f t="shared" si="3"/>
        <v>18</v>
      </c>
      <c r="F436" s="10">
        <f t="shared" si="4"/>
        <v>82</v>
      </c>
      <c r="G436" s="8" t="str">
        <f t="shared" si="5"/>
        <v xml:space="preserve"> Grupo de reflexão eSkills (apresentação e moderação do grupo). </v>
      </c>
      <c r="H436" s="10" t="str">
        <f t="shared" si="6"/>
        <v xml:space="preserve">Gouveia, L. </v>
      </c>
      <c r="I436" s="10" t="str">
        <f t="shared" si="7"/>
        <v xml:space="preserve">Gouveia, L. </v>
      </c>
      <c r="J436" s="10" t="str">
        <f t="shared" si="8"/>
        <v xml:space="preserve">Gouveia, L. </v>
      </c>
      <c r="K436" s="11" t="str">
        <f ca="1">IFERROR(__xludf.DUMMYFUNCTION("SPLIT(J436,"";"")"),"Gouveia, L. ")</f>
        <v xml:space="preserve">Gouveia, L. </v>
      </c>
      <c r="L436" s="10"/>
      <c r="M436" s="10"/>
      <c r="N436" s="10"/>
      <c r="O436" s="10"/>
      <c r="P436" s="10"/>
      <c r="Q436" s="10"/>
      <c r="R436" s="10"/>
      <c r="S436" s="10"/>
      <c r="T436" s="10"/>
      <c r="U436" s="10"/>
      <c r="V436" s="10"/>
      <c r="W436" s="10"/>
      <c r="X436" s="10"/>
      <c r="Y436" s="10"/>
      <c r="Z436" s="10"/>
    </row>
    <row r="437" spans="1:26" ht="17.25" customHeight="1" x14ac:dyDescent="0.3">
      <c r="A437" s="10" t="s">
        <v>570</v>
      </c>
      <c r="B437" s="10">
        <f t="shared" si="0"/>
        <v>13</v>
      </c>
      <c r="C437" s="8" t="str">
        <f t="shared" si="1"/>
        <v xml:space="preserve">Gouveia, L. </v>
      </c>
      <c r="D437" s="8" t="str">
        <f t="shared" si="2"/>
        <v>2015</v>
      </c>
      <c r="E437" s="10">
        <f t="shared" si="3"/>
        <v>18</v>
      </c>
      <c r="F437" s="10">
        <f t="shared" si="4"/>
        <v>77</v>
      </c>
      <c r="G437" s="8" t="str">
        <f t="shared" si="5"/>
        <v xml:space="preserve"> Ponto prévio ao grupo de reflexão eSkills (apresentação). </v>
      </c>
      <c r="H437" s="10" t="str">
        <f t="shared" si="6"/>
        <v xml:space="preserve">Gouveia, L. </v>
      </c>
      <c r="I437" s="10" t="str">
        <f t="shared" si="7"/>
        <v xml:space="preserve">Gouveia, L. </v>
      </c>
      <c r="J437" s="10" t="str">
        <f t="shared" si="8"/>
        <v xml:space="preserve">Gouveia, L. </v>
      </c>
      <c r="K437" s="11" t="str">
        <f ca="1">IFERROR(__xludf.DUMMYFUNCTION("SPLIT(J437,"";"")"),"Gouveia, L. ")</f>
        <v xml:space="preserve">Gouveia, L. </v>
      </c>
      <c r="L437" s="10"/>
      <c r="M437" s="10"/>
      <c r="N437" s="10"/>
      <c r="O437" s="10"/>
      <c r="P437" s="10"/>
      <c r="Q437" s="10"/>
      <c r="R437" s="10"/>
      <c r="S437" s="10"/>
      <c r="T437" s="10"/>
      <c r="U437" s="10"/>
      <c r="V437" s="10"/>
      <c r="W437" s="10"/>
      <c r="X437" s="10"/>
      <c r="Y437" s="10"/>
      <c r="Z437" s="10"/>
    </row>
    <row r="438" spans="1:26" ht="17.25" customHeight="1" x14ac:dyDescent="0.3">
      <c r="A438" s="10" t="s">
        <v>571</v>
      </c>
      <c r="B438" s="10">
        <f t="shared" si="0"/>
        <v>63</v>
      </c>
      <c r="C438" s="8" t="str">
        <f t="shared" si="1"/>
        <v xml:space="preserve">Amaral, L.; Neves, A.; Gouveia, L.; Nascimento, J. e Leal, D. </v>
      </c>
      <c r="D438" s="8" t="str">
        <f t="shared" si="2"/>
        <v>2010</v>
      </c>
      <c r="E438" s="10">
        <f t="shared" si="3"/>
        <v>68</v>
      </c>
      <c r="F438" s="10">
        <f t="shared" si="4"/>
        <v>98</v>
      </c>
      <c r="G438" s="8" t="str">
        <f t="shared" si="5"/>
        <v xml:space="preserve"> Workshop sobre Participação. </v>
      </c>
      <c r="H438" s="10" t="str">
        <f t="shared" si="6"/>
        <v xml:space="preserve">Amaral, L.; Neves, A.; Gouveia, L.; Nascimento, J. e Leal, D. </v>
      </c>
      <c r="I438" s="10" t="str">
        <f t="shared" si="7"/>
        <v xml:space="preserve">Amaral, L.; Neves, A.; Gouveia, L.; Nascimento, J. e Leal, D. </v>
      </c>
      <c r="J438" s="10" t="str">
        <f t="shared" si="8"/>
        <v xml:space="preserve">Amaral, L.; Neves, A.; Gouveia, L.; Nascimento, J.;Leal, D. </v>
      </c>
      <c r="K438" s="11" t="str">
        <f ca="1">IFERROR(__xludf.DUMMYFUNCTION("SPLIT(J438,"";"")"),"Amaral, L.")</f>
        <v>Amaral, L.</v>
      </c>
      <c r="L438" s="10" t="str">
        <f ca="1">IFERROR(__xludf.DUMMYFUNCTION("""COMPUTED_VALUE""")," Neves, A.")</f>
        <v xml:space="preserve"> Neves, A.</v>
      </c>
      <c r="M438" s="10" t="str">
        <f ca="1">IFERROR(__xludf.DUMMYFUNCTION("""COMPUTED_VALUE""")," Gouveia, L.")</f>
        <v xml:space="preserve"> Gouveia, L.</v>
      </c>
      <c r="N438" s="10" t="str">
        <f ca="1">IFERROR(__xludf.DUMMYFUNCTION("""COMPUTED_VALUE""")," Nascimento, J.")</f>
        <v xml:space="preserve"> Nascimento, J.</v>
      </c>
      <c r="O438" s="10" t="str">
        <f ca="1">IFERROR(__xludf.DUMMYFUNCTION("""COMPUTED_VALUE"""),"Leal, D. ")</f>
        <v xml:space="preserve">Leal, D. </v>
      </c>
      <c r="P438" s="10"/>
      <c r="Q438" s="10"/>
      <c r="R438" s="10"/>
      <c r="S438" s="10"/>
      <c r="T438" s="10"/>
      <c r="U438" s="10"/>
      <c r="V438" s="10"/>
      <c r="W438" s="10"/>
      <c r="X438" s="10"/>
      <c r="Y438" s="10"/>
      <c r="Z438" s="10"/>
    </row>
    <row r="439" spans="1:26" ht="17.25" customHeight="1" x14ac:dyDescent="0.3">
      <c r="A439" s="10" t="s">
        <v>572</v>
      </c>
      <c r="B439" s="10">
        <f t="shared" si="0"/>
        <v>13</v>
      </c>
      <c r="C439" s="8" t="str">
        <f t="shared" si="1"/>
        <v xml:space="preserve">Gouveia, L. </v>
      </c>
      <c r="D439" s="8" t="str">
        <f t="shared" si="2"/>
        <v>coor</v>
      </c>
      <c r="E439" s="10">
        <f t="shared" si="3"/>
        <v>27</v>
      </c>
      <c r="F439" s="10">
        <f t="shared" si="4"/>
        <v>89</v>
      </c>
      <c r="G439" s="8" t="str">
        <f t="shared" si="5"/>
        <v xml:space="preserve"> Competência na Sociedade da Informação para Superar a Crise. </v>
      </c>
      <c r="H439" s="10" t="str">
        <f t="shared" si="6"/>
        <v xml:space="preserve">Gouveia, L. </v>
      </c>
      <c r="I439" s="10" t="str">
        <f t="shared" si="7"/>
        <v xml:space="preserve">Gouveia, L. </v>
      </c>
      <c r="J439" s="10" t="str">
        <f t="shared" si="8"/>
        <v xml:space="preserve">Gouveia, L. </v>
      </c>
      <c r="K439" s="11" t="str">
        <f ca="1">IFERROR(__xludf.DUMMYFUNCTION("SPLIT(J439,"";"")"),"Gouveia, L. ")</f>
        <v xml:space="preserve">Gouveia, L. </v>
      </c>
      <c r="L439" s="10"/>
      <c r="M439" s="10"/>
      <c r="N439" s="10"/>
      <c r="O439" s="10"/>
      <c r="P439" s="10"/>
      <c r="Q439" s="10"/>
      <c r="R439" s="10"/>
      <c r="S439" s="10"/>
      <c r="T439" s="10"/>
      <c r="U439" s="10"/>
      <c r="V439" s="10"/>
      <c r="W439" s="10"/>
      <c r="X439" s="10"/>
      <c r="Y439" s="10"/>
      <c r="Z439" s="10"/>
    </row>
    <row r="440" spans="1:26" ht="17.25" customHeight="1" x14ac:dyDescent="0.3">
      <c r="A440" s="10" t="s">
        <v>573</v>
      </c>
      <c r="B440" s="10">
        <f t="shared" si="0"/>
        <v>13</v>
      </c>
      <c r="C440" s="8" t="str">
        <f t="shared" si="1"/>
        <v xml:space="preserve">Gouveia, L. </v>
      </c>
      <c r="D440" s="8" t="str">
        <f t="shared" si="2"/>
        <v>2007</v>
      </c>
      <c r="E440" s="10">
        <f t="shared" si="3"/>
        <v>18</v>
      </c>
      <c r="F440" s="10">
        <f t="shared" si="4"/>
        <v>48</v>
      </c>
      <c r="G440" s="8" t="str">
        <f t="shared" si="5"/>
        <v xml:space="preserve"> Painel Virtual Universities. </v>
      </c>
      <c r="H440" s="10" t="str">
        <f t="shared" si="6"/>
        <v xml:space="preserve">Gouveia, L. </v>
      </c>
      <c r="I440" s="10" t="str">
        <f t="shared" si="7"/>
        <v xml:space="preserve">Gouveia, L. </v>
      </c>
      <c r="J440" s="10" t="str">
        <f t="shared" si="8"/>
        <v xml:space="preserve">Gouveia, L. </v>
      </c>
      <c r="K440" s="11" t="str">
        <f ca="1">IFERROR(__xludf.DUMMYFUNCTION("SPLIT(J440,"";"")"),"Gouveia, L. ")</f>
        <v xml:space="preserve">Gouveia, L. </v>
      </c>
      <c r="L440" s="10"/>
      <c r="M440" s="10"/>
      <c r="N440" s="10"/>
      <c r="O440" s="10"/>
      <c r="P440" s="10"/>
      <c r="Q440" s="10"/>
      <c r="R440" s="10"/>
      <c r="S440" s="10"/>
      <c r="T440" s="10"/>
      <c r="U440" s="10"/>
      <c r="V440" s="10"/>
      <c r="W440" s="10"/>
      <c r="X440" s="10"/>
      <c r="Y440" s="10"/>
      <c r="Z440" s="10"/>
    </row>
    <row r="441" spans="1:26" ht="17.25" customHeight="1" x14ac:dyDescent="0.3">
      <c r="A441" s="10" t="s">
        <v>574</v>
      </c>
      <c r="B441" s="10">
        <f t="shared" si="0"/>
        <v>29</v>
      </c>
      <c r="C441" s="8" t="str">
        <f t="shared" si="1"/>
        <v xml:space="preserve">Gouveia, L. and Gouveia, J. </v>
      </c>
      <c r="D441" s="8" t="str">
        <f t="shared" si="2"/>
        <v>2005</v>
      </c>
      <c r="E441" s="10">
        <f t="shared" si="3"/>
        <v>34</v>
      </c>
      <c r="F441" s="10">
        <f t="shared" si="4"/>
        <v>74</v>
      </c>
      <c r="G441" s="8" t="str">
        <f t="shared" si="5"/>
        <v xml:space="preserve"> Gaia Global: a digital cities project. </v>
      </c>
      <c r="H441" s="10" t="str">
        <f t="shared" si="6"/>
        <v xml:space="preserve">Gouveia, L. ; Gouveia, J. </v>
      </c>
      <c r="I441" s="10" t="str">
        <f t="shared" si="7"/>
        <v xml:space="preserve">Gouveia, L. ; Gouveia, J. </v>
      </c>
      <c r="J441" s="10" t="str">
        <f t="shared" si="8"/>
        <v xml:space="preserve">Gouveia, L. ; Gouveia, J. </v>
      </c>
      <c r="K441" s="11" t="str">
        <f ca="1">IFERROR(__xludf.DUMMYFUNCTION("SPLIT(J441,"";"")"),"Gouveia, L. ")</f>
        <v xml:space="preserve">Gouveia, L. </v>
      </c>
      <c r="L441" s="10" t="str">
        <f ca="1">IFERROR(__xludf.DUMMYFUNCTION("""COMPUTED_VALUE""")," Gouveia, J. ")</f>
        <v xml:space="preserve"> Gouveia, J. </v>
      </c>
      <c r="M441" s="10"/>
      <c r="N441" s="10"/>
      <c r="O441" s="10"/>
      <c r="P441" s="10"/>
      <c r="Q441" s="10"/>
      <c r="R441" s="10"/>
      <c r="S441" s="10"/>
      <c r="T441" s="10"/>
      <c r="U441" s="10"/>
      <c r="V441" s="10"/>
      <c r="W441" s="10"/>
      <c r="X441" s="10"/>
      <c r="Y441" s="10"/>
      <c r="Z441" s="10"/>
    </row>
    <row r="442" spans="1:26" ht="17.25" customHeight="1" x14ac:dyDescent="0.3">
      <c r="A442" s="10" t="s">
        <v>575</v>
      </c>
      <c r="B442" s="10">
        <f t="shared" si="0"/>
        <v>21</v>
      </c>
      <c r="C442" s="8" t="str">
        <f t="shared" si="1"/>
        <v xml:space="preserve">Vorderer, P. et al. </v>
      </c>
      <c r="D442" s="8" t="str">
        <f t="shared" si="2"/>
        <v>2003</v>
      </c>
      <c r="E442" s="10">
        <f t="shared" si="3"/>
        <v>26</v>
      </c>
      <c r="F442" s="10">
        <f t="shared" si="4"/>
        <v>72</v>
      </c>
      <c r="G442" s="8" t="str">
        <f t="shared" si="5"/>
        <v xml:space="preserve"> MEC‘s Two-Level Model of “Spatial Presence”. </v>
      </c>
      <c r="H442" s="10" t="str">
        <f t="shared" si="6"/>
        <v xml:space="preserve">Vorderer, P. et al. </v>
      </c>
      <c r="I442" s="10" t="str">
        <f t="shared" si="7"/>
        <v xml:space="preserve">Vorderer, P. et al. </v>
      </c>
      <c r="J442" s="10" t="str">
        <f t="shared" si="8"/>
        <v xml:space="preserve">Vorderer, P. et al. </v>
      </c>
      <c r="K442" s="11" t="str">
        <f ca="1">IFERROR(__xludf.DUMMYFUNCTION("SPLIT(J442,"";"")"),"Vorderer, P. et al. ")</f>
        <v xml:space="preserve">Vorderer, P. et al. </v>
      </c>
      <c r="L442" s="10"/>
      <c r="M442" s="10"/>
      <c r="N442" s="10"/>
      <c r="O442" s="10"/>
      <c r="P442" s="10"/>
      <c r="Q442" s="10"/>
      <c r="R442" s="10"/>
      <c r="S442" s="10"/>
      <c r="T442" s="10"/>
      <c r="U442" s="10"/>
      <c r="V442" s="10"/>
      <c r="W442" s="10"/>
      <c r="X442" s="10"/>
      <c r="Y442" s="10"/>
      <c r="Z442" s="10"/>
    </row>
    <row r="443" spans="1:26" ht="17.25" customHeight="1" x14ac:dyDescent="0.3">
      <c r="A443" s="10" t="s">
        <v>576</v>
      </c>
      <c r="B443" s="10" t="e">
        <f t="shared" si="0"/>
        <v>#VALUE!</v>
      </c>
      <c r="C443" s="8" t="e">
        <f t="shared" si="1"/>
        <v>#VALUE!</v>
      </c>
      <c r="D443" s="8" t="e">
        <f t="shared" si="2"/>
        <v>#VALUE!</v>
      </c>
      <c r="E443" s="10" t="e">
        <f t="shared" si="3"/>
        <v>#VALUE!</v>
      </c>
      <c r="F443" s="10" t="e">
        <f t="shared" si="4"/>
        <v>#VALUE!</v>
      </c>
      <c r="G443" s="8" t="e">
        <f t="shared" si="5"/>
        <v>#VALUE!</v>
      </c>
      <c r="H443" s="10" t="e">
        <f t="shared" si="6"/>
        <v>#VALUE!</v>
      </c>
      <c r="I443" s="10" t="e">
        <f t="shared" si="7"/>
        <v>#VALUE!</v>
      </c>
      <c r="J443" s="10" t="e">
        <f t="shared" si="8"/>
        <v>#VALUE!</v>
      </c>
      <c r="K443" s="11" t="str">
        <f ca="1">IFERROR(__xludf.DUMMYFUNCTION("SPLIT(J443,"";"")"),"#VALUE!")</f>
        <v>#VALUE!</v>
      </c>
      <c r="L443" s="10"/>
      <c r="M443" s="10"/>
      <c r="N443" s="10"/>
      <c r="O443" s="10"/>
      <c r="P443" s="10"/>
      <c r="Q443" s="10"/>
      <c r="R443" s="10"/>
      <c r="S443" s="10"/>
      <c r="T443" s="10"/>
      <c r="U443" s="10"/>
      <c r="V443" s="10"/>
      <c r="W443" s="10"/>
      <c r="X443" s="10"/>
      <c r="Y443" s="10"/>
      <c r="Z443" s="10"/>
    </row>
    <row r="444" spans="1:26" ht="17.25" customHeight="1" x14ac:dyDescent="0.3">
      <c r="A444" s="10" t="s">
        <v>529</v>
      </c>
      <c r="B444" s="10" t="e">
        <f t="shared" si="0"/>
        <v>#VALUE!</v>
      </c>
      <c r="C444" s="8" t="e">
        <f t="shared" si="1"/>
        <v>#VALUE!</v>
      </c>
      <c r="D444" s="8" t="e">
        <f t="shared" si="2"/>
        <v>#VALUE!</v>
      </c>
      <c r="E444" s="10" t="e">
        <f t="shared" si="3"/>
        <v>#VALUE!</v>
      </c>
      <c r="F444" s="10" t="e">
        <f t="shared" si="4"/>
        <v>#VALUE!</v>
      </c>
      <c r="G444" s="8" t="e">
        <f t="shared" si="5"/>
        <v>#VALUE!</v>
      </c>
      <c r="H444" s="10" t="e">
        <f t="shared" si="6"/>
        <v>#VALUE!</v>
      </c>
      <c r="I444" s="10" t="e">
        <f t="shared" si="7"/>
        <v>#VALUE!</v>
      </c>
      <c r="J444" s="10" t="e">
        <f t="shared" si="8"/>
        <v>#VALUE!</v>
      </c>
      <c r="K444" s="11" t="str">
        <f ca="1">IFERROR(__xludf.DUMMYFUNCTION("SPLIT(J444,"";"")"),"#VALUE!")</f>
        <v>#VALUE!</v>
      </c>
      <c r="L444" s="10"/>
      <c r="M444" s="10"/>
      <c r="N444" s="10"/>
      <c r="O444" s="10"/>
      <c r="P444" s="10"/>
      <c r="Q444" s="10"/>
      <c r="R444" s="10"/>
      <c r="S444" s="10"/>
      <c r="T444" s="10"/>
      <c r="U444" s="10"/>
      <c r="V444" s="10"/>
      <c r="W444" s="10"/>
      <c r="X444" s="10"/>
      <c r="Y444" s="10"/>
      <c r="Z444" s="10"/>
    </row>
    <row r="445" spans="1:26" ht="17.25" customHeight="1" x14ac:dyDescent="0.3">
      <c r="A445" s="10" t="s">
        <v>577</v>
      </c>
      <c r="B445" s="10">
        <f t="shared" si="0"/>
        <v>13</v>
      </c>
      <c r="C445" s="8" t="str">
        <f t="shared" si="1"/>
        <v xml:space="preserve">Gouveia, L. </v>
      </c>
      <c r="D445" s="8" t="str">
        <f t="shared" si="2"/>
        <v>2020</v>
      </c>
      <c r="E445" s="10">
        <f t="shared" si="3"/>
        <v>18</v>
      </c>
      <c r="F445" s="10">
        <f t="shared" si="4"/>
        <v>62</v>
      </c>
      <c r="G445" s="8" t="str">
        <f t="shared" si="5"/>
        <v xml:space="preserve"> Segurança e privacidade num mundo digital. </v>
      </c>
      <c r="H445" s="10" t="str">
        <f t="shared" si="6"/>
        <v xml:space="preserve">Gouveia, L. </v>
      </c>
      <c r="I445" s="10" t="str">
        <f t="shared" si="7"/>
        <v xml:space="preserve">Gouveia, L. </v>
      </c>
      <c r="J445" s="10" t="str">
        <f t="shared" si="8"/>
        <v xml:space="preserve">Gouveia, L. </v>
      </c>
      <c r="K445" s="11" t="str">
        <f ca="1">IFERROR(__xludf.DUMMYFUNCTION("SPLIT(J445,"";"")"),"Gouveia, L. ")</f>
        <v xml:space="preserve">Gouveia, L. </v>
      </c>
      <c r="L445" s="10"/>
      <c r="M445" s="10"/>
      <c r="N445" s="10"/>
      <c r="O445" s="10"/>
      <c r="P445" s="10"/>
      <c r="Q445" s="10"/>
      <c r="R445" s="10"/>
      <c r="S445" s="10"/>
      <c r="T445" s="10"/>
      <c r="U445" s="10"/>
      <c r="V445" s="10"/>
      <c r="W445" s="10"/>
      <c r="X445" s="10"/>
      <c r="Y445" s="10"/>
      <c r="Z445" s="10"/>
    </row>
    <row r="446" spans="1:26" ht="17.25" customHeight="1" x14ac:dyDescent="0.3">
      <c r="A446" s="10" t="s">
        <v>578</v>
      </c>
      <c r="B446" s="10">
        <f t="shared" si="0"/>
        <v>13</v>
      </c>
      <c r="C446" s="8" t="str">
        <f t="shared" si="1"/>
        <v xml:space="preserve">Gouveia, L. </v>
      </c>
      <c r="D446" s="8" t="str">
        <f t="shared" si="2"/>
        <v>2019</v>
      </c>
      <c r="E446" s="10">
        <f t="shared" si="3"/>
        <v>18</v>
      </c>
      <c r="F446" s="10">
        <f t="shared" si="4"/>
        <v>69</v>
      </c>
      <c r="G446" s="8" t="str">
        <f t="shared" si="5"/>
        <v xml:space="preserve"> Uma abordagem do impacte do digital no individuo. </v>
      </c>
      <c r="H446" s="10" t="str">
        <f t="shared" si="6"/>
        <v xml:space="preserve">Gouveia, L. </v>
      </c>
      <c r="I446" s="10" t="str">
        <f t="shared" si="7"/>
        <v xml:space="preserve">Gouveia, L. </v>
      </c>
      <c r="J446" s="10" t="str">
        <f t="shared" si="8"/>
        <v xml:space="preserve">Gouveia, L. </v>
      </c>
      <c r="K446" s="11" t="str">
        <f ca="1">IFERROR(__xludf.DUMMYFUNCTION("SPLIT(J446,"";"")"),"Gouveia, L. ")</f>
        <v xml:space="preserve">Gouveia, L. </v>
      </c>
      <c r="L446" s="10"/>
      <c r="M446" s="10"/>
      <c r="N446" s="10"/>
      <c r="O446" s="10"/>
      <c r="P446" s="10"/>
      <c r="Q446" s="10"/>
      <c r="R446" s="10"/>
      <c r="S446" s="10"/>
      <c r="T446" s="10"/>
      <c r="U446" s="10"/>
      <c r="V446" s="10"/>
      <c r="W446" s="10"/>
      <c r="X446" s="10"/>
      <c r="Y446" s="10"/>
      <c r="Z446" s="10"/>
    </row>
    <row r="447" spans="1:26" ht="17.25" customHeight="1" x14ac:dyDescent="0.3">
      <c r="A447" s="10" t="s">
        <v>579</v>
      </c>
      <c r="B447" s="10">
        <f t="shared" si="0"/>
        <v>13</v>
      </c>
      <c r="C447" s="8" t="str">
        <f t="shared" si="1"/>
        <v xml:space="preserve">Gouveia, L. </v>
      </c>
      <c r="D447" s="8" t="str">
        <f t="shared" si="2"/>
        <v>2019</v>
      </c>
      <c r="E447" s="10">
        <f t="shared" si="3"/>
        <v>18</v>
      </c>
      <c r="F447" s="10">
        <f t="shared" si="4"/>
        <v>69</v>
      </c>
      <c r="G447" s="8" t="str">
        <f t="shared" si="5"/>
        <v xml:space="preserve"> Um tempo renovado para a Sociedade da Informação. </v>
      </c>
      <c r="H447" s="10" t="str">
        <f t="shared" si="6"/>
        <v xml:space="preserve">Gouveia, L. </v>
      </c>
      <c r="I447" s="10" t="str">
        <f t="shared" si="7"/>
        <v xml:space="preserve">Gouveia, L. </v>
      </c>
      <c r="J447" s="10" t="str">
        <f t="shared" si="8"/>
        <v xml:space="preserve">Gouveia, L. </v>
      </c>
      <c r="K447" s="11" t="str">
        <f ca="1">IFERROR(__xludf.DUMMYFUNCTION("SPLIT(J447,"";"")"),"Gouveia, L. ")</f>
        <v xml:space="preserve">Gouveia, L. </v>
      </c>
      <c r="L447" s="10"/>
      <c r="M447" s="10"/>
      <c r="N447" s="10"/>
      <c r="O447" s="10"/>
      <c r="P447" s="10"/>
      <c r="Q447" s="10"/>
      <c r="R447" s="10"/>
      <c r="S447" s="10"/>
      <c r="T447" s="10"/>
      <c r="U447" s="10"/>
      <c r="V447" s="10"/>
      <c r="W447" s="10"/>
      <c r="X447" s="10"/>
      <c r="Y447" s="10"/>
      <c r="Z447" s="10"/>
    </row>
    <row r="448" spans="1:26" ht="17.25" customHeight="1" x14ac:dyDescent="0.3">
      <c r="A448" s="10" t="s">
        <v>580</v>
      </c>
      <c r="B448" s="10">
        <f t="shared" si="0"/>
        <v>13</v>
      </c>
      <c r="C448" s="8" t="str">
        <f t="shared" si="1"/>
        <v xml:space="preserve">Gouveia, L. </v>
      </c>
      <c r="D448" s="8" t="str">
        <f t="shared" si="2"/>
        <v>2019</v>
      </c>
      <c r="E448" s="10">
        <f t="shared" si="3"/>
        <v>18</v>
      </c>
      <c r="F448" s="10">
        <f t="shared" si="4"/>
        <v>69</v>
      </c>
      <c r="G448" s="8" t="str">
        <f t="shared" si="5"/>
        <v xml:space="preserve"> A Experiência do Acesso Aberto e do auto-arquivo. </v>
      </c>
      <c r="H448" s="10" t="str">
        <f t="shared" si="6"/>
        <v xml:space="preserve">Gouveia, L. </v>
      </c>
      <c r="I448" s="10" t="str">
        <f t="shared" si="7"/>
        <v xml:space="preserve">Gouveia, L. </v>
      </c>
      <c r="J448" s="10" t="str">
        <f t="shared" si="8"/>
        <v xml:space="preserve">Gouveia, L. </v>
      </c>
      <c r="K448" s="11" t="str">
        <f ca="1">IFERROR(__xludf.DUMMYFUNCTION("SPLIT(J448,"";"")"),"Gouveia, L. ")</f>
        <v xml:space="preserve">Gouveia, L. </v>
      </c>
      <c r="L448" s="10"/>
      <c r="M448" s="10"/>
      <c r="N448" s="10"/>
      <c r="O448" s="10"/>
      <c r="P448" s="10"/>
      <c r="Q448" s="10"/>
      <c r="R448" s="10"/>
      <c r="S448" s="10"/>
      <c r="T448" s="10"/>
      <c r="U448" s="10"/>
      <c r="V448" s="10"/>
      <c r="W448" s="10"/>
      <c r="X448" s="10"/>
      <c r="Y448" s="10"/>
      <c r="Z448" s="10"/>
    </row>
    <row r="449" spans="1:26" ht="17.25" customHeight="1" x14ac:dyDescent="0.3">
      <c r="A449" s="10" t="s">
        <v>581</v>
      </c>
      <c r="B449" s="10">
        <f t="shared" si="0"/>
        <v>39</v>
      </c>
      <c r="C449" s="8" t="str">
        <f t="shared" si="1"/>
        <v xml:space="preserve">Mançu, R.; Gouveia, L. e Cordeiro, S. </v>
      </c>
      <c r="D449" s="8" t="str">
        <f t="shared" si="2"/>
        <v>2019</v>
      </c>
      <c r="E449" s="10">
        <f t="shared" si="3"/>
        <v>44</v>
      </c>
      <c r="F449" s="10">
        <f t="shared" si="4"/>
        <v>188</v>
      </c>
      <c r="G449" s="8" t="str">
        <f t="shared" si="5"/>
        <v xml:space="preserve"> Modelo de matriz de diagnóstico e avaliação de Sistemas de Gestão Integrados (SGI) da Qualidade, Meio Ambiente, Segurança e Saúde no Trabalho. </v>
      </c>
      <c r="H449" s="10" t="str">
        <f t="shared" si="6"/>
        <v xml:space="preserve">Mançu, R.; Gouveia, L. e Cordeiro, S. </v>
      </c>
      <c r="I449" s="10" t="str">
        <f t="shared" si="7"/>
        <v xml:space="preserve">Mançu, R.; Gouveia, L. e Cordeiro, S. </v>
      </c>
      <c r="J449" s="10" t="str">
        <f t="shared" si="8"/>
        <v xml:space="preserve">Mançu, R.; Gouveia, L.;Cordeiro, S. </v>
      </c>
      <c r="K449" s="11" t="str">
        <f ca="1">IFERROR(__xludf.DUMMYFUNCTION("SPLIT(J449,"";"")"),"Mançu, R.")</f>
        <v>Mançu, R.</v>
      </c>
      <c r="L449" s="10" t="str">
        <f ca="1">IFERROR(__xludf.DUMMYFUNCTION("""COMPUTED_VALUE""")," Gouveia, L.")</f>
        <v xml:space="preserve"> Gouveia, L.</v>
      </c>
      <c r="M449" s="10" t="str">
        <f ca="1">IFERROR(__xludf.DUMMYFUNCTION("""COMPUTED_VALUE"""),"Cordeiro, S. ")</f>
        <v xml:space="preserve">Cordeiro, S. </v>
      </c>
      <c r="N449" s="10"/>
      <c r="O449" s="10"/>
      <c r="P449" s="10"/>
      <c r="Q449" s="10"/>
      <c r="R449" s="10"/>
      <c r="S449" s="10"/>
      <c r="T449" s="10"/>
      <c r="U449" s="10"/>
      <c r="V449" s="10"/>
      <c r="W449" s="10"/>
      <c r="X449" s="10"/>
      <c r="Y449" s="10"/>
      <c r="Z449" s="10"/>
    </row>
    <row r="450" spans="1:26" ht="17.25" customHeight="1" x14ac:dyDescent="0.3">
      <c r="A450" s="10" t="s">
        <v>582</v>
      </c>
      <c r="B450" s="10">
        <f t="shared" si="0"/>
        <v>13</v>
      </c>
      <c r="C450" s="8" t="str">
        <f t="shared" si="1"/>
        <v xml:space="preserve">Gouveia, L. </v>
      </c>
      <c r="D450" s="8" t="str">
        <f t="shared" si="2"/>
        <v>2019</v>
      </c>
      <c r="E450" s="10">
        <f t="shared" si="3"/>
        <v>18</v>
      </c>
      <c r="F450" s="10">
        <f t="shared" si="4"/>
        <v>92</v>
      </c>
      <c r="G450" s="8" t="str">
        <f t="shared" si="5"/>
        <v xml:space="preserve"> O lugar da leitura como espaço de convergência entre o real e o digital. </v>
      </c>
      <c r="H450" s="10" t="str">
        <f t="shared" si="6"/>
        <v xml:space="preserve">Gouveia, L. </v>
      </c>
      <c r="I450" s="10" t="str">
        <f t="shared" si="7"/>
        <v xml:space="preserve">Gouveia, L. </v>
      </c>
      <c r="J450" s="10" t="str">
        <f t="shared" si="8"/>
        <v xml:space="preserve">Gouveia, L. </v>
      </c>
      <c r="K450" s="11" t="str">
        <f ca="1">IFERROR(__xludf.DUMMYFUNCTION("SPLIT(J450,"";"")"),"Gouveia, L. ")</f>
        <v xml:space="preserve">Gouveia, L. </v>
      </c>
      <c r="L450" s="10"/>
      <c r="M450" s="10"/>
      <c r="N450" s="10"/>
      <c r="O450" s="10"/>
      <c r="P450" s="10"/>
      <c r="Q450" s="10"/>
      <c r="R450" s="10"/>
      <c r="S450" s="10"/>
      <c r="T450" s="10"/>
      <c r="U450" s="10"/>
      <c r="V450" s="10"/>
      <c r="W450" s="10"/>
      <c r="X450" s="10"/>
      <c r="Y450" s="10"/>
      <c r="Z450" s="10"/>
    </row>
    <row r="451" spans="1:26" ht="17.25" customHeight="1" x14ac:dyDescent="0.3">
      <c r="A451" s="10" t="s">
        <v>583</v>
      </c>
      <c r="B451" s="10">
        <f t="shared" si="0"/>
        <v>24</v>
      </c>
      <c r="C451" s="8" t="str">
        <f t="shared" si="1"/>
        <v xml:space="preserve">Lima, E. e Gouveia, L. </v>
      </c>
      <c r="D451" s="8" t="str">
        <f t="shared" si="2"/>
        <v>2019</v>
      </c>
      <c r="E451" s="10">
        <f t="shared" si="3"/>
        <v>29</v>
      </c>
      <c r="F451" s="10">
        <f t="shared" si="4"/>
        <v>138</v>
      </c>
      <c r="G451" s="8" t="str">
        <f t="shared" si="5"/>
        <v xml:space="preserve"> Direito à Informação: Uma análise sob a óptica do direito à informação do portal da transparência do Ceará. </v>
      </c>
      <c r="H451" s="10" t="str">
        <f t="shared" si="6"/>
        <v xml:space="preserve">Lima, E. e Gouveia, L. </v>
      </c>
      <c r="I451" s="10" t="str">
        <f t="shared" si="7"/>
        <v xml:space="preserve">Lima, E. e Gouveia, L. </v>
      </c>
      <c r="J451" s="10" t="str">
        <f t="shared" si="8"/>
        <v xml:space="preserve">Lima, E.;Gouveia, L. </v>
      </c>
      <c r="K451" s="11" t="str">
        <f ca="1">IFERROR(__xludf.DUMMYFUNCTION("SPLIT(J451,"";"")"),"Lima, E.")</f>
        <v>Lima, E.</v>
      </c>
      <c r="L451" s="10" t="str">
        <f ca="1">IFERROR(__xludf.DUMMYFUNCTION("""COMPUTED_VALUE"""),"Gouveia, L. ")</f>
        <v xml:space="preserve">Gouveia, L. </v>
      </c>
      <c r="M451" s="10"/>
      <c r="N451" s="10"/>
      <c r="O451" s="10"/>
      <c r="P451" s="10"/>
      <c r="Q451" s="10"/>
      <c r="R451" s="10"/>
      <c r="S451" s="10"/>
      <c r="T451" s="10"/>
      <c r="U451" s="10"/>
      <c r="V451" s="10"/>
      <c r="W451" s="10"/>
      <c r="X451" s="10"/>
      <c r="Y451" s="10"/>
      <c r="Z451" s="10"/>
    </row>
    <row r="452" spans="1:26" ht="17.25" customHeight="1" x14ac:dyDescent="0.3">
      <c r="A452" s="10" t="s">
        <v>584</v>
      </c>
      <c r="B452" s="10">
        <f t="shared" si="0"/>
        <v>25</v>
      </c>
      <c r="C452" s="8" t="str">
        <f t="shared" si="1"/>
        <v xml:space="preserve">Silva, C. e Gouveia, L. </v>
      </c>
      <c r="D452" s="8" t="str">
        <f t="shared" si="2"/>
        <v>2019</v>
      </c>
      <c r="E452" s="10">
        <f t="shared" si="3"/>
        <v>30</v>
      </c>
      <c r="F452" s="10">
        <f t="shared" si="4"/>
        <v>137</v>
      </c>
      <c r="G452" s="8" t="str">
        <f t="shared" si="5"/>
        <v xml:space="preserve"> O papel das controladorias na transparência das informações: seu contexto e atuação dentro poder público.S</v>
      </c>
      <c r="H452" s="10" t="str">
        <f t="shared" si="6"/>
        <v xml:space="preserve">Silva, C. e Gouveia, L. </v>
      </c>
      <c r="I452" s="10" t="str">
        <f t="shared" si="7"/>
        <v xml:space="preserve">Silva, C. e Gouveia, L. </v>
      </c>
      <c r="J452" s="10" t="str">
        <f t="shared" si="8"/>
        <v xml:space="preserve">Silva, C.;Gouveia, L. </v>
      </c>
      <c r="K452" s="11" t="str">
        <f ca="1">IFERROR(__xludf.DUMMYFUNCTION("SPLIT(J452,"";"")"),"Silva, C.")</f>
        <v>Silva, C.</v>
      </c>
      <c r="L452" s="10" t="str">
        <f ca="1">IFERROR(__xludf.DUMMYFUNCTION("""COMPUTED_VALUE"""),"Gouveia, L. ")</f>
        <v xml:space="preserve">Gouveia, L. </v>
      </c>
      <c r="M452" s="10"/>
      <c r="N452" s="10"/>
      <c r="O452" s="10"/>
      <c r="P452" s="10"/>
      <c r="Q452" s="10"/>
      <c r="R452" s="10"/>
      <c r="S452" s="10"/>
      <c r="T452" s="10"/>
      <c r="U452" s="10"/>
      <c r="V452" s="10"/>
      <c r="W452" s="10"/>
      <c r="X452" s="10"/>
      <c r="Y452" s="10"/>
      <c r="Z452" s="10"/>
    </row>
    <row r="453" spans="1:26" ht="17.25" customHeight="1" x14ac:dyDescent="0.3">
      <c r="A453" s="10" t="s">
        <v>585</v>
      </c>
      <c r="B453" s="10">
        <f t="shared" si="0"/>
        <v>37</v>
      </c>
      <c r="C453" s="8" t="str">
        <f t="shared" si="1"/>
        <v xml:space="preserve">Araújo, P.; Gouveia, L. e Toldy, T. </v>
      </c>
      <c r="D453" s="8" t="str">
        <f t="shared" si="2"/>
        <v>2019</v>
      </c>
      <c r="E453" s="10">
        <f t="shared" si="3"/>
        <v>42</v>
      </c>
      <c r="F453" s="10">
        <f t="shared" si="4"/>
        <v>149</v>
      </c>
      <c r="G453" s="8" t="str">
        <f t="shared" si="5"/>
        <v xml:space="preserve"> As dimensões valorativas da cultura digital: um instrumento para o mapeamento analítico de um território.S</v>
      </c>
      <c r="H453" s="10" t="str">
        <f t="shared" si="6"/>
        <v xml:space="preserve">Araújo, P.; Gouveia, L. e Toldy, T. </v>
      </c>
      <c r="I453" s="10" t="str">
        <f t="shared" si="7"/>
        <v xml:space="preserve">Araújo, P.; Gouveia, L. e Toldy, T. </v>
      </c>
      <c r="J453" s="10" t="str">
        <f t="shared" si="8"/>
        <v xml:space="preserve">Araújo, P.; Gouveia, L.;Toldy, T. </v>
      </c>
      <c r="K453" s="11" t="str">
        <f ca="1">IFERROR(__xludf.DUMMYFUNCTION("SPLIT(J453,"";"")"),"Araújo, P.")</f>
        <v>Araújo, P.</v>
      </c>
      <c r="L453" s="10" t="str">
        <f ca="1">IFERROR(__xludf.DUMMYFUNCTION("""COMPUTED_VALUE""")," Gouveia, L.")</f>
        <v xml:space="preserve"> Gouveia, L.</v>
      </c>
      <c r="M453" s="10" t="str">
        <f ca="1">IFERROR(__xludf.DUMMYFUNCTION("""COMPUTED_VALUE"""),"Toldy, T. ")</f>
        <v xml:space="preserve">Toldy, T. </v>
      </c>
      <c r="N453" s="10"/>
      <c r="O453" s="10"/>
      <c r="P453" s="10"/>
      <c r="Q453" s="10"/>
      <c r="R453" s="10"/>
      <c r="S453" s="10"/>
      <c r="T453" s="10"/>
      <c r="U453" s="10"/>
      <c r="V453" s="10"/>
      <c r="W453" s="10"/>
      <c r="X453" s="10"/>
      <c r="Y453" s="10"/>
      <c r="Z453" s="10"/>
    </row>
    <row r="454" spans="1:26" ht="17.25" customHeight="1" x14ac:dyDescent="0.3">
      <c r="A454" s="10" t="s">
        <v>586</v>
      </c>
      <c r="B454" s="10">
        <f t="shared" si="0"/>
        <v>25</v>
      </c>
      <c r="C454" s="8" t="str">
        <f t="shared" si="1"/>
        <v xml:space="preserve">Silva, C. e Gouveia, L. </v>
      </c>
      <c r="D454" s="8" t="str">
        <f t="shared" si="2"/>
        <v>2019</v>
      </c>
      <c r="E454" s="10">
        <f t="shared" si="3"/>
        <v>30</v>
      </c>
      <c r="F454" s="10">
        <f t="shared" si="4"/>
        <v>92</v>
      </c>
      <c r="G454" s="8" t="str">
        <f t="shared" si="5"/>
        <v xml:space="preserve"> Corrupção e seu alcance mundial: Um mal que afeta o planeta. </v>
      </c>
      <c r="H454" s="10" t="str">
        <f t="shared" si="6"/>
        <v xml:space="preserve">Silva, C. e Gouveia, L. </v>
      </c>
      <c r="I454" s="10" t="str">
        <f t="shared" si="7"/>
        <v xml:space="preserve">Silva, C. e Gouveia, L. </v>
      </c>
      <c r="J454" s="10" t="str">
        <f t="shared" si="8"/>
        <v xml:space="preserve">Silva, C.;Gouveia, L. </v>
      </c>
      <c r="K454" s="11" t="str">
        <f ca="1">IFERROR(__xludf.DUMMYFUNCTION("SPLIT(J454,"";"")"),"Silva, C.")</f>
        <v>Silva, C.</v>
      </c>
      <c r="L454" s="10" t="str">
        <f ca="1">IFERROR(__xludf.DUMMYFUNCTION("""COMPUTED_VALUE"""),"Gouveia, L. ")</f>
        <v xml:space="preserve">Gouveia, L. </v>
      </c>
      <c r="M454" s="10"/>
      <c r="N454" s="10"/>
      <c r="O454" s="10"/>
      <c r="P454" s="10"/>
      <c r="Q454" s="10"/>
      <c r="R454" s="10"/>
      <c r="S454" s="10"/>
      <c r="T454" s="10"/>
      <c r="U454" s="10"/>
      <c r="V454" s="10"/>
      <c r="W454" s="10"/>
      <c r="X454" s="10"/>
      <c r="Y454" s="10"/>
      <c r="Z454" s="10"/>
    </row>
    <row r="455" spans="1:26" ht="17.25" customHeight="1" x14ac:dyDescent="0.3">
      <c r="A455" s="10" t="s">
        <v>587</v>
      </c>
      <c r="B455" s="10">
        <f t="shared" si="0"/>
        <v>34</v>
      </c>
      <c r="C455" s="8" t="str">
        <f t="shared" si="1"/>
        <v xml:space="preserve">Sargo, S.; Gouveia, L. e Reis, P </v>
      </c>
      <c r="D455" s="8" t="str">
        <f t="shared" si="2"/>
        <v>2019</v>
      </c>
      <c r="E455" s="10">
        <f t="shared" si="3"/>
        <v>39</v>
      </c>
      <c r="F455" s="10">
        <f t="shared" si="4"/>
        <v>165</v>
      </c>
      <c r="G455" s="8" t="str">
        <f t="shared" si="5"/>
        <v xml:space="preserve"> Perceções dos discentes sobre a sala de aula invertida (flipped classroom): experimentos em cursos superiores de tecnologia. </v>
      </c>
      <c r="H455" s="10" t="str">
        <f t="shared" si="6"/>
        <v xml:space="preserve">Sargo, S.; Gouveia, L. e Reis, P </v>
      </c>
      <c r="I455" s="10" t="str">
        <f t="shared" si="7"/>
        <v xml:space="preserve">Sargo, S.; Gouveia, L. e Reis, P </v>
      </c>
      <c r="J455" s="10" t="str">
        <f t="shared" si="8"/>
        <v xml:space="preserve">Sargo, S.; Gouveia, L.;Reis, P </v>
      </c>
      <c r="K455" s="11" t="str">
        <f ca="1">IFERROR(__xludf.DUMMYFUNCTION("SPLIT(J455,"";"")"),"Sargo, S.")</f>
        <v>Sargo, S.</v>
      </c>
      <c r="L455" s="10" t="str">
        <f ca="1">IFERROR(__xludf.DUMMYFUNCTION("""COMPUTED_VALUE""")," Gouveia, L.")</f>
        <v xml:space="preserve"> Gouveia, L.</v>
      </c>
      <c r="M455" s="10" t="str">
        <f ca="1">IFERROR(__xludf.DUMMYFUNCTION("""COMPUTED_VALUE"""),"Reis, P ")</f>
        <v xml:space="preserve">Reis, P </v>
      </c>
      <c r="N455" s="10"/>
      <c r="O455" s="10"/>
      <c r="P455" s="10"/>
      <c r="Q455" s="10"/>
      <c r="R455" s="10"/>
      <c r="S455" s="10"/>
      <c r="T455" s="10"/>
      <c r="U455" s="10"/>
      <c r="V455" s="10"/>
      <c r="W455" s="10"/>
      <c r="X455" s="10"/>
      <c r="Y455" s="10"/>
      <c r="Z455" s="10"/>
    </row>
    <row r="456" spans="1:26" ht="17.25" customHeight="1" x14ac:dyDescent="0.3">
      <c r="A456" s="10" t="s">
        <v>588</v>
      </c>
      <c r="B456" s="10">
        <f t="shared" si="0"/>
        <v>25</v>
      </c>
      <c r="C456" s="8" t="str">
        <f t="shared" si="1"/>
        <v xml:space="preserve">Heluy, V. e Gouveia, L. </v>
      </c>
      <c r="D456" s="8" t="str">
        <f t="shared" si="2"/>
        <v>2019</v>
      </c>
      <c r="E456" s="10">
        <f t="shared" si="3"/>
        <v>30</v>
      </c>
      <c r="F456" s="10">
        <f t="shared" si="4"/>
        <v>145</v>
      </c>
      <c r="G456" s="8" t="str">
        <f t="shared" si="5"/>
        <v xml:space="preserve"> Programa nacional de formação em administração pública (ONAO): implementação na Universidade Federal do Maranhão. </v>
      </c>
      <c r="H456" s="10" t="str">
        <f t="shared" si="6"/>
        <v xml:space="preserve">Heluy, V. e Gouveia, L. </v>
      </c>
      <c r="I456" s="10" t="str">
        <f t="shared" si="7"/>
        <v xml:space="preserve">Heluy, V. e Gouveia, L. </v>
      </c>
      <c r="J456" s="10" t="str">
        <f t="shared" si="8"/>
        <v xml:space="preserve">Heluy, V.;Gouveia, L. </v>
      </c>
      <c r="K456" s="11" t="str">
        <f ca="1">IFERROR(__xludf.DUMMYFUNCTION("SPLIT(J456,"";"")"),"Heluy, V.")</f>
        <v>Heluy, V.</v>
      </c>
      <c r="L456" s="10" t="str">
        <f ca="1">IFERROR(__xludf.DUMMYFUNCTION("""COMPUTED_VALUE"""),"Gouveia, L. ")</f>
        <v xml:space="preserve">Gouveia, L. </v>
      </c>
      <c r="M456" s="10"/>
      <c r="N456" s="10"/>
      <c r="O456" s="10"/>
      <c r="P456" s="10"/>
      <c r="Q456" s="10"/>
      <c r="R456" s="10"/>
      <c r="S456" s="10"/>
      <c r="T456" s="10"/>
      <c r="U456" s="10"/>
      <c r="V456" s="10"/>
      <c r="W456" s="10"/>
      <c r="X456" s="10"/>
      <c r="Y456" s="10"/>
      <c r="Z456" s="10"/>
    </row>
    <row r="457" spans="1:26" ht="17.25" customHeight="1" x14ac:dyDescent="0.3">
      <c r="A457" s="10" t="s">
        <v>589</v>
      </c>
      <c r="B457" s="10">
        <f t="shared" si="0"/>
        <v>43</v>
      </c>
      <c r="C457" s="8" t="str">
        <f t="shared" si="1"/>
        <v xml:space="preserve">Gonçalves, F.; Gouveia, L. e Mesquita, F. </v>
      </c>
      <c r="D457" s="8" t="str">
        <f t="shared" si="2"/>
        <v>2019</v>
      </c>
      <c r="E457" s="10">
        <f t="shared" si="3"/>
        <v>48</v>
      </c>
      <c r="F457" s="10">
        <f t="shared" si="4"/>
        <v>84</v>
      </c>
      <c r="G457" s="8" t="str">
        <f t="shared" si="5"/>
        <v xml:space="preserve"> A marca, a informação e o Digital. </v>
      </c>
      <c r="H457" s="10" t="str">
        <f t="shared" si="6"/>
        <v xml:space="preserve">Gonçalves, F.; Gouveia, L. e Mesquita, F. </v>
      </c>
      <c r="I457" s="10" t="str">
        <f t="shared" si="7"/>
        <v xml:space="preserve">Gonçalves, F.; Gouveia, L. e Mesquita, F. </v>
      </c>
      <c r="J457" s="10" t="str">
        <f t="shared" si="8"/>
        <v xml:space="preserve">Gonçalves, F.; Gouveia, L.;Mesquita, F. </v>
      </c>
      <c r="K457" s="11" t="str">
        <f ca="1">IFERROR(__xludf.DUMMYFUNCTION("SPLIT(J457,"";"")"),"Gonçalves, F.")</f>
        <v>Gonçalves, F.</v>
      </c>
      <c r="L457" s="10" t="str">
        <f ca="1">IFERROR(__xludf.DUMMYFUNCTION("""COMPUTED_VALUE""")," Gouveia, L.")</f>
        <v xml:space="preserve"> Gouveia, L.</v>
      </c>
      <c r="M457" s="10" t="str">
        <f ca="1">IFERROR(__xludf.DUMMYFUNCTION("""COMPUTED_VALUE"""),"Mesquita, F. ")</f>
        <v xml:space="preserve">Mesquita, F. </v>
      </c>
      <c r="N457" s="10"/>
      <c r="O457" s="10"/>
      <c r="P457" s="10"/>
      <c r="Q457" s="10"/>
      <c r="R457" s="10"/>
      <c r="S457" s="10"/>
      <c r="T457" s="10"/>
      <c r="U457" s="10"/>
      <c r="V457" s="10"/>
      <c r="W457" s="10"/>
      <c r="X457" s="10"/>
      <c r="Y457" s="10"/>
      <c r="Z457" s="10"/>
    </row>
    <row r="458" spans="1:26" ht="17.25" customHeight="1" x14ac:dyDescent="0.3">
      <c r="A458" s="10" t="s">
        <v>590</v>
      </c>
      <c r="B458" s="10">
        <f t="shared" si="0"/>
        <v>39</v>
      </c>
      <c r="C458" s="8" t="str">
        <f t="shared" si="1"/>
        <v xml:space="preserve">Cavaignac, S.; Gouveia, L. e Reis, P. </v>
      </c>
      <c r="D458" s="8" t="str">
        <f t="shared" si="2"/>
        <v>2019</v>
      </c>
      <c r="E458" s="10">
        <f t="shared" si="3"/>
        <v>44</v>
      </c>
      <c r="F458" s="10">
        <f t="shared" si="4"/>
        <v>140</v>
      </c>
      <c r="G458" s="8" t="str">
        <f t="shared" si="5"/>
        <v xml:space="preserve"> Jogos Sérios em Ambientes b-learning: uma avaliação da aprendizagem formal no ensino superior. </v>
      </c>
      <c r="H458" s="10" t="str">
        <f t="shared" si="6"/>
        <v xml:space="preserve">Cavaignac, S.; Gouveia, L. e Reis, P. </v>
      </c>
      <c r="I458" s="10" t="str">
        <f t="shared" si="7"/>
        <v xml:space="preserve">Cavaignac, S.; Gouveia, L. e Reis, P. </v>
      </c>
      <c r="J458" s="10" t="str">
        <f t="shared" si="8"/>
        <v xml:space="preserve">Cavaignac, S.; Gouveia, L.;Reis, P. </v>
      </c>
      <c r="K458" s="11" t="str">
        <f ca="1">IFERROR(__xludf.DUMMYFUNCTION("SPLIT(J458,"";"")"),"Cavaignac, S.")</f>
        <v>Cavaignac, S.</v>
      </c>
      <c r="L458" s="10" t="str">
        <f ca="1">IFERROR(__xludf.DUMMYFUNCTION("""COMPUTED_VALUE""")," Gouveia, L.")</f>
        <v xml:space="preserve"> Gouveia, L.</v>
      </c>
      <c r="M458" s="10" t="str">
        <f ca="1">IFERROR(__xludf.DUMMYFUNCTION("""COMPUTED_VALUE"""),"Reis, P. ")</f>
        <v xml:space="preserve">Reis, P. </v>
      </c>
      <c r="N458" s="10"/>
      <c r="O458" s="10"/>
      <c r="P458" s="10"/>
      <c r="Q458" s="10"/>
      <c r="R458" s="10"/>
      <c r="S458" s="10"/>
      <c r="T458" s="10"/>
      <c r="U458" s="10"/>
      <c r="V458" s="10"/>
      <c r="W458" s="10"/>
      <c r="X458" s="10"/>
      <c r="Y458" s="10"/>
      <c r="Z458" s="10"/>
    </row>
    <row r="459" spans="1:26" ht="17.25" customHeight="1" x14ac:dyDescent="0.3">
      <c r="A459" s="10" t="s">
        <v>591</v>
      </c>
      <c r="B459" s="10">
        <f t="shared" si="0"/>
        <v>30</v>
      </c>
      <c r="C459" s="8" t="str">
        <f t="shared" si="1"/>
        <v xml:space="preserve">Cavalcante, A. e Gouveia, L. </v>
      </c>
      <c r="D459" s="8" t="str">
        <f t="shared" si="2"/>
        <v>2019</v>
      </c>
      <c r="E459" s="10">
        <f t="shared" si="3"/>
        <v>35</v>
      </c>
      <c r="F459" s="10">
        <f t="shared" si="4"/>
        <v>129</v>
      </c>
      <c r="G459" s="8" t="str">
        <f t="shared" si="5"/>
        <v xml:space="preserve"> Prostituição: Profissão ou falta de opção? Seminário Doutoramento em Ciências da Informaçao. </v>
      </c>
      <c r="H459" s="10" t="str">
        <f t="shared" si="6"/>
        <v xml:space="preserve">Cavalcante, A. e Gouveia, L. </v>
      </c>
      <c r="I459" s="10" t="str">
        <f t="shared" si="7"/>
        <v xml:space="preserve">Cavalcante, A. e Gouveia, L. </v>
      </c>
      <c r="J459" s="10" t="str">
        <f t="shared" si="8"/>
        <v xml:space="preserve">Cavalcante, A.;Gouveia, L. </v>
      </c>
      <c r="K459" s="11" t="str">
        <f ca="1">IFERROR(__xludf.DUMMYFUNCTION("SPLIT(J459,"";"")"),"Cavalcante, A.")</f>
        <v>Cavalcante, A.</v>
      </c>
      <c r="L459" s="10" t="str">
        <f ca="1">IFERROR(__xludf.DUMMYFUNCTION("""COMPUTED_VALUE"""),"Gouveia, L. ")</f>
        <v xml:space="preserve">Gouveia, L. </v>
      </c>
      <c r="M459" s="10"/>
      <c r="N459" s="10"/>
      <c r="O459" s="10"/>
      <c r="P459" s="10"/>
      <c r="Q459" s="10"/>
      <c r="R459" s="10"/>
      <c r="S459" s="10"/>
      <c r="T459" s="10"/>
      <c r="U459" s="10"/>
      <c r="V459" s="10"/>
      <c r="W459" s="10"/>
      <c r="X459" s="10"/>
      <c r="Y459" s="10"/>
      <c r="Z459" s="10"/>
    </row>
    <row r="460" spans="1:26" ht="17.25" customHeight="1" x14ac:dyDescent="0.3">
      <c r="A460" s="10" t="s">
        <v>592</v>
      </c>
      <c r="B460" s="10">
        <f t="shared" si="0"/>
        <v>27</v>
      </c>
      <c r="C460" s="8" t="str">
        <f t="shared" si="1"/>
        <v xml:space="preserve">Moreira, A. e Gouveia, L. </v>
      </c>
      <c r="D460" s="8" t="str">
        <f t="shared" si="2"/>
        <v>2019</v>
      </c>
      <c r="E460" s="10">
        <f t="shared" si="3"/>
        <v>32</v>
      </c>
      <c r="F460" s="10">
        <f t="shared" si="4"/>
        <v>76</v>
      </c>
      <c r="G460" s="8" t="str">
        <f t="shared" si="5"/>
        <v xml:space="preserve"> Gestão do Conhecimento no Ensino Superior. </v>
      </c>
      <c r="H460" s="10" t="str">
        <f t="shared" si="6"/>
        <v xml:space="preserve">Moreira, A. e Gouveia, L. </v>
      </c>
      <c r="I460" s="10" t="str">
        <f t="shared" si="7"/>
        <v xml:space="preserve">Moreira, A. e Gouveia, L. </v>
      </c>
      <c r="J460" s="10" t="str">
        <f t="shared" si="8"/>
        <v xml:space="preserve">Moreira, A.;Gouveia, L. </v>
      </c>
      <c r="K460" s="11" t="str">
        <f ca="1">IFERROR(__xludf.DUMMYFUNCTION("SPLIT(J460,"";"")"),"Moreira, A.")</f>
        <v>Moreira, A.</v>
      </c>
      <c r="L460" s="10" t="str">
        <f ca="1">IFERROR(__xludf.DUMMYFUNCTION("""COMPUTED_VALUE"""),"Gouveia, L. ")</f>
        <v xml:space="preserve">Gouveia, L. </v>
      </c>
      <c r="M460" s="10"/>
      <c r="N460" s="10"/>
      <c r="O460" s="10"/>
      <c r="P460" s="10"/>
      <c r="Q460" s="10"/>
      <c r="R460" s="10"/>
      <c r="S460" s="10"/>
      <c r="T460" s="10"/>
      <c r="U460" s="10"/>
      <c r="V460" s="10"/>
      <c r="W460" s="10"/>
      <c r="X460" s="10"/>
      <c r="Y460" s="10"/>
      <c r="Z460" s="10"/>
    </row>
    <row r="461" spans="1:26" ht="17.25" customHeight="1" x14ac:dyDescent="0.3">
      <c r="A461" s="10" t="s">
        <v>593</v>
      </c>
      <c r="B461" s="10">
        <f t="shared" si="0"/>
        <v>25</v>
      </c>
      <c r="C461" s="8" t="str">
        <f t="shared" si="1"/>
        <v xml:space="preserve">Brito, I. e Gouveia, L. </v>
      </c>
      <c r="D461" s="8" t="str">
        <f t="shared" si="2"/>
        <v>2019</v>
      </c>
      <c r="E461" s="10">
        <f t="shared" si="3"/>
        <v>30</v>
      </c>
      <c r="F461" s="10">
        <f t="shared" si="4"/>
        <v>110</v>
      </c>
      <c r="G461" s="8" t="str">
        <f t="shared" si="5"/>
        <v xml:space="preserve"> O Abismo Tecnológico dos Professores Não Nativos Digitais frente a Educação 4.0</v>
      </c>
      <c r="H461" s="10" t="str">
        <f t="shared" si="6"/>
        <v xml:space="preserve">Brito, I. e Gouveia, L. </v>
      </c>
      <c r="I461" s="10" t="str">
        <f t="shared" si="7"/>
        <v xml:space="preserve">Brito, I. e Gouveia, L. </v>
      </c>
      <c r="J461" s="10" t="str">
        <f t="shared" si="8"/>
        <v xml:space="preserve">Brito, I.;Gouveia, L. </v>
      </c>
      <c r="K461" s="11" t="str">
        <f ca="1">IFERROR(__xludf.DUMMYFUNCTION("SPLIT(J461,"";"")"),"Brito, I.")</f>
        <v>Brito, I.</v>
      </c>
      <c r="L461" s="10" t="str">
        <f ca="1">IFERROR(__xludf.DUMMYFUNCTION("""COMPUTED_VALUE"""),"Gouveia, L. ")</f>
        <v xml:space="preserve">Gouveia, L. </v>
      </c>
      <c r="M461" s="10"/>
      <c r="N461" s="10"/>
      <c r="O461" s="10"/>
      <c r="P461" s="10"/>
      <c r="Q461" s="10"/>
      <c r="R461" s="10"/>
      <c r="S461" s="10"/>
      <c r="T461" s="10"/>
      <c r="U461" s="10"/>
      <c r="V461" s="10"/>
      <c r="W461" s="10"/>
      <c r="X461" s="10"/>
      <c r="Y461" s="10"/>
      <c r="Z461" s="10"/>
    </row>
    <row r="462" spans="1:26" ht="17.25" customHeight="1" x14ac:dyDescent="0.3">
      <c r="A462" s="10" t="s">
        <v>594</v>
      </c>
      <c r="B462" s="10">
        <f t="shared" si="0"/>
        <v>30</v>
      </c>
      <c r="C462" s="8" t="str">
        <f t="shared" si="1"/>
        <v xml:space="preserve">Cavalcante, A. e Gouveia, L. </v>
      </c>
      <c r="D462" s="8" t="str">
        <f t="shared" si="2"/>
        <v>2019</v>
      </c>
      <c r="E462" s="10">
        <f t="shared" si="3"/>
        <v>35</v>
      </c>
      <c r="F462" s="10">
        <f t="shared" si="4"/>
        <v>73</v>
      </c>
      <c r="G462" s="8" t="str">
        <f t="shared" si="5"/>
        <v xml:space="preserve"> Públicas Virtudes e Vícios Privados. </v>
      </c>
      <c r="H462" s="10" t="str">
        <f t="shared" si="6"/>
        <v xml:space="preserve">Cavalcante, A. e Gouveia, L. </v>
      </c>
      <c r="I462" s="10" t="str">
        <f t="shared" si="7"/>
        <v xml:space="preserve">Cavalcante, A. e Gouveia, L. </v>
      </c>
      <c r="J462" s="10" t="str">
        <f t="shared" si="8"/>
        <v xml:space="preserve">Cavalcante, A.;Gouveia, L. </v>
      </c>
      <c r="K462" s="11" t="str">
        <f ca="1">IFERROR(__xludf.DUMMYFUNCTION("SPLIT(J462,"";"")"),"Cavalcante, A.")</f>
        <v>Cavalcante, A.</v>
      </c>
      <c r="L462" s="10" t="str">
        <f ca="1">IFERROR(__xludf.DUMMYFUNCTION("""COMPUTED_VALUE"""),"Gouveia, L. ")</f>
        <v xml:space="preserve">Gouveia, L. </v>
      </c>
      <c r="M462" s="10"/>
      <c r="N462" s="10"/>
      <c r="O462" s="10"/>
      <c r="P462" s="10"/>
      <c r="Q462" s="10"/>
      <c r="R462" s="10"/>
      <c r="S462" s="10"/>
      <c r="T462" s="10"/>
      <c r="U462" s="10"/>
      <c r="V462" s="10"/>
      <c r="W462" s="10"/>
      <c r="X462" s="10"/>
      <c r="Y462" s="10"/>
      <c r="Z462" s="10"/>
    </row>
    <row r="463" spans="1:26" ht="17.25" customHeight="1" x14ac:dyDescent="0.3">
      <c r="A463" s="10" t="s">
        <v>595</v>
      </c>
      <c r="B463" s="10">
        <f t="shared" si="0"/>
        <v>27</v>
      </c>
      <c r="C463" s="8" t="str">
        <f t="shared" si="1"/>
        <v xml:space="preserve">Almasri, A. e Gouveia, L. </v>
      </c>
      <c r="D463" s="8" t="str">
        <f t="shared" si="2"/>
        <v>2019</v>
      </c>
      <c r="E463" s="10">
        <f t="shared" si="3"/>
        <v>32</v>
      </c>
      <c r="F463" s="10">
        <f t="shared" si="4"/>
        <v>132</v>
      </c>
      <c r="G463" s="8" t="str">
        <f t="shared" si="5"/>
        <v xml:space="preserve"> Reviewing Power-saving approaches used during the actual end-user usage of an Android Application. </v>
      </c>
      <c r="H463" s="10" t="str">
        <f t="shared" si="6"/>
        <v xml:space="preserve">Almasri, A. e Gouveia, L. </v>
      </c>
      <c r="I463" s="10" t="str">
        <f t="shared" si="7"/>
        <v xml:space="preserve">Almasri, A. e Gouveia, L. </v>
      </c>
      <c r="J463" s="10" t="str">
        <f t="shared" si="8"/>
        <v xml:space="preserve">Almasri, A.;Gouveia, L. </v>
      </c>
      <c r="K463" s="11" t="str">
        <f ca="1">IFERROR(__xludf.DUMMYFUNCTION("SPLIT(J463,"";"")"),"Almasri, A.")</f>
        <v>Almasri, A.</v>
      </c>
      <c r="L463" s="10" t="str">
        <f ca="1">IFERROR(__xludf.DUMMYFUNCTION("""COMPUTED_VALUE"""),"Gouveia, L. ")</f>
        <v xml:space="preserve">Gouveia, L. </v>
      </c>
      <c r="M463" s="10"/>
      <c r="N463" s="10"/>
      <c r="O463" s="10"/>
      <c r="P463" s="10"/>
      <c r="Q463" s="10"/>
      <c r="R463" s="10"/>
      <c r="S463" s="10"/>
      <c r="T463" s="10"/>
      <c r="U463" s="10"/>
      <c r="V463" s="10"/>
      <c r="W463" s="10"/>
      <c r="X463" s="10"/>
      <c r="Y463" s="10"/>
      <c r="Z463" s="10"/>
    </row>
    <row r="464" spans="1:26" ht="17.25" customHeight="1" x14ac:dyDescent="0.3">
      <c r="A464" s="10" t="s">
        <v>596</v>
      </c>
      <c r="B464" s="10">
        <f t="shared" si="0"/>
        <v>28</v>
      </c>
      <c r="C464" s="8" t="str">
        <f t="shared" si="1"/>
        <v xml:space="preserve">Oliveira, F. e Gouveia, L. </v>
      </c>
      <c r="D464" s="8" t="str">
        <f t="shared" si="2"/>
        <v>2019</v>
      </c>
      <c r="E464" s="10">
        <f t="shared" si="3"/>
        <v>33</v>
      </c>
      <c r="F464" s="10">
        <f t="shared" si="4"/>
        <v>212</v>
      </c>
      <c r="G464" s="8" t="str">
        <f t="shared" si="5"/>
        <v xml:space="preserve"> Inteligência Artificial como solução para classificação fiscal: um estudo de caso sobre os impactos  das tecnologias digitais sobre os cinco domínios fundamentais da estratégia.</v>
      </c>
      <c r="H464" s="10" t="str">
        <f t="shared" si="6"/>
        <v xml:space="preserve">Oliveira, F. e Gouveia, L. </v>
      </c>
      <c r="I464" s="10" t="str">
        <f t="shared" si="7"/>
        <v xml:space="preserve">Oliveira, F. e Gouveia, L. </v>
      </c>
      <c r="J464" s="10" t="str">
        <f t="shared" si="8"/>
        <v xml:space="preserve">Oliveira, F.;Gouveia, L. </v>
      </c>
      <c r="K464" s="11" t="str">
        <f ca="1">IFERROR(__xludf.DUMMYFUNCTION("SPLIT(J464,"";"")"),"Oliveira, F.")</f>
        <v>Oliveira, F.</v>
      </c>
      <c r="L464" s="10" t="str">
        <f ca="1">IFERROR(__xludf.DUMMYFUNCTION("""COMPUTED_VALUE"""),"Gouveia, L. ")</f>
        <v xml:space="preserve">Gouveia, L. </v>
      </c>
      <c r="M464" s="10"/>
      <c r="N464" s="10"/>
      <c r="O464" s="10"/>
      <c r="P464" s="10"/>
      <c r="Q464" s="10"/>
      <c r="R464" s="10"/>
      <c r="S464" s="10"/>
      <c r="T464" s="10"/>
      <c r="U464" s="10"/>
      <c r="V464" s="10"/>
      <c r="W464" s="10"/>
      <c r="X464" s="10"/>
      <c r="Y464" s="10"/>
      <c r="Z464" s="10"/>
    </row>
    <row r="465" spans="1:26" ht="17.25" customHeight="1" x14ac:dyDescent="0.3">
      <c r="A465" s="10" t="s">
        <v>597</v>
      </c>
      <c r="B465" s="10">
        <f t="shared" si="0"/>
        <v>38</v>
      </c>
      <c r="C465" s="8" t="str">
        <f t="shared" si="1"/>
        <v xml:space="preserve">Mançú, R; Gouveia, L. e Cordeira, S. </v>
      </c>
      <c r="D465" s="8" t="str">
        <f t="shared" si="2"/>
        <v>2019</v>
      </c>
      <c r="E465" s="10">
        <f t="shared" si="3"/>
        <v>43</v>
      </c>
      <c r="F465" s="10">
        <f t="shared" si="4"/>
        <v>235</v>
      </c>
      <c r="G465" s="8" t="str">
        <f t="shared" si="5"/>
        <v xml:space="preserve"> Práticas de gestão e operacional para atender os requisitos das normas ABNT NBR ISO dos Sistemas de Gestão Integrados (SGI) e dos Regulamentos Técnicos da Agência Nacional do Petróleo (ANP). </v>
      </c>
      <c r="H465" s="10" t="str">
        <f t="shared" si="6"/>
        <v xml:space="preserve">Mançú, R; Gouveia, L. e Cordeira, S. </v>
      </c>
      <c r="I465" s="10" t="str">
        <f t="shared" si="7"/>
        <v xml:space="preserve">Mançú, R; Gouveia, L. e Cordeira, S. </v>
      </c>
      <c r="J465" s="10" t="str">
        <f t="shared" si="8"/>
        <v xml:space="preserve">Mançú, R; Gouveia, L.;Cordeira, S. </v>
      </c>
      <c r="K465" s="11" t="str">
        <f ca="1">IFERROR(__xludf.DUMMYFUNCTION("SPLIT(J465,"";"")"),"Mançú, R")</f>
        <v>Mançú, R</v>
      </c>
      <c r="L465" s="10" t="str">
        <f ca="1">IFERROR(__xludf.DUMMYFUNCTION("""COMPUTED_VALUE""")," Gouveia, L.")</f>
        <v xml:space="preserve"> Gouveia, L.</v>
      </c>
      <c r="M465" s="10" t="str">
        <f ca="1">IFERROR(__xludf.DUMMYFUNCTION("""COMPUTED_VALUE"""),"Cordeira, S. ")</f>
        <v xml:space="preserve">Cordeira, S. </v>
      </c>
      <c r="N465" s="10"/>
      <c r="O465" s="10"/>
      <c r="P465" s="10"/>
      <c r="Q465" s="10"/>
      <c r="R465" s="10"/>
      <c r="S465" s="10"/>
      <c r="T465" s="10"/>
      <c r="U465" s="10"/>
      <c r="V465" s="10"/>
      <c r="W465" s="10"/>
      <c r="X465" s="10"/>
      <c r="Y465" s="10"/>
      <c r="Z465" s="10"/>
    </row>
    <row r="466" spans="1:26" ht="17.25" customHeight="1" x14ac:dyDescent="0.3">
      <c r="A466" s="10" t="s">
        <v>598</v>
      </c>
      <c r="B466" s="10">
        <f t="shared" si="0"/>
        <v>26</v>
      </c>
      <c r="C466" s="8" t="str">
        <f t="shared" si="1"/>
        <v xml:space="preserve">Guerra, F. e Gouveia, L. </v>
      </c>
      <c r="D466" s="8" t="str">
        <f t="shared" si="2"/>
        <v>2019</v>
      </c>
      <c r="E466" s="10">
        <f t="shared" si="3"/>
        <v>31</v>
      </c>
      <c r="F466" s="10">
        <f t="shared" si="4"/>
        <v>211</v>
      </c>
      <c r="G466" s="8" t="str">
        <f t="shared" si="5"/>
        <v xml:space="preserve"> Competências necessárias para adequação e implantação a escrituração contábil digital: estudo comparativo das organizações prestadoras de serviços contábeis de Brasil e Portugal. </v>
      </c>
      <c r="H466" s="10" t="str">
        <f t="shared" si="6"/>
        <v xml:space="preserve">Guerra, F. e Gouveia, L. </v>
      </c>
      <c r="I466" s="10" t="str">
        <f t="shared" si="7"/>
        <v xml:space="preserve">Guerra, F. e Gouveia, L. </v>
      </c>
      <c r="J466" s="10" t="str">
        <f t="shared" si="8"/>
        <v xml:space="preserve">Guerra, F.;Gouveia, L. </v>
      </c>
      <c r="K466" s="11" t="str">
        <f ca="1">IFERROR(__xludf.DUMMYFUNCTION("SPLIT(J466,"";"")"),"Guerra, F.")</f>
        <v>Guerra, F.</v>
      </c>
      <c r="L466" s="10" t="str">
        <f ca="1">IFERROR(__xludf.DUMMYFUNCTION("""COMPUTED_VALUE"""),"Gouveia, L. ")</f>
        <v xml:space="preserve">Gouveia, L. </v>
      </c>
      <c r="M466" s="10"/>
      <c r="N466" s="10"/>
      <c r="O466" s="10"/>
      <c r="P466" s="10"/>
      <c r="Q466" s="10"/>
      <c r="R466" s="10"/>
      <c r="S466" s="10"/>
      <c r="T466" s="10"/>
      <c r="U466" s="10"/>
      <c r="V466" s="10"/>
      <c r="W466" s="10"/>
      <c r="X466" s="10"/>
      <c r="Y466" s="10"/>
      <c r="Z466" s="10"/>
    </row>
    <row r="467" spans="1:26" ht="17.25" customHeight="1" x14ac:dyDescent="0.3">
      <c r="A467" s="10" t="s">
        <v>599</v>
      </c>
      <c r="B467" s="10">
        <f t="shared" si="0"/>
        <v>25</v>
      </c>
      <c r="C467" s="8" t="str">
        <f t="shared" si="1"/>
        <v xml:space="preserve">Rocha, D. e Gouveia, L. </v>
      </c>
      <c r="D467" s="8" t="str">
        <f t="shared" si="2"/>
        <v>2019</v>
      </c>
      <c r="E467" s="10">
        <f t="shared" si="3"/>
        <v>30</v>
      </c>
      <c r="F467" s="10">
        <f t="shared" si="4"/>
        <v>138</v>
      </c>
      <c r="G467" s="8" t="str">
        <f t="shared" si="5"/>
        <v xml:space="preserve"> Curadoria de Conteúdo para Educação a Distância: modelo de referência de qualidade para o ensino superior. </v>
      </c>
      <c r="H467" s="10" t="str">
        <f t="shared" si="6"/>
        <v xml:space="preserve">Rocha, D. e Gouveia, L. </v>
      </c>
      <c r="I467" s="10" t="str">
        <f t="shared" si="7"/>
        <v xml:space="preserve">Rocha, D. e Gouveia, L. </v>
      </c>
      <c r="J467" s="10" t="str">
        <f t="shared" si="8"/>
        <v xml:space="preserve">Rocha, D.;Gouveia, L. </v>
      </c>
      <c r="K467" s="11" t="str">
        <f ca="1">IFERROR(__xludf.DUMMYFUNCTION("SPLIT(J467,"";"")"),"Rocha, D.")</f>
        <v>Rocha, D.</v>
      </c>
      <c r="L467" s="10" t="str">
        <f ca="1">IFERROR(__xludf.DUMMYFUNCTION("""COMPUTED_VALUE"""),"Gouveia, L. ")</f>
        <v xml:space="preserve">Gouveia, L. </v>
      </c>
      <c r="M467" s="10"/>
      <c r="N467" s="10"/>
      <c r="O467" s="10"/>
      <c r="P467" s="10"/>
      <c r="Q467" s="10"/>
      <c r="R467" s="10"/>
      <c r="S467" s="10"/>
      <c r="T467" s="10"/>
      <c r="U467" s="10"/>
      <c r="V467" s="10"/>
      <c r="W467" s="10"/>
      <c r="X467" s="10"/>
      <c r="Y467" s="10"/>
      <c r="Z467" s="10"/>
    </row>
    <row r="468" spans="1:26" ht="17.25" customHeight="1" x14ac:dyDescent="0.3">
      <c r="A468" s="10" t="s">
        <v>600</v>
      </c>
      <c r="B468" s="10">
        <f t="shared" si="0"/>
        <v>25</v>
      </c>
      <c r="C468" s="8" t="str">
        <f t="shared" si="1"/>
        <v xml:space="preserve">Pinho, M. e Gouveia, L. </v>
      </c>
      <c r="D468" s="8" t="str">
        <f t="shared" si="2"/>
        <v>2019</v>
      </c>
      <c r="E468" s="10">
        <f t="shared" si="3"/>
        <v>30</v>
      </c>
      <c r="F468" s="10">
        <f t="shared" si="4"/>
        <v>99</v>
      </c>
      <c r="G468" s="8" t="str">
        <f t="shared" si="5"/>
        <v xml:space="preserve"> Dados Abertos ao Público Alvo - caso prático do transporte escolar. </v>
      </c>
      <c r="H468" s="10" t="str">
        <f t="shared" si="6"/>
        <v xml:space="preserve">Pinho, M. e Gouveia, L. </v>
      </c>
      <c r="I468" s="10" t="str">
        <f t="shared" si="7"/>
        <v xml:space="preserve">Pinho, M. e Gouveia, L. </v>
      </c>
      <c r="J468" s="10" t="str">
        <f t="shared" si="8"/>
        <v xml:space="preserve">Pinho, M.;Gouveia, L. </v>
      </c>
      <c r="K468" s="11" t="str">
        <f ca="1">IFERROR(__xludf.DUMMYFUNCTION("SPLIT(J468,"";"")"),"Pinho, M.")</f>
        <v>Pinho, M.</v>
      </c>
      <c r="L468" s="10" t="str">
        <f ca="1">IFERROR(__xludf.DUMMYFUNCTION("""COMPUTED_VALUE"""),"Gouveia, L. ")</f>
        <v xml:space="preserve">Gouveia, L. </v>
      </c>
      <c r="M468" s="10"/>
      <c r="N468" s="10"/>
      <c r="O468" s="10"/>
      <c r="P468" s="10"/>
      <c r="Q468" s="10"/>
      <c r="R468" s="10"/>
      <c r="S468" s="10"/>
      <c r="T468" s="10"/>
      <c r="U468" s="10"/>
      <c r="V468" s="10"/>
      <c r="W468" s="10"/>
      <c r="X468" s="10"/>
      <c r="Y468" s="10"/>
      <c r="Z468" s="10"/>
    </row>
    <row r="469" spans="1:26" ht="17.25" customHeight="1" x14ac:dyDescent="0.3">
      <c r="A469" s="10" t="s">
        <v>601</v>
      </c>
      <c r="B469" s="10">
        <f t="shared" si="0"/>
        <v>27</v>
      </c>
      <c r="C469" s="8" t="str">
        <f t="shared" si="1"/>
        <v xml:space="preserve">Pereira, R. e Gouveia, L. </v>
      </c>
      <c r="D469" s="8" t="str">
        <f t="shared" si="2"/>
        <v>2019</v>
      </c>
      <c r="E469" s="10">
        <f t="shared" si="3"/>
        <v>32</v>
      </c>
      <c r="F469" s="10">
        <f t="shared" si="4"/>
        <v>110</v>
      </c>
      <c r="G469" s="8" t="str">
        <f t="shared" si="5"/>
        <v xml:space="preserve"> Educação Ambiental: uma proposta interdisciplinar e interescolar gamificada. </v>
      </c>
      <c r="H469" s="10" t="str">
        <f t="shared" si="6"/>
        <v xml:space="preserve">Pereira, R. e Gouveia, L. </v>
      </c>
      <c r="I469" s="10" t="str">
        <f t="shared" si="7"/>
        <v xml:space="preserve">Pereira, R. e Gouveia, L. </v>
      </c>
      <c r="J469" s="10" t="str">
        <f t="shared" si="8"/>
        <v xml:space="preserve">Pereira, R.;Gouveia, L. </v>
      </c>
      <c r="K469" s="11" t="str">
        <f ca="1">IFERROR(__xludf.DUMMYFUNCTION("SPLIT(J469,"";"")"),"Pereira, R.")</f>
        <v>Pereira, R.</v>
      </c>
      <c r="L469" s="10" t="str">
        <f ca="1">IFERROR(__xludf.DUMMYFUNCTION("""COMPUTED_VALUE"""),"Gouveia, L. ")</f>
        <v xml:space="preserve">Gouveia, L. </v>
      </c>
      <c r="M469" s="10"/>
      <c r="N469" s="10"/>
      <c r="O469" s="10"/>
      <c r="P469" s="10"/>
      <c r="Q469" s="10"/>
      <c r="R469" s="10"/>
      <c r="S469" s="10"/>
      <c r="T469" s="10"/>
      <c r="U469" s="10"/>
      <c r="V469" s="10"/>
      <c r="W469" s="10"/>
      <c r="X469" s="10"/>
      <c r="Y469" s="10"/>
      <c r="Z469" s="10"/>
    </row>
    <row r="470" spans="1:26" ht="17.25" customHeight="1" x14ac:dyDescent="0.3">
      <c r="A470" s="10" t="s">
        <v>602</v>
      </c>
      <c r="B470" s="10">
        <f t="shared" si="0"/>
        <v>25</v>
      </c>
      <c r="C470" s="8" t="str">
        <f t="shared" si="1"/>
        <v xml:space="preserve">Rocha, C. e Gouveia, L. </v>
      </c>
      <c r="D470" s="8" t="str">
        <f t="shared" si="2"/>
        <v>2019</v>
      </c>
      <c r="E470" s="10">
        <f t="shared" si="3"/>
        <v>30</v>
      </c>
      <c r="F470" s="10">
        <f t="shared" si="4"/>
        <v>96</v>
      </c>
      <c r="G470" s="8" t="str">
        <f t="shared" si="5"/>
        <v xml:space="preserve"> Uso de Live Stream no Ensino Superior no Brasil: estudo de caso. </v>
      </c>
      <c r="H470" s="10" t="str">
        <f t="shared" si="6"/>
        <v xml:space="preserve">Rocha, C. e Gouveia, L. </v>
      </c>
      <c r="I470" s="10" t="str">
        <f t="shared" si="7"/>
        <v xml:space="preserve">Rocha, C. e Gouveia, L. </v>
      </c>
      <c r="J470" s="10" t="str">
        <f t="shared" si="8"/>
        <v xml:space="preserve">Rocha, C.;Gouveia, L. </v>
      </c>
      <c r="K470" s="11" t="str">
        <f ca="1">IFERROR(__xludf.DUMMYFUNCTION("SPLIT(J470,"";"")"),"Rocha, C.")</f>
        <v>Rocha, C.</v>
      </c>
      <c r="L470" s="10" t="str">
        <f ca="1">IFERROR(__xludf.DUMMYFUNCTION("""COMPUTED_VALUE"""),"Gouveia, L. ")</f>
        <v xml:space="preserve">Gouveia, L. </v>
      </c>
      <c r="M470" s="10"/>
      <c r="N470" s="10"/>
      <c r="O470" s="10"/>
      <c r="P470" s="10"/>
      <c r="Q470" s="10"/>
      <c r="R470" s="10"/>
      <c r="S470" s="10"/>
      <c r="T470" s="10"/>
      <c r="U470" s="10"/>
      <c r="V470" s="10"/>
      <c r="W470" s="10"/>
      <c r="X470" s="10"/>
      <c r="Y470" s="10"/>
      <c r="Z470" s="10"/>
    </row>
    <row r="471" spans="1:26" ht="17.25" customHeight="1" x14ac:dyDescent="0.3">
      <c r="A471" s="10" t="s">
        <v>603</v>
      </c>
      <c r="B471" s="10">
        <f t="shared" si="0"/>
        <v>40</v>
      </c>
      <c r="C471" s="8" t="str">
        <f t="shared" si="1"/>
        <v xml:space="preserve">Lourenço, M.; Rurato, P. e Gouveia, L. </v>
      </c>
      <c r="D471" s="8" t="str">
        <f t="shared" si="2"/>
        <v>2019</v>
      </c>
      <c r="E471" s="10">
        <f t="shared" si="3"/>
        <v>45</v>
      </c>
      <c r="F471" s="10">
        <f t="shared" si="4"/>
        <v>158</v>
      </c>
      <c r="G471" s="8" t="str">
        <f t="shared" si="5"/>
        <v xml:space="preserve"> (Re) aprendizagem do Professor do Ensino Superior face ao triângulo Educação, Tecnologia e Aprendizagem em EAD. </v>
      </c>
      <c r="H471" s="10" t="str">
        <f t="shared" si="6"/>
        <v xml:space="preserve">Lourenço, M.; Rurato, P. e Gouveia, L. </v>
      </c>
      <c r="I471" s="10" t="str">
        <f t="shared" si="7"/>
        <v xml:space="preserve">Lourenço, M.; Rurato, P. e Gouveia, L. </v>
      </c>
      <c r="J471" s="10" t="str">
        <f t="shared" si="8"/>
        <v xml:space="preserve">Lourenço, M.; Rurato, P.;Gouveia, L. </v>
      </c>
      <c r="K471" s="11" t="str">
        <f ca="1">IFERROR(__xludf.DUMMYFUNCTION("SPLIT(J471,"";"")"),"Lourenço, M.")</f>
        <v>Lourenço, M.</v>
      </c>
      <c r="L471" s="10" t="str">
        <f ca="1">IFERROR(__xludf.DUMMYFUNCTION("""COMPUTED_VALUE""")," Rurato, P.")</f>
        <v xml:space="preserve"> Rurato, P.</v>
      </c>
      <c r="M471" s="10" t="str">
        <f ca="1">IFERROR(__xludf.DUMMYFUNCTION("""COMPUTED_VALUE"""),"Gouveia, L. ")</f>
        <v xml:space="preserve">Gouveia, L. </v>
      </c>
      <c r="N471" s="10"/>
      <c r="O471" s="10"/>
      <c r="P471" s="10"/>
      <c r="Q471" s="10"/>
      <c r="R471" s="10"/>
      <c r="S471" s="10"/>
      <c r="T471" s="10"/>
      <c r="U471" s="10"/>
      <c r="V471" s="10"/>
      <c r="W471" s="10"/>
      <c r="X471" s="10"/>
      <c r="Y471" s="10"/>
      <c r="Z471" s="10"/>
    </row>
    <row r="472" spans="1:26" ht="17.25" customHeight="1" x14ac:dyDescent="0.3">
      <c r="A472" s="10" t="s">
        <v>604</v>
      </c>
      <c r="B472" s="10">
        <f t="shared" si="0"/>
        <v>26</v>
      </c>
      <c r="C472" s="8" t="str">
        <f t="shared" si="1"/>
        <v xml:space="preserve">Abjaud, J. e Gouveia, L. </v>
      </c>
      <c r="D472" s="8" t="str">
        <f t="shared" si="2"/>
        <v>2019</v>
      </c>
      <c r="E472" s="10">
        <f t="shared" si="3"/>
        <v>31</v>
      </c>
      <c r="F472" s="10">
        <f t="shared" si="4"/>
        <v>119</v>
      </c>
      <c r="G472" s="8" t="str">
        <f t="shared" si="5"/>
        <v xml:space="preserve"> Determinantes do Desempenho das Universidades Privadas de Ensino Superior Brasileiras. </v>
      </c>
      <c r="H472" s="10" t="str">
        <f t="shared" si="6"/>
        <v xml:space="preserve">Abjaud, J. e Gouveia, L. </v>
      </c>
      <c r="I472" s="10" t="str">
        <f t="shared" si="7"/>
        <v xml:space="preserve">Abjaud, J. e Gouveia, L. </v>
      </c>
      <c r="J472" s="10" t="str">
        <f t="shared" si="8"/>
        <v xml:space="preserve">Abjaud, J.;Gouveia, L. </v>
      </c>
      <c r="K472" s="11" t="str">
        <f ca="1">IFERROR(__xludf.DUMMYFUNCTION("SPLIT(J472,"";"")"),"Abjaud, J.")</f>
        <v>Abjaud, J.</v>
      </c>
      <c r="L472" s="10" t="str">
        <f ca="1">IFERROR(__xludf.DUMMYFUNCTION("""COMPUTED_VALUE"""),"Gouveia, L. ")</f>
        <v xml:space="preserve">Gouveia, L. </v>
      </c>
      <c r="M472" s="10"/>
      <c r="N472" s="10"/>
      <c r="O472" s="10"/>
      <c r="P472" s="10"/>
      <c r="Q472" s="10"/>
      <c r="R472" s="10"/>
      <c r="S472" s="10"/>
      <c r="T472" s="10"/>
      <c r="U472" s="10"/>
      <c r="V472" s="10"/>
      <c r="W472" s="10"/>
      <c r="X472" s="10"/>
      <c r="Y472" s="10"/>
      <c r="Z472" s="10"/>
    </row>
    <row r="473" spans="1:26" ht="17.25" customHeight="1" x14ac:dyDescent="0.3">
      <c r="A473" s="10" t="s">
        <v>605</v>
      </c>
      <c r="B473" s="10">
        <f t="shared" si="0"/>
        <v>27</v>
      </c>
      <c r="C473" s="8" t="str">
        <f t="shared" si="1"/>
        <v xml:space="preserve">Portela, F. e Gouveia, L. </v>
      </c>
      <c r="D473" s="8" t="str">
        <f t="shared" si="2"/>
        <v>2019</v>
      </c>
      <c r="E473" s="10">
        <f t="shared" si="3"/>
        <v>32</v>
      </c>
      <c r="F473" s="10">
        <f t="shared" si="4"/>
        <v>182</v>
      </c>
      <c r="G473" s="8" t="str">
        <f t="shared" si="5"/>
        <v xml:space="preserve"> Os níveis de transparência dos portais eletrónicos dos estados da região do nordeste entre os anos de 2016 a 2019 e os seus indicadores pertinentes. </v>
      </c>
      <c r="H473" s="10" t="str">
        <f t="shared" si="6"/>
        <v xml:space="preserve">Portela, F. e Gouveia, L. </v>
      </c>
      <c r="I473" s="10" t="str">
        <f t="shared" si="7"/>
        <v xml:space="preserve">Portela, F. e Gouveia, L. </v>
      </c>
      <c r="J473" s="10" t="str">
        <f t="shared" si="8"/>
        <v xml:space="preserve">Portela, F.;Gouveia, L. </v>
      </c>
      <c r="K473" s="11" t="str">
        <f ca="1">IFERROR(__xludf.DUMMYFUNCTION("SPLIT(J473,"";"")"),"Portela, F.")</f>
        <v>Portela, F.</v>
      </c>
      <c r="L473" s="10" t="str">
        <f ca="1">IFERROR(__xludf.DUMMYFUNCTION("""COMPUTED_VALUE"""),"Gouveia, L. ")</f>
        <v xml:space="preserve">Gouveia, L. </v>
      </c>
      <c r="M473" s="10"/>
      <c r="N473" s="10"/>
      <c r="O473" s="10"/>
      <c r="P473" s="10"/>
      <c r="Q473" s="10"/>
      <c r="R473" s="10"/>
      <c r="S473" s="10"/>
      <c r="T473" s="10"/>
      <c r="U473" s="10"/>
      <c r="V473" s="10"/>
      <c r="W473" s="10"/>
      <c r="X473" s="10"/>
      <c r="Y473" s="10"/>
      <c r="Z473" s="10"/>
    </row>
    <row r="474" spans="1:26" ht="17.25" customHeight="1" x14ac:dyDescent="0.3">
      <c r="A474" s="10" t="s">
        <v>606</v>
      </c>
      <c r="B474" s="10">
        <f t="shared" si="0"/>
        <v>13</v>
      </c>
      <c r="C474" s="8" t="str">
        <f t="shared" si="1"/>
        <v xml:space="preserve">Gouveia, L. </v>
      </c>
      <c r="D474" s="8" t="str">
        <f t="shared" si="2"/>
        <v>2019</v>
      </c>
      <c r="E474" s="10">
        <f t="shared" si="3"/>
        <v>18</v>
      </c>
      <c r="F474" s="10">
        <f t="shared" si="4"/>
        <v>87</v>
      </c>
      <c r="G474" s="8" t="str">
        <f t="shared" si="5"/>
        <v xml:space="preserve"> Bibliometria e produção científica Ferramentas digitais associadas. </v>
      </c>
      <c r="H474" s="10" t="str">
        <f t="shared" si="6"/>
        <v xml:space="preserve">Gouveia, L. </v>
      </c>
      <c r="I474" s="10" t="str">
        <f t="shared" si="7"/>
        <v xml:space="preserve">Gouveia, L. </v>
      </c>
      <c r="J474" s="10" t="str">
        <f t="shared" si="8"/>
        <v xml:space="preserve">Gouveia, L. </v>
      </c>
      <c r="K474" s="11" t="str">
        <f ca="1">IFERROR(__xludf.DUMMYFUNCTION("SPLIT(J474,"";"")"),"Gouveia, L. ")</f>
        <v xml:space="preserve">Gouveia, L. </v>
      </c>
      <c r="L474" s="10"/>
      <c r="M474" s="10"/>
      <c r="N474" s="10"/>
      <c r="O474" s="10"/>
      <c r="P474" s="10"/>
      <c r="Q474" s="10"/>
      <c r="R474" s="10"/>
      <c r="S474" s="10"/>
      <c r="T474" s="10"/>
      <c r="U474" s="10"/>
      <c r="V474" s="10"/>
      <c r="W474" s="10"/>
      <c r="X474" s="10"/>
      <c r="Y474" s="10"/>
      <c r="Z474" s="10"/>
    </row>
    <row r="475" spans="1:26" ht="17.25" customHeight="1" x14ac:dyDescent="0.3">
      <c r="A475" s="10" t="s">
        <v>607</v>
      </c>
      <c r="B475" s="10">
        <f t="shared" si="0"/>
        <v>13</v>
      </c>
      <c r="C475" s="8" t="str">
        <f t="shared" si="1"/>
        <v xml:space="preserve">Gouveia, L. </v>
      </c>
      <c r="D475" s="8" t="str">
        <f t="shared" si="2"/>
        <v>2019</v>
      </c>
      <c r="E475" s="10">
        <f t="shared" si="3"/>
        <v>18</v>
      </c>
      <c r="F475" s="10">
        <f t="shared" si="4"/>
        <v>102</v>
      </c>
      <c r="G475" s="8" t="str">
        <f t="shared" si="5"/>
        <v xml:space="preserve"> A gestão da informação no tempo do digital: pessoas, dados e plataformas digitais. </v>
      </c>
      <c r="H475" s="10" t="str">
        <f t="shared" si="6"/>
        <v xml:space="preserve">Gouveia, L. </v>
      </c>
      <c r="I475" s="10" t="str">
        <f t="shared" si="7"/>
        <v xml:space="preserve">Gouveia, L. </v>
      </c>
      <c r="J475" s="10" t="str">
        <f t="shared" si="8"/>
        <v xml:space="preserve">Gouveia, L. </v>
      </c>
      <c r="K475" s="11" t="str">
        <f ca="1">IFERROR(__xludf.DUMMYFUNCTION("SPLIT(J475,"";"")"),"Gouveia, L. ")</f>
        <v xml:space="preserve">Gouveia, L. </v>
      </c>
      <c r="L475" s="10"/>
      <c r="M475" s="10"/>
      <c r="N475" s="10"/>
      <c r="O475" s="10"/>
      <c r="P475" s="10"/>
      <c r="Q475" s="10"/>
      <c r="R475" s="10"/>
      <c r="S475" s="10"/>
      <c r="T475" s="10"/>
      <c r="U475" s="10"/>
      <c r="V475" s="10"/>
      <c r="W475" s="10"/>
      <c r="X475" s="10"/>
      <c r="Y475" s="10"/>
      <c r="Z475" s="10"/>
    </row>
    <row r="476" spans="1:26" ht="17.25" customHeight="1" x14ac:dyDescent="0.3">
      <c r="A476" s="10" t="s">
        <v>608</v>
      </c>
      <c r="B476" s="10">
        <f t="shared" si="0"/>
        <v>13</v>
      </c>
      <c r="C476" s="8" t="str">
        <f t="shared" si="1"/>
        <v xml:space="preserve">Gouveia, L. </v>
      </c>
      <c r="D476" s="8" t="str">
        <f t="shared" si="2"/>
        <v>2019</v>
      </c>
      <c r="E476" s="10">
        <f t="shared" si="3"/>
        <v>18</v>
      </c>
      <c r="F476" s="10">
        <f t="shared" si="4"/>
        <v>64</v>
      </c>
      <c r="G476" s="8" t="str">
        <f t="shared" si="5"/>
        <v xml:space="preserve"> Cibersegurança e proteção do espaço digital. </v>
      </c>
      <c r="H476" s="10" t="str">
        <f t="shared" si="6"/>
        <v xml:space="preserve">Gouveia, L. </v>
      </c>
      <c r="I476" s="10" t="str">
        <f t="shared" si="7"/>
        <v xml:space="preserve">Gouveia, L. </v>
      </c>
      <c r="J476" s="10" t="str">
        <f t="shared" si="8"/>
        <v xml:space="preserve">Gouveia, L. </v>
      </c>
      <c r="K476" s="11" t="str">
        <f ca="1">IFERROR(__xludf.DUMMYFUNCTION("SPLIT(J476,"";"")"),"Gouveia, L. ")</f>
        <v xml:space="preserve">Gouveia, L. </v>
      </c>
      <c r="L476" s="10"/>
      <c r="M476" s="10"/>
      <c r="N476" s="10"/>
      <c r="O476" s="10"/>
      <c r="P476" s="10"/>
      <c r="Q476" s="10"/>
      <c r="R476" s="10"/>
      <c r="S476" s="10"/>
      <c r="T476" s="10"/>
      <c r="U476" s="10"/>
      <c r="V476" s="10"/>
      <c r="W476" s="10"/>
      <c r="X476" s="10"/>
      <c r="Y476" s="10"/>
      <c r="Z476" s="10"/>
    </row>
    <row r="477" spans="1:26" ht="17.25" customHeight="1" x14ac:dyDescent="0.3">
      <c r="A477" s="10" t="s">
        <v>609</v>
      </c>
      <c r="B477" s="10">
        <f t="shared" si="0"/>
        <v>13</v>
      </c>
      <c r="C477" s="8" t="str">
        <f t="shared" si="1"/>
        <v xml:space="preserve">Gouveia, L. </v>
      </c>
      <c r="D477" s="8" t="str">
        <f t="shared" si="2"/>
        <v>2019</v>
      </c>
      <c r="E477" s="10">
        <f t="shared" si="3"/>
        <v>18</v>
      </c>
      <c r="F477" s="10">
        <f t="shared" si="4"/>
        <v>69</v>
      </c>
      <c r="G477" s="8" t="str">
        <f t="shared" si="5"/>
        <v xml:space="preserve"> Desafios para o ensino e aprendizagem no digital. </v>
      </c>
      <c r="H477" s="10" t="str">
        <f t="shared" si="6"/>
        <v xml:space="preserve">Gouveia, L. </v>
      </c>
      <c r="I477" s="10" t="str">
        <f t="shared" si="7"/>
        <v xml:space="preserve">Gouveia, L. </v>
      </c>
      <c r="J477" s="10" t="str">
        <f t="shared" si="8"/>
        <v xml:space="preserve">Gouveia, L. </v>
      </c>
      <c r="K477" s="11" t="str">
        <f ca="1">IFERROR(__xludf.DUMMYFUNCTION("SPLIT(J477,"";"")"),"Gouveia, L. ")</f>
        <v xml:space="preserve">Gouveia, L. </v>
      </c>
      <c r="L477" s="10"/>
      <c r="M477" s="10"/>
      <c r="N477" s="10"/>
      <c r="O477" s="10"/>
      <c r="P477" s="10"/>
      <c r="Q477" s="10"/>
      <c r="R477" s="10"/>
      <c r="S477" s="10"/>
      <c r="T477" s="10"/>
      <c r="U477" s="10"/>
      <c r="V477" s="10"/>
      <c r="W477" s="10"/>
      <c r="X477" s="10"/>
      <c r="Y477" s="10"/>
      <c r="Z477" s="10"/>
    </row>
    <row r="478" spans="1:26" ht="17.25" customHeight="1" x14ac:dyDescent="0.3">
      <c r="A478" s="10" t="s">
        <v>610</v>
      </c>
      <c r="B478" s="10">
        <f t="shared" si="0"/>
        <v>13</v>
      </c>
      <c r="C478" s="8" t="str">
        <f t="shared" si="1"/>
        <v xml:space="preserve">Gouveia, L. </v>
      </c>
      <c r="D478" s="8" t="str">
        <f t="shared" si="2"/>
        <v>2019</v>
      </c>
      <c r="E478" s="10">
        <f t="shared" si="3"/>
        <v>18</v>
      </c>
      <c r="F478" s="10">
        <f t="shared" si="4"/>
        <v>58</v>
      </c>
      <c r="G478" s="8" t="str">
        <f t="shared" si="5"/>
        <v xml:space="preserve"> As Pessoas, o Digital e o Ciberespaço. </v>
      </c>
      <c r="H478" s="10" t="str">
        <f t="shared" si="6"/>
        <v xml:space="preserve">Gouveia, L. </v>
      </c>
      <c r="I478" s="10" t="str">
        <f t="shared" si="7"/>
        <v xml:space="preserve">Gouveia, L. </v>
      </c>
      <c r="J478" s="10" t="str">
        <f t="shared" si="8"/>
        <v xml:space="preserve">Gouveia, L. </v>
      </c>
      <c r="K478" s="11" t="str">
        <f ca="1">IFERROR(__xludf.DUMMYFUNCTION("SPLIT(J478,"";"")"),"Gouveia, L. ")</f>
        <v xml:space="preserve">Gouveia, L. </v>
      </c>
      <c r="L478" s="10"/>
      <c r="M478" s="10"/>
      <c r="N478" s="10"/>
      <c r="O478" s="10"/>
      <c r="P478" s="10"/>
      <c r="Q478" s="10"/>
      <c r="R478" s="10"/>
      <c r="S478" s="10"/>
      <c r="T478" s="10"/>
      <c r="U478" s="10"/>
      <c r="V478" s="10"/>
      <c r="W478" s="10"/>
      <c r="X478" s="10"/>
      <c r="Y478" s="10"/>
      <c r="Z478" s="10"/>
    </row>
    <row r="479" spans="1:26" ht="17.25" customHeight="1" x14ac:dyDescent="0.3">
      <c r="A479" s="10" t="s">
        <v>611</v>
      </c>
      <c r="B479" s="10">
        <f t="shared" si="0"/>
        <v>13</v>
      </c>
      <c r="C479" s="8" t="str">
        <f t="shared" si="1"/>
        <v xml:space="preserve">Gouveia, L. </v>
      </c>
      <c r="D479" s="8" t="str">
        <f t="shared" si="2"/>
        <v>2019</v>
      </c>
      <c r="E479" s="10">
        <f t="shared" si="3"/>
        <v>18</v>
      </c>
      <c r="F479" s="10">
        <f t="shared" si="4"/>
        <v>60</v>
      </c>
      <c r="G479" s="8" t="str">
        <f t="shared" si="5"/>
        <v xml:space="preserve"> Responder a um contexto digital nas IES. </v>
      </c>
      <c r="H479" s="10" t="str">
        <f t="shared" si="6"/>
        <v xml:space="preserve">Gouveia, L. </v>
      </c>
      <c r="I479" s="10" t="str">
        <f t="shared" si="7"/>
        <v xml:space="preserve">Gouveia, L. </v>
      </c>
      <c r="J479" s="10" t="str">
        <f t="shared" si="8"/>
        <v xml:space="preserve">Gouveia, L. </v>
      </c>
      <c r="K479" s="11" t="str">
        <f ca="1">IFERROR(__xludf.DUMMYFUNCTION("SPLIT(J479,"";"")"),"Gouveia, L. ")</f>
        <v xml:space="preserve">Gouveia, L. </v>
      </c>
      <c r="L479" s="10"/>
      <c r="M479" s="10"/>
      <c r="N479" s="10"/>
      <c r="O479" s="10"/>
      <c r="P479" s="10"/>
      <c r="Q479" s="10"/>
      <c r="R479" s="10"/>
      <c r="S479" s="10"/>
      <c r="T479" s="10"/>
      <c r="U479" s="10"/>
      <c r="V479" s="10"/>
      <c r="W479" s="10"/>
      <c r="X479" s="10"/>
      <c r="Y479" s="10"/>
      <c r="Z479" s="10"/>
    </row>
    <row r="480" spans="1:26" ht="17.25" customHeight="1" x14ac:dyDescent="0.3">
      <c r="A480" s="10" t="s">
        <v>612</v>
      </c>
      <c r="B480" s="10">
        <f t="shared" si="0"/>
        <v>13</v>
      </c>
      <c r="C480" s="8" t="str">
        <f t="shared" si="1"/>
        <v xml:space="preserve">Gouveia, L. </v>
      </c>
      <c r="D480" s="8" t="str">
        <f t="shared" si="2"/>
        <v>2018</v>
      </c>
      <c r="E480" s="10">
        <f t="shared" si="3"/>
        <v>18</v>
      </c>
      <c r="F480" s="10">
        <f t="shared" si="4"/>
        <v>76</v>
      </c>
      <c r="G480" s="8" t="str">
        <f t="shared" si="5"/>
        <v xml:space="preserve"> As questões associadas com a proteção do espaço digital. </v>
      </c>
      <c r="H480" s="10" t="str">
        <f t="shared" si="6"/>
        <v xml:space="preserve">Gouveia, L. </v>
      </c>
      <c r="I480" s="10" t="str">
        <f t="shared" si="7"/>
        <v xml:space="preserve">Gouveia, L. </v>
      </c>
      <c r="J480" s="10" t="str">
        <f t="shared" si="8"/>
        <v xml:space="preserve">Gouveia, L. </v>
      </c>
      <c r="K480" s="11" t="str">
        <f ca="1">IFERROR(__xludf.DUMMYFUNCTION("SPLIT(J480,"";"")"),"Gouveia, L. ")</f>
        <v xml:space="preserve">Gouveia, L. </v>
      </c>
      <c r="L480" s="10"/>
      <c r="M480" s="10"/>
      <c r="N480" s="10"/>
      <c r="O480" s="10"/>
      <c r="P480" s="10"/>
      <c r="Q480" s="10"/>
      <c r="R480" s="10"/>
      <c r="S480" s="10"/>
      <c r="T480" s="10"/>
      <c r="U480" s="10"/>
      <c r="V480" s="10"/>
      <c r="W480" s="10"/>
      <c r="X480" s="10"/>
      <c r="Y480" s="10"/>
      <c r="Z480" s="10"/>
    </row>
    <row r="481" spans="1:26" ht="17.25" customHeight="1" x14ac:dyDescent="0.3">
      <c r="A481" s="10" t="s">
        <v>613</v>
      </c>
      <c r="B481" s="10">
        <f t="shared" si="0"/>
        <v>13</v>
      </c>
      <c r="C481" s="8" t="str">
        <f t="shared" si="1"/>
        <v xml:space="preserve">Gouveia, L. </v>
      </c>
      <c r="D481" s="8" t="str">
        <f t="shared" si="2"/>
        <v>2018</v>
      </c>
      <c r="E481" s="10">
        <f t="shared" si="3"/>
        <v>18</v>
      </c>
      <c r="F481" s="10">
        <f t="shared" si="4"/>
        <v>78</v>
      </c>
      <c r="G481" s="8" t="str">
        <f t="shared" si="5"/>
        <v xml:space="preserve"> Plataformas digitais de serviço público e a prova digital. </v>
      </c>
      <c r="H481" s="10" t="str">
        <f t="shared" si="6"/>
        <v xml:space="preserve">Gouveia, L. </v>
      </c>
      <c r="I481" s="10" t="str">
        <f t="shared" si="7"/>
        <v xml:space="preserve">Gouveia, L. </v>
      </c>
      <c r="J481" s="10" t="str">
        <f t="shared" si="8"/>
        <v xml:space="preserve">Gouveia, L. </v>
      </c>
      <c r="K481" s="11" t="str">
        <f ca="1">IFERROR(__xludf.DUMMYFUNCTION("SPLIT(J481,"";"")"),"Gouveia, L. ")</f>
        <v xml:space="preserve">Gouveia, L. </v>
      </c>
      <c r="L481" s="10"/>
      <c r="M481" s="10"/>
      <c r="N481" s="10"/>
      <c r="O481" s="10"/>
      <c r="P481" s="10"/>
      <c r="Q481" s="10"/>
      <c r="R481" s="10"/>
      <c r="S481" s="10"/>
      <c r="T481" s="10"/>
      <c r="U481" s="10"/>
      <c r="V481" s="10"/>
      <c r="W481" s="10"/>
      <c r="X481" s="10"/>
      <c r="Y481" s="10"/>
      <c r="Z481" s="10"/>
    </row>
    <row r="482" spans="1:26" ht="17.25" customHeight="1" x14ac:dyDescent="0.3">
      <c r="A482" s="10" t="s">
        <v>614</v>
      </c>
      <c r="B482" s="10">
        <f t="shared" si="0"/>
        <v>28</v>
      </c>
      <c r="C482" s="8" t="str">
        <f t="shared" si="1"/>
        <v xml:space="preserve">Oliveira, M. e Gouveia, L. </v>
      </c>
      <c r="D482" s="8" t="str">
        <f t="shared" si="2"/>
        <v>2018</v>
      </c>
      <c r="E482" s="10">
        <f t="shared" si="3"/>
        <v>33</v>
      </c>
      <c r="F482" s="10">
        <f t="shared" si="4"/>
        <v>112</v>
      </c>
      <c r="G482" s="8" t="str">
        <f t="shared" si="5"/>
        <v xml:space="preserve"> Um algoritmo de seleção polinomial para mensuração de densidade radiográfica. </v>
      </c>
      <c r="H482" s="10" t="str">
        <f t="shared" si="6"/>
        <v xml:space="preserve">Oliveira, M. e Gouveia, L. </v>
      </c>
      <c r="I482" s="10" t="str">
        <f t="shared" si="7"/>
        <v xml:space="preserve">Oliveira, M. e Gouveia, L. </v>
      </c>
      <c r="J482" s="10" t="str">
        <f t="shared" si="8"/>
        <v xml:space="preserve">Oliveira, M.;Gouveia, L. </v>
      </c>
      <c r="K482" s="11" t="str">
        <f ca="1">IFERROR(__xludf.DUMMYFUNCTION("SPLIT(J482,"";"")"),"Oliveira, M.")</f>
        <v>Oliveira, M.</v>
      </c>
      <c r="L482" s="10" t="str">
        <f ca="1">IFERROR(__xludf.DUMMYFUNCTION("""COMPUTED_VALUE"""),"Gouveia, L. ")</f>
        <v xml:space="preserve">Gouveia, L. </v>
      </c>
      <c r="M482" s="10"/>
      <c r="N482" s="10"/>
      <c r="O482" s="10"/>
      <c r="P482" s="10"/>
      <c r="Q482" s="10"/>
      <c r="R482" s="10"/>
      <c r="S482" s="10"/>
      <c r="T482" s="10"/>
      <c r="U482" s="10"/>
      <c r="V482" s="10"/>
      <c r="W482" s="10"/>
      <c r="X482" s="10"/>
      <c r="Y482" s="10"/>
      <c r="Z482" s="10"/>
    </row>
    <row r="483" spans="1:26" ht="17.25" customHeight="1" x14ac:dyDescent="0.3">
      <c r="A483" s="10" t="s">
        <v>615</v>
      </c>
      <c r="B483" s="10">
        <f t="shared" si="0"/>
        <v>28</v>
      </c>
      <c r="C483" s="8" t="str">
        <f t="shared" si="1"/>
        <v xml:space="preserve">Carvalho, M. e Gouveia, L. </v>
      </c>
      <c r="D483" s="8" t="str">
        <f t="shared" si="2"/>
        <v>2018</v>
      </c>
      <c r="E483" s="10">
        <f t="shared" si="3"/>
        <v>33</v>
      </c>
      <c r="F483" s="10">
        <f t="shared" si="4"/>
        <v>113</v>
      </c>
      <c r="G483" s="8" t="str">
        <f t="shared" si="5"/>
        <v xml:space="preserve"> Fluxo Informacionais: Interligações de Processos de Informação e Conhecimento. </v>
      </c>
      <c r="H483" s="10" t="str">
        <f t="shared" si="6"/>
        <v xml:space="preserve">Carvalho, M. e Gouveia, L. </v>
      </c>
      <c r="I483" s="10" t="str">
        <f t="shared" si="7"/>
        <v xml:space="preserve">Carvalho, M. e Gouveia, L. </v>
      </c>
      <c r="J483" s="10" t="str">
        <f t="shared" si="8"/>
        <v xml:space="preserve">Carvalho, M.;Gouveia, L. </v>
      </c>
      <c r="K483" s="11" t="str">
        <f ca="1">IFERROR(__xludf.DUMMYFUNCTION("SPLIT(J483,"";"")"),"Carvalho, M.")</f>
        <v>Carvalho, M.</v>
      </c>
      <c r="L483" s="10" t="str">
        <f ca="1">IFERROR(__xludf.DUMMYFUNCTION("""COMPUTED_VALUE"""),"Gouveia, L. ")</f>
        <v xml:space="preserve">Gouveia, L. </v>
      </c>
      <c r="M483" s="10"/>
      <c r="N483" s="10"/>
      <c r="O483" s="10"/>
      <c r="P483" s="10"/>
      <c r="Q483" s="10"/>
      <c r="R483" s="10"/>
      <c r="S483" s="10"/>
      <c r="T483" s="10"/>
      <c r="U483" s="10"/>
      <c r="V483" s="10"/>
      <c r="W483" s="10"/>
      <c r="X483" s="10"/>
      <c r="Y483" s="10"/>
      <c r="Z483" s="10"/>
    </row>
    <row r="484" spans="1:26" ht="17.25" customHeight="1" x14ac:dyDescent="0.3">
      <c r="A484" s="10" t="s">
        <v>616</v>
      </c>
      <c r="B484" s="10">
        <f t="shared" si="0"/>
        <v>26</v>
      </c>
      <c r="C484" s="8" t="str">
        <f t="shared" si="1"/>
        <v xml:space="preserve">Araújo, A. e Gouveia, L. </v>
      </c>
      <c r="D484" s="8" t="str">
        <f t="shared" si="2"/>
        <v>2018</v>
      </c>
      <c r="E484" s="10">
        <f t="shared" si="3"/>
        <v>31</v>
      </c>
      <c r="F484" s="10">
        <f t="shared" si="4"/>
        <v>137</v>
      </c>
      <c r="G484" s="8" t="str">
        <f t="shared" si="5"/>
        <v xml:space="preserve"> Tecnologia de Informação e Educação Aplicada ao Ensino Superior: Percepções em uma IES em Belém do Pará. </v>
      </c>
      <c r="H484" s="10" t="str">
        <f t="shared" si="6"/>
        <v xml:space="preserve">Araújo, A. e Gouveia, L. </v>
      </c>
      <c r="I484" s="10" t="str">
        <f t="shared" si="7"/>
        <v xml:space="preserve">Araújo, A. e Gouveia, L. </v>
      </c>
      <c r="J484" s="10" t="str">
        <f t="shared" si="8"/>
        <v xml:space="preserve">Araújo, A.;Gouveia, L. </v>
      </c>
      <c r="K484" s="11" t="str">
        <f ca="1">IFERROR(__xludf.DUMMYFUNCTION("SPLIT(J484,"";"")"),"Araújo, A.")</f>
        <v>Araújo, A.</v>
      </c>
      <c r="L484" s="10" t="str">
        <f ca="1">IFERROR(__xludf.DUMMYFUNCTION("""COMPUTED_VALUE"""),"Gouveia, L. ")</f>
        <v xml:space="preserve">Gouveia, L. </v>
      </c>
      <c r="M484" s="10"/>
      <c r="N484" s="10"/>
      <c r="O484" s="10"/>
      <c r="P484" s="10"/>
      <c r="Q484" s="10"/>
      <c r="R484" s="10"/>
      <c r="S484" s="10"/>
      <c r="T484" s="10"/>
      <c r="U484" s="10"/>
      <c r="V484" s="10"/>
      <c r="W484" s="10"/>
      <c r="X484" s="10"/>
      <c r="Y484" s="10"/>
      <c r="Z484" s="10"/>
    </row>
    <row r="485" spans="1:26" ht="17.25" customHeight="1" x14ac:dyDescent="0.3">
      <c r="A485" s="10" t="s">
        <v>617</v>
      </c>
      <c r="B485" s="10">
        <f t="shared" si="0"/>
        <v>27</v>
      </c>
      <c r="C485" s="8" t="str">
        <f t="shared" si="1"/>
        <v xml:space="preserve">Correia, A. e Gouveia, L. </v>
      </c>
      <c r="D485" s="8" t="str">
        <f t="shared" si="2"/>
        <v>2018</v>
      </c>
      <c r="E485" s="10">
        <f t="shared" si="3"/>
        <v>32</v>
      </c>
      <c r="F485" s="10">
        <f t="shared" si="4"/>
        <v>63</v>
      </c>
      <c r="G485" s="8" t="str">
        <f t="shared" si="5"/>
        <v xml:space="preserve"> Cidades Inteligentes e poder. </v>
      </c>
      <c r="H485" s="10" t="str">
        <f t="shared" si="6"/>
        <v xml:space="preserve">Correia, A. e Gouveia, L. </v>
      </c>
      <c r="I485" s="10" t="str">
        <f t="shared" si="7"/>
        <v xml:space="preserve">Correia, A. e Gouveia, L. </v>
      </c>
      <c r="J485" s="10" t="str">
        <f t="shared" si="8"/>
        <v xml:space="preserve">Correia, A.;Gouveia, L. </v>
      </c>
      <c r="K485" s="11" t="str">
        <f ca="1">IFERROR(__xludf.DUMMYFUNCTION("SPLIT(J485,"";"")"),"Correia, A.")</f>
        <v>Correia, A.</v>
      </c>
      <c r="L485" s="10" t="str">
        <f ca="1">IFERROR(__xludf.DUMMYFUNCTION("""COMPUTED_VALUE"""),"Gouveia, L. ")</f>
        <v xml:space="preserve">Gouveia, L. </v>
      </c>
      <c r="M485" s="10"/>
      <c r="N485" s="10"/>
      <c r="O485" s="10"/>
      <c r="P485" s="10"/>
      <c r="Q485" s="10"/>
      <c r="R485" s="10"/>
      <c r="S485" s="10"/>
      <c r="T485" s="10"/>
      <c r="U485" s="10"/>
      <c r="V485" s="10"/>
      <c r="W485" s="10"/>
      <c r="X485" s="10"/>
      <c r="Y485" s="10"/>
      <c r="Z485" s="10"/>
    </row>
    <row r="486" spans="1:26" ht="17.25" customHeight="1" x14ac:dyDescent="0.3">
      <c r="A486" s="10" t="s">
        <v>618</v>
      </c>
      <c r="B486" s="10">
        <f t="shared" si="0"/>
        <v>25</v>
      </c>
      <c r="C486" s="8" t="str">
        <f t="shared" si="1"/>
        <v xml:space="preserve">Pinho, N. e Gouveia, L. </v>
      </c>
      <c r="D486" s="8" t="str">
        <f t="shared" si="2"/>
        <v>2018</v>
      </c>
      <c r="E486" s="10">
        <f t="shared" si="3"/>
        <v>30</v>
      </c>
      <c r="F486" s="10">
        <f t="shared" si="4"/>
        <v>118</v>
      </c>
      <c r="G486" s="8" t="str">
        <f t="shared" si="5"/>
        <v xml:space="preserve"> O uso do governo digital pelo controle social no combate à corrupção pública no Ceará. </v>
      </c>
      <c r="H486" s="10" t="str">
        <f t="shared" si="6"/>
        <v xml:space="preserve">Pinho, N. e Gouveia, L. </v>
      </c>
      <c r="I486" s="10" t="str">
        <f t="shared" si="7"/>
        <v xml:space="preserve">Pinho, N. e Gouveia, L. </v>
      </c>
      <c r="J486" s="10" t="str">
        <f t="shared" si="8"/>
        <v xml:space="preserve">Pinho, N.;Gouveia, L. </v>
      </c>
      <c r="K486" s="11" t="str">
        <f ca="1">IFERROR(__xludf.DUMMYFUNCTION("SPLIT(J486,"";"")"),"Pinho, N.")</f>
        <v>Pinho, N.</v>
      </c>
      <c r="L486" s="10" t="str">
        <f ca="1">IFERROR(__xludf.DUMMYFUNCTION("""COMPUTED_VALUE"""),"Gouveia, L. ")</f>
        <v xml:space="preserve">Gouveia, L. </v>
      </c>
      <c r="M486" s="10"/>
      <c r="N486" s="10"/>
      <c r="O486" s="10"/>
      <c r="P486" s="10"/>
      <c r="Q486" s="10"/>
      <c r="R486" s="10"/>
      <c r="S486" s="10"/>
      <c r="T486" s="10"/>
      <c r="U486" s="10"/>
      <c r="V486" s="10"/>
      <c r="W486" s="10"/>
      <c r="X486" s="10"/>
      <c r="Y486" s="10"/>
      <c r="Z486" s="10"/>
    </row>
    <row r="487" spans="1:26" ht="17.25" customHeight="1" x14ac:dyDescent="0.3">
      <c r="A487" s="10" t="s">
        <v>619</v>
      </c>
      <c r="B487" s="10">
        <f t="shared" si="0"/>
        <v>37</v>
      </c>
      <c r="C487" s="8" t="str">
        <f t="shared" si="1"/>
        <v xml:space="preserve">Araújo, P.; Gouveia, L. e Toldy, T. </v>
      </c>
      <c r="D487" s="8" t="str">
        <f t="shared" si="2"/>
        <v>2018</v>
      </c>
      <c r="E487" s="10">
        <f t="shared" si="3"/>
        <v>42</v>
      </c>
      <c r="F487" s="10">
        <f t="shared" si="4"/>
        <v>146</v>
      </c>
      <c r="G487" s="8" t="str">
        <f t="shared" si="5"/>
        <v xml:space="preserve"> Sistema Esfera Pública Digital: uma plataforma digital para gestão da informação da Educação Especial. </v>
      </c>
      <c r="H487" s="10" t="str">
        <f t="shared" si="6"/>
        <v xml:space="preserve">Araújo, P.; Gouveia, L. e Toldy, T. </v>
      </c>
      <c r="I487" s="10" t="str">
        <f t="shared" si="7"/>
        <v xml:space="preserve">Araújo, P.; Gouveia, L. e Toldy, T. </v>
      </c>
      <c r="J487" s="10" t="str">
        <f t="shared" si="8"/>
        <v xml:space="preserve">Araújo, P.; Gouveia, L.;Toldy, T. </v>
      </c>
      <c r="K487" s="11" t="str">
        <f ca="1">IFERROR(__xludf.DUMMYFUNCTION("SPLIT(J487,"";"")"),"Araújo, P.")</f>
        <v>Araújo, P.</v>
      </c>
      <c r="L487" s="10" t="str">
        <f ca="1">IFERROR(__xludf.DUMMYFUNCTION("""COMPUTED_VALUE""")," Gouveia, L.")</f>
        <v xml:space="preserve"> Gouveia, L.</v>
      </c>
      <c r="M487" s="10" t="str">
        <f ca="1">IFERROR(__xludf.DUMMYFUNCTION("""COMPUTED_VALUE"""),"Toldy, T. ")</f>
        <v xml:space="preserve">Toldy, T. </v>
      </c>
      <c r="N487" s="10"/>
      <c r="O487" s="10"/>
      <c r="P487" s="10"/>
      <c r="Q487" s="10"/>
      <c r="R487" s="10"/>
      <c r="S487" s="10"/>
      <c r="T487" s="10"/>
      <c r="U487" s="10"/>
      <c r="V487" s="10"/>
      <c r="W487" s="10"/>
      <c r="X487" s="10"/>
      <c r="Y487" s="10"/>
      <c r="Z487" s="10"/>
    </row>
    <row r="488" spans="1:26" ht="17.25" customHeight="1" x14ac:dyDescent="0.3">
      <c r="A488" s="10" t="s">
        <v>620</v>
      </c>
      <c r="B488" s="10">
        <f t="shared" si="0"/>
        <v>13</v>
      </c>
      <c r="C488" s="8" t="str">
        <f t="shared" si="1"/>
        <v xml:space="preserve">Gouveia, L. </v>
      </c>
      <c r="D488" s="8" t="str">
        <f t="shared" si="2"/>
        <v>2017</v>
      </c>
      <c r="E488" s="10">
        <f t="shared" si="3"/>
        <v>18</v>
      </c>
      <c r="F488" s="10">
        <f t="shared" si="4"/>
        <v>61</v>
      </c>
      <c r="G488" s="8" t="str">
        <f t="shared" si="5"/>
        <v xml:space="preserve"> O Digital e as pessoas no contexto ciber. </v>
      </c>
      <c r="H488" s="10" t="str">
        <f t="shared" si="6"/>
        <v xml:space="preserve">Gouveia, L. </v>
      </c>
      <c r="I488" s="10" t="str">
        <f t="shared" si="7"/>
        <v xml:space="preserve">Gouveia, L. </v>
      </c>
      <c r="J488" s="10" t="str">
        <f t="shared" si="8"/>
        <v xml:space="preserve">Gouveia, L. </v>
      </c>
      <c r="K488" s="11" t="str">
        <f ca="1">IFERROR(__xludf.DUMMYFUNCTION("SPLIT(J488,"";"")"),"Gouveia, L. ")</f>
        <v xml:space="preserve">Gouveia, L. </v>
      </c>
      <c r="L488" s="10"/>
      <c r="M488" s="10"/>
      <c r="N488" s="10"/>
      <c r="O488" s="10"/>
      <c r="P488" s="10"/>
      <c r="Q488" s="10"/>
      <c r="R488" s="10"/>
      <c r="S488" s="10"/>
      <c r="T488" s="10"/>
      <c r="U488" s="10"/>
      <c r="V488" s="10"/>
      <c r="W488" s="10"/>
      <c r="X488" s="10"/>
      <c r="Y488" s="10"/>
      <c r="Z488" s="10"/>
    </row>
    <row r="489" spans="1:26" ht="17.25" customHeight="1" x14ac:dyDescent="0.3">
      <c r="A489" s="10" t="s">
        <v>621</v>
      </c>
      <c r="B489" s="10">
        <f t="shared" si="0"/>
        <v>13</v>
      </c>
      <c r="C489" s="8" t="str">
        <f t="shared" si="1"/>
        <v xml:space="preserve">Gouveia, L. </v>
      </c>
      <c r="D489" s="8" t="str">
        <f t="shared" si="2"/>
        <v>2017</v>
      </c>
      <c r="E489" s="10">
        <f t="shared" si="3"/>
        <v>18</v>
      </c>
      <c r="F489" s="10">
        <f t="shared" si="4"/>
        <v>74</v>
      </c>
      <c r="G489" s="8" t="str">
        <f t="shared" si="5"/>
        <v xml:space="preserve"> Da transmissão à partilha e do desempenho à interação. </v>
      </c>
      <c r="H489" s="10" t="str">
        <f t="shared" si="6"/>
        <v xml:space="preserve">Gouveia, L. </v>
      </c>
      <c r="I489" s="10" t="str">
        <f t="shared" si="7"/>
        <v xml:space="preserve">Gouveia, L. </v>
      </c>
      <c r="J489" s="10" t="str">
        <f t="shared" si="8"/>
        <v xml:space="preserve">Gouveia, L. </v>
      </c>
      <c r="K489" s="11" t="str">
        <f ca="1">IFERROR(__xludf.DUMMYFUNCTION("SPLIT(J489,"";"")"),"Gouveia, L. ")</f>
        <v xml:space="preserve">Gouveia, L. </v>
      </c>
      <c r="L489" s="10"/>
      <c r="M489" s="10"/>
      <c r="N489" s="10"/>
      <c r="O489" s="10"/>
      <c r="P489" s="10"/>
      <c r="Q489" s="10"/>
      <c r="R489" s="10"/>
      <c r="S489" s="10"/>
      <c r="T489" s="10"/>
      <c r="U489" s="10"/>
      <c r="V489" s="10"/>
      <c r="W489" s="10"/>
      <c r="X489" s="10"/>
      <c r="Y489" s="10"/>
      <c r="Z489" s="10"/>
    </row>
    <row r="490" spans="1:26" ht="17.25" customHeight="1" x14ac:dyDescent="0.3">
      <c r="A490" s="10" t="s">
        <v>622</v>
      </c>
      <c r="B490" s="10">
        <f t="shared" si="0"/>
        <v>1</v>
      </c>
      <c r="C490" s="8" t="str">
        <f t="shared" si="1"/>
        <v/>
      </c>
      <c r="D490" s="8" t="str">
        <f t="shared" si="2"/>
        <v>2017</v>
      </c>
      <c r="E490" s="10">
        <f t="shared" si="3"/>
        <v>6</v>
      </c>
      <c r="F490" s="10">
        <f t="shared" si="4"/>
        <v>19</v>
      </c>
      <c r="G490" s="8" t="str">
        <f t="shared" si="5"/>
        <v xml:space="preserve"> Gouveia, L. </v>
      </c>
      <c r="H490" s="10" t="str">
        <f t="shared" si="6"/>
        <v/>
      </c>
      <c r="I490" s="10" t="str">
        <f t="shared" si="7"/>
        <v/>
      </c>
      <c r="J490" s="10" t="str">
        <f t="shared" si="8"/>
        <v/>
      </c>
      <c r="K490" s="11" t="str">
        <f ca="1">IFERROR(__xludf.DUMMYFUNCTION("SPLIT(J490,"";"")"),"#VALUE!")</f>
        <v>#VALUE!</v>
      </c>
      <c r="L490" s="10"/>
      <c r="M490" s="10"/>
      <c r="N490" s="10"/>
      <c r="O490" s="10"/>
      <c r="P490" s="10"/>
      <c r="Q490" s="10"/>
      <c r="R490" s="10"/>
      <c r="S490" s="10"/>
      <c r="T490" s="10"/>
      <c r="U490" s="10"/>
      <c r="V490" s="10"/>
      <c r="W490" s="10"/>
      <c r="X490" s="10"/>
      <c r="Y490" s="10"/>
      <c r="Z490" s="10"/>
    </row>
    <row r="491" spans="1:26" ht="17.25" customHeight="1" x14ac:dyDescent="0.3">
      <c r="A491" s="10" t="s">
        <v>623</v>
      </c>
      <c r="B491" s="10">
        <f t="shared" si="0"/>
        <v>13</v>
      </c>
      <c r="C491" s="8" t="str">
        <f t="shared" si="1"/>
        <v xml:space="preserve">Gouveia, L. </v>
      </c>
      <c r="D491" s="8" t="str">
        <f t="shared" si="2"/>
        <v>2017</v>
      </c>
      <c r="E491" s="10">
        <f t="shared" si="3"/>
        <v>18</v>
      </c>
      <c r="F491" s="10">
        <f t="shared" si="4"/>
        <v>101</v>
      </c>
      <c r="G491" s="8" t="str">
        <f t="shared" si="5"/>
        <v xml:space="preserve"> Desafios e certezas para o Capital Humano e Intelectual na Administração Pública. </v>
      </c>
      <c r="H491" s="10" t="str">
        <f t="shared" si="6"/>
        <v xml:space="preserve">Gouveia, L. </v>
      </c>
      <c r="I491" s="10" t="str">
        <f t="shared" si="7"/>
        <v xml:space="preserve">Gouveia, L. </v>
      </c>
      <c r="J491" s="10" t="str">
        <f t="shared" si="8"/>
        <v xml:space="preserve">Gouveia, L. </v>
      </c>
      <c r="K491" s="11" t="str">
        <f ca="1">IFERROR(__xludf.DUMMYFUNCTION("SPLIT(J491,"";"")"),"Gouveia, L. ")</f>
        <v xml:space="preserve">Gouveia, L. </v>
      </c>
      <c r="L491" s="10"/>
      <c r="M491" s="10"/>
      <c r="N491" s="10"/>
      <c r="O491" s="10"/>
      <c r="P491" s="10"/>
      <c r="Q491" s="10"/>
      <c r="R491" s="10"/>
      <c r="S491" s="10"/>
      <c r="T491" s="10"/>
      <c r="U491" s="10"/>
      <c r="V491" s="10"/>
      <c r="W491" s="10"/>
      <c r="X491" s="10"/>
      <c r="Y491" s="10"/>
      <c r="Z491" s="10"/>
    </row>
    <row r="492" spans="1:26" ht="17.25" customHeight="1" x14ac:dyDescent="0.3">
      <c r="A492" s="10" t="s">
        <v>624</v>
      </c>
      <c r="B492" s="10">
        <f t="shared" si="0"/>
        <v>27</v>
      </c>
      <c r="C492" s="8" t="str">
        <f t="shared" si="1"/>
        <v xml:space="preserve">Menezes, N. e Gouveia, L. </v>
      </c>
      <c r="D492" s="8" t="str">
        <f t="shared" si="2"/>
        <v>2017</v>
      </c>
      <c r="E492" s="10">
        <f t="shared" si="3"/>
        <v>32</v>
      </c>
      <c r="F492" s="10">
        <f t="shared" si="4"/>
        <v>152</v>
      </c>
      <c r="G492" s="8" t="str">
        <f t="shared" si="5"/>
        <v xml:space="preserve"> O recurso a tecnologias de informação e comunicação para suporte da atividade em sala de aula: uma proposta de modelo. </v>
      </c>
      <c r="H492" s="10" t="str">
        <f t="shared" si="6"/>
        <v xml:space="preserve">Menezes, N. e Gouveia, L. </v>
      </c>
      <c r="I492" s="10" t="str">
        <f t="shared" si="7"/>
        <v xml:space="preserve">Menezes, N. e Gouveia, L. </v>
      </c>
      <c r="J492" s="10" t="str">
        <f t="shared" si="8"/>
        <v xml:space="preserve">Menezes, N.;Gouveia, L. </v>
      </c>
      <c r="K492" s="11" t="str">
        <f ca="1">IFERROR(__xludf.DUMMYFUNCTION("SPLIT(J492,"";"")"),"Menezes, N.")</f>
        <v>Menezes, N.</v>
      </c>
      <c r="L492" s="10" t="str">
        <f ca="1">IFERROR(__xludf.DUMMYFUNCTION("""COMPUTED_VALUE"""),"Gouveia, L. ")</f>
        <v xml:space="preserve">Gouveia, L. </v>
      </c>
      <c r="M492" s="10"/>
      <c r="N492" s="10"/>
      <c r="O492" s="10"/>
      <c r="P492" s="10"/>
      <c r="Q492" s="10"/>
      <c r="R492" s="10"/>
      <c r="S492" s="10"/>
      <c r="T492" s="10"/>
      <c r="U492" s="10"/>
      <c r="V492" s="10"/>
      <c r="W492" s="10"/>
      <c r="X492" s="10"/>
      <c r="Y492" s="10"/>
      <c r="Z492" s="10"/>
    </row>
    <row r="493" spans="1:26" ht="17.25" customHeight="1" x14ac:dyDescent="0.3">
      <c r="A493" s="10" t="s">
        <v>625</v>
      </c>
      <c r="B493" s="10">
        <f t="shared" si="0"/>
        <v>36</v>
      </c>
      <c r="C493" s="8" t="str">
        <f t="shared" si="1"/>
        <v xml:space="preserve">Alvre, P.; Gouveia, L. e Sousa, S. </v>
      </c>
      <c r="D493" s="8" t="str">
        <f t="shared" si="2"/>
        <v>2017</v>
      </c>
      <c r="E493" s="10">
        <f t="shared" si="3"/>
        <v>41</v>
      </c>
      <c r="F493" s="10">
        <f t="shared" si="4"/>
        <v>106</v>
      </c>
      <c r="G493" s="8" t="str">
        <f t="shared" si="5"/>
        <v xml:space="preserve"> A study on using interface animations in online shopping sites. </v>
      </c>
      <c r="H493" s="10" t="str">
        <f t="shared" si="6"/>
        <v xml:space="preserve">Alvre, P.; Gouveia, L. e Sousa, S. </v>
      </c>
      <c r="I493" s="10" t="str">
        <f t="shared" si="7"/>
        <v xml:space="preserve">Alvre, P.; Gouveia, L. e Sousa, S. </v>
      </c>
      <c r="J493" s="10" t="str">
        <f t="shared" si="8"/>
        <v xml:space="preserve">Alvre, P.; Gouveia, L.;Sousa, S. </v>
      </c>
      <c r="K493" s="11" t="str">
        <f ca="1">IFERROR(__xludf.DUMMYFUNCTION("SPLIT(J493,"";"")"),"Alvre, P.")</f>
        <v>Alvre, P.</v>
      </c>
      <c r="L493" s="10" t="str">
        <f ca="1">IFERROR(__xludf.DUMMYFUNCTION("""COMPUTED_VALUE""")," Gouveia, L.")</f>
        <v xml:space="preserve"> Gouveia, L.</v>
      </c>
      <c r="M493" s="10" t="str">
        <f ca="1">IFERROR(__xludf.DUMMYFUNCTION("""COMPUTED_VALUE"""),"Sousa, S. ")</f>
        <v xml:space="preserve">Sousa, S. </v>
      </c>
      <c r="N493" s="10"/>
      <c r="O493" s="10"/>
      <c r="P493" s="10"/>
      <c r="Q493" s="10"/>
      <c r="R493" s="10"/>
      <c r="S493" s="10"/>
      <c r="T493" s="10"/>
      <c r="U493" s="10"/>
      <c r="V493" s="10"/>
      <c r="W493" s="10"/>
      <c r="X493" s="10"/>
      <c r="Y493" s="10"/>
      <c r="Z493" s="10"/>
    </row>
    <row r="494" spans="1:26" ht="17.25" customHeight="1" x14ac:dyDescent="0.3">
      <c r="A494" s="10" t="s">
        <v>626</v>
      </c>
      <c r="B494" s="10">
        <f t="shared" si="0"/>
        <v>28</v>
      </c>
      <c r="C494" s="8" t="str">
        <f t="shared" si="1"/>
        <v xml:space="preserve">Oliveira, M. e Gouveia, L. </v>
      </c>
      <c r="D494" s="8" t="str">
        <f t="shared" si="2"/>
        <v>2017</v>
      </c>
      <c r="E494" s="10">
        <f t="shared" si="3"/>
        <v>33</v>
      </c>
      <c r="F494" s="10">
        <f t="shared" si="4"/>
        <v>129</v>
      </c>
      <c r="G494" s="8" t="str">
        <f t="shared" si="5"/>
        <v xml:space="preserve"> Estudo da viabilidade da técnica de densidade radiográfica para mensuração de densidade óssea. </v>
      </c>
      <c r="H494" s="10" t="str">
        <f t="shared" si="6"/>
        <v xml:space="preserve">Oliveira, M. e Gouveia, L. </v>
      </c>
      <c r="I494" s="10" t="str">
        <f t="shared" si="7"/>
        <v xml:space="preserve">Oliveira, M. e Gouveia, L. </v>
      </c>
      <c r="J494" s="10" t="str">
        <f t="shared" si="8"/>
        <v xml:space="preserve">Oliveira, M.;Gouveia, L. </v>
      </c>
      <c r="K494" s="11" t="str">
        <f ca="1">IFERROR(__xludf.DUMMYFUNCTION("SPLIT(J494,"";"")"),"Oliveira, M.")</f>
        <v>Oliveira, M.</v>
      </c>
      <c r="L494" s="10" t="str">
        <f ca="1">IFERROR(__xludf.DUMMYFUNCTION("""COMPUTED_VALUE"""),"Gouveia, L. ")</f>
        <v xml:space="preserve">Gouveia, L. </v>
      </c>
      <c r="M494" s="10"/>
      <c r="N494" s="10"/>
      <c r="O494" s="10"/>
      <c r="P494" s="10"/>
      <c r="Q494" s="10"/>
      <c r="R494" s="10"/>
      <c r="S494" s="10"/>
      <c r="T494" s="10"/>
      <c r="U494" s="10"/>
      <c r="V494" s="10"/>
      <c r="W494" s="10"/>
      <c r="X494" s="10"/>
      <c r="Y494" s="10"/>
      <c r="Z494" s="10"/>
    </row>
    <row r="495" spans="1:26" ht="17.25" customHeight="1" x14ac:dyDescent="0.3">
      <c r="A495" s="10" t="s">
        <v>627</v>
      </c>
      <c r="B495" s="10">
        <f t="shared" si="0"/>
        <v>27</v>
      </c>
      <c r="C495" s="8" t="str">
        <f t="shared" si="1"/>
        <v xml:space="preserve">Correia, A. e Gouveia, L. </v>
      </c>
      <c r="D495" s="8" t="str">
        <f t="shared" si="2"/>
        <v>2017</v>
      </c>
      <c r="E495" s="10">
        <f t="shared" si="3"/>
        <v>32</v>
      </c>
      <c r="F495" s="10">
        <f t="shared" si="4"/>
        <v>102</v>
      </c>
      <c r="G495" s="8" t="str">
        <f t="shared" si="5"/>
        <v xml:space="preserve"> Cidades Digitais: uma perspetiva diferenciada dos espaços na cidade. </v>
      </c>
      <c r="H495" s="10" t="str">
        <f t="shared" si="6"/>
        <v xml:space="preserve">Correia, A. e Gouveia, L. </v>
      </c>
      <c r="I495" s="10" t="str">
        <f t="shared" si="7"/>
        <v xml:space="preserve">Correia, A. e Gouveia, L. </v>
      </c>
      <c r="J495" s="10" t="str">
        <f t="shared" si="8"/>
        <v xml:space="preserve">Correia, A.;Gouveia, L. </v>
      </c>
      <c r="K495" s="11" t="str">
        <f ca="1">IFERROR(__xludf.DUMMYFUNCTION("SPLIT(J495,"";"")"),"Correia, A.")</f>
        <v>Correia, A.</v>
      </c>
      <c r="L495" s="10" t="str">
        <f ca="1">IFERROR(__xludf.DUMMYFUNCTION("""COMPUTED_VALUE"""),"Gouveia, L. ")</f>
        <v xml:space="preserve">Gouveia, L. </v>
      </c>
      <c r="M495" s="10"/>
      <c r="N495" s="10"/>
      <c r="O495" s="10"/>
      <c r="P495" s="10"/>
      <c r="Q495" s="10"/>
      <c r="R495" s="10"/>
      <c r="S495" s="10"/>
      <c r="T495" s="10"/>
      <c r="U495" s="10"/>
      <c r="V495" s="10"/>
      <c r="W495" s="10"/>
      <c r="X495" s="10"/>
      <c r="Y495" s="10"/>
      <c r="Z495" s="10"/>
    </row>
    <row r="496" spans="1:26" ht="17.25" customHeight="1" x14ac:dyDescent="0.3">
      <c r="A496" s="10" t="s">
        <v>628</v>
      </c>
      <c r="B496" s="10">
        <f t="shared" si="0"/>
        <v>27</v>
      </c>
      <c r="C496" s="8" t="str">
        <f t="shared" si="1"/>
        <v xml:space="preserve">Morgado, R. e Gouveia, L. </v>
      </c>
      <c r="D496" s="8" t="str">
        <f t="shared" si="2"/>
        <v>2017</v>
      </c>
      <c r="E496" s="10">
        <f t="shared" si="3"/>
        <v>32</v>
      </c>
      <c r="F496" s="10">
        <f t="shared" si="4"/>
        <v>75</v>
      </c>
      <c r="G496" s="8" t="str">
        <f t="shared" si="5"/>
        <v xml:space="preserve"> A importância da proteção do ciberespaço. </v>
      </c>
      <c r="H496" s="10" t="str">
        <f t="shared" si="6"/>
        <v xml:space="preserve">Morgado, R. e Gouveia, L. </v>
      </c>
      <c r="I496" s="10" t="str">
        <f t="shared" si="7"/>
        <v xml:space="preserve">Morgado, R. e Gouveia, L. </v>
      </c>
      <c r="J496" s="10" t="str">
        <f t="shared" si="8"/>
        <v xml:space="preserve">Morgado, R.;Gouveia, L. </v>
      </c>
      <c r="K496" s="11" t="str">
        <f ca="1">IFERROR(__xludf.DUMMYFUNCTION("SPLIT(J496,"";"")"),"Morgado, R.")</f>
        <v>Morgado, R.</v>
      </c>
      <c r="L496" s="10" t="str">
        <f ca="1">IFERROR(__xludf.DUMMYFUNCTION("""COMPUTED_VALUE"""),"Gouveia, L. ")</f>
        <v xml:space="preserve">Gouveia, L. </v>
      </c>
      <c r="M496" s="10"/>
      <c r="N496" s="10"/>
      <c r="O496" s="10"/>
      <c r="P496" s="10"/>
      <c r="Q496" s="10"/>
      <c r="R496" s="10"/>
      <c r="S496" s="10"/>
      <c r="T496" s="10"/>
      <c r="U496" s="10"/>
      <c r="V496" s="10"/>
      <c r="W496" s="10"/>
      <c r="X496" s="10"/>
      <c r="Y496" s="10"/>
      <c r="Z496" s="10"/>
    </row>
    <row r="497" spans="1:26" ht="17.25" customHeight="1" x14ac:dyDescent="0.3">
      <c r="A497" s="10" t="s">
        <v>629</v>
      </c>
      <c r="B497" s="10">
        <f t="shared" si="0"/>
        <v>24</v>
      </c>
      <c r="C497" s="8" t="str">
        <f t="shared" si="1"/>
        <v xml:space="preserve">Khan, S. e Gouveia, L. </v>
      </c>
      <c r="D497" s="8" t="str">
        <f t="shared" si="2"/>
        <v>2017</v>
      </c>
      <c r="E497" s="10">
        <f t="shared" si="3"/>
        <v>29</v>
      </c>
      <c r="F497" s="10">
        <f t="shared" si="4"/>
        <v>113</v>
      </c>
      <c r="G497" s="8" t="str">
        <f t="shared" si="5"/>
        <v xml:space="preserve"> Requirement for a MSL (Minimum Service Level) model for cloud providers and users. </v>
      </c>
      <c r="H497" s="10" t="str">
        <f t="shared" si="6"/>
        <v xml:space="preserve">Khan, S. e Gouveia, L. </v>
      </c>
      <c r="I497" s="10" t="str">
        <f t="shared" si="7"/>
        <v xml:space="preserve">Khan, S. e Gouveia, L. </v>
      </c>
      <c r="J497" s="10" t="str">
        <f t="shared" si="8"/>
        <v xml:space="preserve">Khan, S.;Gouveia, L. </v>
      </c>
      <c r="K497" s="11" t="str">
        <f ca="1">IFERROR(__xludf.DUMMYFUNCTION("SPLIT(J497,"";"")"),"Khan, S.")</f>
        <v>Khan, S.</v>
      </c>
      <c r="L497" s="10" t="str">
        <f ca="1">IFERROR(__xludf.DUMMYFUNCTION("""COMPUTED_VALUE"""),"Gouveia, L. ")</f>
        <v xml:space="preserve">Gouveia, L. </v>
      </c>
      <c r="M497" s="10"/>
      <c r="N497" s="10"/>
      <c r="O497" s="10"/>
      <c r="P497" s="10"/>
      <c r="Q497" s="10"/>
      <c r="R497" s="10"/>
      <c r="S497" s="10"/>
      <c r="T497" s="10"/>
      <c r="U497" s="10"/>
      <c r="V497" s="10"/>
      <c r="W497" s="10"/>
      <c r="X497" s="10"/>
      <c r="Y497" s="10"/>
      <c r="Z497" s="10"/>
    </row>
    <row r="498" spans="1:26" ht="17.25" customHeight="1" x14ac:dyDescent="0.3">
      <c r="A498" s="10" t="s">
        <v>630</v>
      </c>
      <c r="B498" s="10">
        <f t="shared" si="0"/>
        <v>37</v>
      </c>
      <c r="C498" s="8" t="str">
        <f t="shared" si="1"/>
        <v xml:space="preserve">Araújo, P.; Gouveia, L. e Toldy, T. </v>
      </c>
      <c r="D498" s="8" t="str">
        <f t="shared" si="2"/>
        <v>2017</v>
      </c>
      <c r="E498" s="10">
        <f t="shared" si="3"/>
        <v>42</v>
      </c>
      <c r="F498" s="10">
        <f t="shared" si="4"/>
        <v>177</v>
      </c>
      <c r="G498" s="8" t="str">
        <f t="shared" si="5"/>
        <v xml:space="preserve"> Gestão de uma construção que possui uma dupla estrutura performativa: construtores e usuários como autores de uma plataforma digital. </v>
      </c>
      <c r="H498" s="10" t="str">
        <f t="shared" si="6"/>
        <v xml:space="preserve">Araújo, P.; Gouveia, L. e Toldy, T. </v>
      </c>
      <c r="I498" s="10" t="str">
        <f t="shared" si="7"/>
        <v xml:space="preserve">Araújo, P.; Gouveia, L. e Toldy, T. </v>
      </c>
      <c r="J498" s="10" t="str">
        <f t="shared" si="8"/>
        <v xml:space="preserve">Araújo, P.; Gouveia, L.;Toldy, T. </v>
      </c>
      <c r="K498" s="11" t="str">
        <f ca="1">IFERROR(__xludf.DUMMYFUNCTION("SPLIT(J498,"";"")"),"Araújo, P.")</f>
        <v>Araújo, P.</v>
      </c>
      <c r="L498" s="10" t="str">
        <f ca="1">IFERROR(__xludf.DUMMYFUNCTION("""COMPUTED_VALUE""")," Gouveia, L.")</f>
        <v xml:space="preserve"> Gouveia, L.</v>
      </c>
      <c r="M498" s="10" t="str">
        <f ca="1">IFERROR(__xludf.DUMMYFUNCTION("""COMPUTED_VALUE"""),"Toldy, T. ")</f>
        <v xml:space="preserve">Toldy, T. </v>
      </c>
      <c r="N498" s="10"/>
      <c r="O498" s="10"/>
      <c r="P498" s="10"/>
      <c r="Q498" s="10"/>
      <c r="R498" s="10"/>
      <c r="S498" s="10"/>
      <c r="T498" s="10"/>
      <c r="U498" s="10"/>
      <c r="V498" s="10"/>
      <c r="W498" s="10"/>
      <c r="X498" s="10"/>
      <c r="Y498" s="10"/>
      <c r="Z498" s="10"/>
    </row>
    <row r="499" spans="1:26" ht="17.25" customHeight="1" x14ac:dyDescent="0.3">
      <c r="A499" s="10" t="s">
        <v>631</v>
      </c>
      <c r="B499" s="10">
        <f t="shared" si="0"/>
        <v>25</v>
      </c>
      <c r="C499" s="8" t="str">
        <f t="shared" si="1"/>
        <v xml:space="preserve">Erdem, M. e Gouveia, L. </v>
      </c>
      <c r="D499" s="8" t="str">
        <f t="shared" si="2"/>
        <v>2017</v>
      </c>
      <c r="E499" s="10">
        <f t="shared" si="3"/>
        <v>30</v>
      </c>
      <c r="F499" s="10">
        <f t="shared" si="4"/>
        <v>104</v>
      </c>
      <c r="G499" s="8" t="str">
        <f t="shared" si="5"/>
        <v xml:space="preserve"> The concept of tourism security and importance of ICT usage in Portugal. </v>
      </c>
      <c r="H499" s="10" t="str">
        <f t="shared" si="6"/>
        <v xml:space="preserve">Erdem, M. e Gouveia, L. </v>
      </c>
      <c r="I499" s="10" t="str">
        <f t="shared" si="7"/>
        <v xml:space="preserve">Erdem, M. e Gouveia, L. </v>
      </c>
      <c r="J499" s="10" t="str">
        <f t="shared" si="8"/>
        <v xml:space="preserve">Erdem, M.;Gouveia, L. </v>
      </c>
      <c r="K499" s="11" t="str">
        <f ca="1">IFERROR(__xludf.DUMMYFUNCTION("SPLIT(J499,"";"")"),"Erdem, M.")</f>
        <v>Erdem, M.</v>
      </c>
      <c r="L499" s="10" t="str">
        <f ca="1">IFERROR(__xludf.DUMMYFUNCTION("""COMPUTED_VALUE"""),"Gouveia, L. ")</f>
        <v xml:space="preserve">Gouveia, L. </v>
      </c>
      <c r="M499" s="10"/>
      <c r="N499" s="10"/>
      <c r="O499" s="10"/>
      <c r="P499" s="10"/>
      <c r="Q499" s="10"/>
      <c r="R499" s="10"/>
      <c r="S499" s="10"/>
      <c r="T499" s="10"/>
      <c r="U499" s="10"/>
      <c r="V499" s="10"/>
      <c r="W499" s="10"/>
      <c r="X499" s="10"/>
      <c r="Y499" s="10"/>
      <c r="Z499" s="10"/>
    </row>
    <row r="500" spans="1:26" ht="17.25" customHeight="1" x14ac:dyDescent="0.3">
      <c r="A500" s="10" t="s">
        <v>632</v>
      </c>
      <c r="B500" s="10">
        <f t="shared" si="0"/>
        <v>27</v>
      </c>
      <c r="C500" s="8" t="str">
        <f t="shared" si="1"/>
        <v xml:space="preserve">Quental, C. e Gouveia, L. </v>
      </c>
      <c r="D500" s="8" t="str">
        <f t="shared" si="2"/>
        <v>2017</v>
      </c>
      <c r="E500" s="10">
        <f t="shared" si="3"/>
        <v>32</v>
      </c>
      <c r="F500" s="10">
        <f t="shared" si="4"/>
        <v>131</v>
      </c>
      <c r="G500" s="8" t="str">
        <f t="shared" si="5"/>
        <v xml:space="preserve"> Mediação digital para participação pública: experiências de utilização em organizações sindicais. </v>
      </c>
      <c r="H500" s="10" t="str">
        <f t="shared" si="6"/>
        <v xml:space="preserve">Quental, C. e Gouveia, L. </v>
      </c>
      <c r="I500" s="10" t="str">
        <f t="shared" si="7"/>
        <v xml:space="preserve">Quental, C. e Gouveia, L. </v>
      </c>
      <c r="J500" s="10" t="str">
        <f t="shared" si="8"/>
        <v xml:space="preserve">Quental, C.;Gouveia, L. </v>
      </c>
      <c r="K500" s="11" t="str">
        <f ca="1">IFERROR(__xludf.DUMMYFUNCTION("SPLIT(J500,"";"")"),"Quental, C.")</f>
        <v>Quental, C.</v>
      </c>
      <c r="L500" s="10" t="str">
        <f ca="1">IFERROR(__xludf.DUMMYFUNCTION("""COMPUTED_VALUE"""),"Gouveia, L. ")</f>
        <v xml:space="preserve">Gouveia, L. </v>
      </c>
      <c r="M500" s="10"/>
      <c r="N500" s="10"/>
      <c r="O500" s="10"/>
      <c r="P500" s="10"/>
      <c r="Q500" s="10"/>
      <c r="R500" s="10"/>
      <c r="S500" s="10"/>
      <c r="T500" s="10"/>
      <c r="U500" s="10"/>
      <c r="V500" s="10"/>
      <c r="W500" s="10"/>
      <c r="X500" s="10"/>
      <c r="Y500" s="10"/>
      <c r="Z500" s="10"/>
    </row>
    <row r="501" spans="1:26" ht="17.25" customHeight="1" x14ac:dyDescent="0.3">
      <c r="A501" s="10" t="s">
        <v>633</v>
      </c>
      <c r="B501" s="10">
        <f t="shared" si="0"/>
        <v>27</v>
      </c>
      <c r="C501" s="8" t="str">
        <f t="shared" si="1"/>
        <v xml:space="preserve">Alfredo, P. e Gouveia, L. </v>
      </c>
      <c r="D501" s="8" t="str">
        <f t="shared" si="2"/>
        <v>2017</v>
      </c>
      <c r="E501" s="10">
        <f t="shared" si="3"/>
        <v>32</v>
      </c>
      <c r="F501" s="10">
        <f t="shared" si="4"/>
        <v>108</v>
      </c>
      <c r="G501" s="8" t="str">
        <f t="shared" si="5"/>
        <v xml:space="preserve"> Discussão de um modelo conceptual de Governo Eletrónico Local para Angola. </v>
      </c>
      <c r="H501" s="10" t="str">
        <f t="shared" si="6"/>
        <v xml:space="preserve">Alfredo, P. e Gouveia, L. </v>
      </c>
      <c r="I501" s="10" t="str">
        <f t="shared" si="7"/>
        <v xml:space="preserve">Alfredo, P. e Gouveia, L. </v>
      </c>
      <c r="J501" s="10" t="str">
        <f t="shared" si="8"/>
        <v xml:space="preserve">Alfredo, P.;Gouveia, L. </v>
      </c>
      <c r="K501" s="11" t="str">
        <f ca="1">IFERROR(__xludf.DUMMYFUNCTION("SPLIT(J501,"";"")"),"Alfredo, P.")</f>
        <v>Alfredo, P.</v>
      </c>
      <c r="L501" s="10" t="str">
        <f ca="1">IFERROR(__xludf.DUMMYFUNCTION("""COMPUTED_VALUE"""),"Gouveia, L. ")</f>
        <v xml:space="preserve">Gouveia, L. </v>
      </c>
      <c r="M501" s="10"/>
      <c r="N501" s="10"/>
      <c r="O501" s="10"/>
      <c r="P501" s="10"/>
      <c r="Q501" s="10"/>
      <c r="R501" s="10"/>
      <c r="S501" s="10"/>
      <c r="T501" s="10"/>
      <c r="U501" s="10"/>
      <c r="V501" s="10"/>
      <c r="W501" s="10"/>
      <c r="X501" s="10"/>
      <c r="Y501" s="10"/>
      <c r="Z501" s="10"/>
    </row>
    <row r="502" spans="1:26" ht="17.25" customHeight="1" x14ac:dyDescent="0.3">
      <c r="A502" s="10" t="s">
        <v>634</v>
      </c>
      <c r="B502" s="10">
        <f t="shared" si="0"/>
        <v>26</v>
      </c>
      <c r="C502" s="8" t="str">
        <f t="shared" si="1"/>
        <v xml:space="preserve">Santos, F. e Gouveia, L. </v>
      </c>
      <c r="D502" s="8" t="str">
        <f t="shared" si="2"/>
        <v>2017</v>
      </c>
      <c r="E502" s="10">
        <f t="shared" si="3"/>
        <v>31</v>
      </c>
      <c r="F502" s="10">
        <f t="shared" si="4"/>
        <v>141</v>
      </c>
      <c r="G502" s="8" t="str">
        <f t="shared" si="5"/>
        <v xml:space="preserve"> Estudo de fatores importantes da gestão do conhecimento para desenvolvimento no contexto do ensino superior. </v>
      </c>
      <c r="H502" s="10" t="str">
        <f t="shared" si="6"/>
        <v xml:space="preserve">Santos, F. e Gouveia, L. </v>
      </c>
      <c r="I502" s="10" t="str">
        <f t="shared" si="7"/>
        <v xml:space="preserve">Santos, F. e Gouveia, L. </v>
      </c>
      <c r="J502" s="10" t="str">
        <f t="shared" si="8"/>
        <v xml:space="preserve">Santos, F.;Gouveia, L. </v>
      </c>
      <c r="K502" s="11" t="str">
        <f ca="1">IFERROR(__xludf.DUMMYFUNCTION("SPLIT(J502,"";"")"),"Santos, F.")</f>
        <v>Santos, F.</v>
      </c>
      <c r="L502" s="10" t="str">
        <f ca="1">IFERROR(__xludf.DUMMYFUNCTION("""COMPUTED_VALUE"""),"Gouveia, L. ")</f>
        <v xml:space="preserve">Gouveia, L. </v>
      </c>
      <c r="M502" s="10"/>
      <c r="N502" s="10"/>
      <c r="O502" s="10"/>
      <c r="P502" s="10"/>
      <c r="Q502" s="10"/>
      <c r="R502" s="10"/>
      <c r="S502" s="10"/>
      <c r="T502" s="10"/>
      <c r="U502" s="10"/>
      <c r="V502" s="10"/>
      <c r="W502" s="10"/>
      <c r="X502" s="10"/>
      <c r="Y502" s="10"/>
      <c r="Z502" s="10"/>
    </row>
    <row r="503" spans="1:26" ht="17.25" customHeight="1" x14ac:dyDescent="0.3">
      <c r="A503" s="10" t="s">
        <v>635</v>
      </c>
      <c r="B503" s="10">
        <f t="shared" si="0"/>
        <v>25</v>
      </c>
      <c r="C503" s="8" t="str">
        <f t="shared" si="1"/>
        <v xml:space="preserve">Rocha, L. e Gouveia, L. </v>
      </c>
      <c r="D503" s="8" t="str">
        <f t="shared" si="2"/>
        <v>2017</v>
      </c>
      <c r="E503" s="10">
        <f t="shared" si="3"/>
        <v>30</v>
      </c>
      <c r="F503" s="10">
        <f t="shared" si="4"/>
        <v>85</v>
      </c>
      <c r="G503" s="8" t="str">
        <f t="shared" si="5"/>
        <v xml:space="preserve"> A economia partilhada e os fatores que a influenciam. </v>
      </c>
      <c r="H503" s="10" t="str">
        <f t="shared" si="6"/>
        <v xml:space="preserve">Rocha, L. e Gouveia, L. </v>
      </c>
      <c r="I503" s="10" t="str">
        <f t="shared" si="7"/>
        <v xml:space="preserve">Rocha, L. e Gouveia, L. </v>
      </c>
      <c r="J503" s="10" t="str">
        <f t="shared" si="8"/>
        <v xml:space="preserve">Rocha, L.;Gouveia, L. </v>
      </c>
      <c r="K503" s="11" t="str">
        <f ca="1">IFERROR(__xludf.DUMMYFUNCTION("SPLIT(J503,"";"")"),"Rocha, L.")</f>
        <v>Rocha, L.</v>
      </c>
      <c r="L503" s="10" t="str">
        <f ca="1">IFERROR(__xludf.DUMMYFUNCTION("""COMPUTED_VALUE"""),"Gouveia, L. ")</f>
        <v xml:space="preserve">Gouveia, L. </v>
      </c>
      <c r="M503" s="10"/>
      <c r="N503" s="10"/>
      <c r="O503" s="10"/>
      <c r="P503" s="10"/>
      <c r="Q503" s="10"/>
      <c r="R503" s="10"/>
      <c r="S503" s="10"/>
      <c r="T503" s="10"/>
      <c r="U503" s="10"/>
      <c r="V503" s="10"/>
      <c r="W503" s="10"/>
      <c r="X503" s="10"/>
      <c r="Y503" s="10"/>
      <c r="Z503" s="10"/>
    </row>
    <row r="504" spans="1:26" ht="17.25" customHeight="1" x14ac:dyDescent="0.3">
      <c r="A504" s="10" t="s">
        <v>636</v>
      </c>
      <c r="B504" s="10">
        <f t="shared" si="0"/>
        <v>41</v>
      </c>
      <c r="C504" s="8" t="str">
        <f t="shared" si="1"/>
        <v xml:space="preserve">Cordeiro, I.; Gouveia, L. e Cardoso, P. </v>
      </c>
      <c r="D504" s="8" t="str">
        <f t="shared" si="2"/>
        <v>2017</v>
      </c>
      <c r="E504" s="10">
        <f t="shared" si="3"/>
        <v>46</v>
      </c>
      <c r="F504" s="10">
        <f t="shared" si="4"/>
        <v>150</v>
      </c>
      <c r="G504" s="8" t="str">
        <f t="shared" si="5"/>
        <v xml:space="preserve"> A atração dos consumidores para o comércio tradicional num contexto digital: requisitos e expetativas. </v>
      </c>
      <c r="H504" s="10" t="str">
        <f t="shared" si="6"/>
        <v xml:space="preserve">Cordeiro, I.; Gouveia, L. e Cardoso, P. </v>
      </c>
      <c r="I504" s="10" t="str">
        <f t="shared" si="7"/>
        <v xml:space="preserve">Cordeiro, I.; Gouveia, L. e Cardoso, P. </v>
      </c>
      <c r="J504" s="10" t="str">
        <f t="shared" si="8"/>
        <v xml:space="preserve">Cordeiro, I.; Gouveia, L.;Cardoso, P. </v>
      </c>
      <c r="K504" s="11" t="str">
        <f ca="1">IFERROR(__xludf.DUMMYFUNCTION("SPLIT(J504,"";"")"),"Cordeiro, I.")</f>
        <v>Cordeiro, I.</v>
      </c>
      <c r="L504" s="10" t="str">
        <f ca="1">IFERROR(__xludf.DUMMYFUNCTION("""COMPUTED_VALUE""")," Gouveia, L.")</f>
        <v xml:space="preserve"> Gouveia, L.</v>
      </c>
      <c r="M504" s="10" t="str">
        <f ca="1">IFERROR(__xludf.DUMMYFUNCTION("""COMPUTED_VALUE"""),"Cardoso, P. ")</f>
        <v xml:space="preserve">Cardoso, P. </v>
      </c>
      <c r="N504" s="10"/>
      <c r="O504" s="10"/>
      <c r="P504" s="10"/>
      <c r="Q504" s="10"/>
      <c r="R504" s="10"/>
      <c r="S504" s="10"/>
      <c r="T504" s="10"/>
      <c r="U504" s="10"/>
      <c r="V504" s="10"/>
      <c r="W504" s="10"/>
      <c r="X504" s="10"/>
      <c r="Y504" s="10"/>
      <c r="Z504" s="10"/>
    </row>
    <row r="505" spans="1:26" ht="17.25" customHeight="1" x14ac:dyDescent="0.3">
      <c r="A505" s="10" t="s">
        <v>637</v>
      </c>
      <c r="B505" s="10">
        <f t="shared" si="0"/>
        <v>26</v>
      </c>
      <c r="C505" s="8" t="str">
        <f t="shared" si="1"/>
        <v xml:space="preserve">Ramada, O. e Gouveia, L. </v>
      </c>
      <c r="D505" s="8" t="str">
        <f t="shared" si="2"/>
        <v>2017</v>
      </c>
      <c r="E505" s="10">
        <f t="shared" si="3"/>
        <v>31</v>
      </c>
      <c r="F505" s="10">
        <f t="shared" si="4"/>
        <v>115</v>
      </c>
      <c r="G505" s="8" t="str">
        <f t="shared" si="5"/>
        <v xml:space="preserve"> Proposta de uma abordagem para a (re)qualificação dinâmica do capital intelectual. </v>
      </c>
      <c r="H505" s="10" t="str">
        <f t="shared" si="6"/>
        <v xml:space="preserve">Ramada, O. e Gouveia, L. </v>
      </c>
      <c r="I505" s="10" t="str">
        <f t="shared" si="7"/>
        <v xml:space="preserve">Ramada, O. e Gouveia, L. </v>
      </c>
      <c r="J505" s="10" t="str">
        <f t="shared" si="8"/>
        <v xml:space="preserve">Ramada, O.;Gouveia, L. </v>
      </c>
      <c r="K505" s="11" t="str">
        <f ca="1">IFERROR(__xludf.DUMMYFUNCTION("SPLIT(J505,"";"")"),"Ramada, O.")</f>
        <v>Ramada, O.</v>
      </c>
      <c r="L505" s="10" t="str">
        <f ca="1">IFERROR(__xludf.DUMMYFUNCTION("""COMPUTED_VALUE"""),"Gouveia, L. ")</f>
        <v xml:space="preserve">Gouveia, L. </v>
      </c>
      <c r="M505" s="10"/>
      <c r="N505" s="10"/>
      <c r="O505" s="10"/>
      <c r="P505" s="10"/>
      <c r="Q505" s="10"/>
      <c r="R505" s="10"/>
      <c r="S505" s="10"/>
      <c r="T505" s="10"/>
      <c r="U505" s="10"/>
      <c r="V505" s="10"/>
      <c r="W505" s="10"/>
      <c r="X505" s="10"/>
      <c r="Y505" s="10"/>
      <c r="Z505" s="10"/>
    </row>
    <row r="506" spans="1:26" ht="17.25" customHeight="1" x14ac:dyDescent="0.3">
      <c r="A506" s="10" t="s">
        <v>638</v>
      </c>
      <c r="B506" s="10">
        <f t="shared" si="0"/>
        <v>26</v>
      </c>
      <c r="C506" s="8" t="str">
        <f t="shared" si="1"/>
        <v xml:space="preserve">Biltes, N. e Gouveia, L. </v>
      </c>
      <c r="D506" s="8" t="str">
        <f t="shared" si="2"/>
        <v>2017</v>
      </c>
      <c r="E506" s="10">
        <f t="shared" si="3"/>
        <v>31</v>
      </c>
      <c r="F506" s="10">
        <f t="shared" si="4"/>
        <v>154</v>
      </c>
      <c r="G506" s="8" t="str">
        <f t="shared" si="5"/>
        <v xml:space="preserve"> Comportamento organizacional: proposta de um questionário para estudo do impacto dos incentivos comunitários às empresas. </v>
      </c>
      <c r="H506" s="10" t="str">
        <f t="shared" si="6"/>
        <v xml:space="preserve">Biltes, N. e Gouveia, L. </v>
      </c>
      <c r="I506" s="10" t="str">
        <f t="shared" si="7"/>
        <v xml:space="preserve">Biltes, N. e Gouveia, L. </v>
      </c>
      <c r="J506" s="10" t="str">
        <f t="shared" si="8"/>
        <v xml:space="preserve">Biltes, N.;Gouveia, L. </v>
      </c>
      <c r="K506" s="11" t="str">
        <f ca="1">IFERROR(__xludf.DUMMYFUNCTION("SPLIT(J506,"";"")"),"Biltes, N.")</f>
        <v>Biltes, N.</v>
      </c>
      <c r="L506" s="10" t="str">
        <f ca="1">IFERROR(__xludf.DUMMYFUNCTION("""COMPUTED_VALUE"""),"Gouveia, L. ")</f>
        <v xml:space="preserve">Gouveia, L. </v>
      </c>
      <c r="M506" s="10"/>
      <c r="N506" s="10"/>
      <c r="O506" s="10"/>
      <c r="P506" s="10"/>
      <c r="Q506" s="10"/>
      <c r="R506" s="10"/>
      <c r="S506" s="10"/>
      <c r="T506" s="10"/>
      <c r="U506" s="10"/>
      <c r="V506" s="10"/>
      <c r="W506" s="10"/>
      <c r="X506" s="10"/>
      <c r="Y506" s="10"/>
      <c r="Z506" s="10"/>
    </row>
    <row r="507" spans="1:26" ht="17.25" customHeight="1" x14ac:dyDescent="0.3">
      <c r="A507" s="10" t="s">
        <v>639</v>
      </c>
      <c r="B507" s="10">
        <f t="shared" si="0"/>
        <v>25</v>
      </c>
      <c r="C507" s="8" t="str">
        <f t="shared" si="1"/>
        <v xml:space="preserve">Silva, C. e Gouveia, L. </v>
      </c>
      <c r="D507" s="8" t="str">
        <f t="shared" si="2"/>
        <v>2017</v>
      </c>
      <c r="E507" s="10">
        <f t="shared" si="3"/>
        <v>30</v>
      </c>
      <c r="F507" s="10">
        <f t="shared" si="4"/>
        <v>156</v>
      </c>
      <c r="G507" s="8" t="str">
        <f t="shared" si="5"/>
        <v xml:space="preserve"> Transparência, ‘e-government’ e segurança da informação: uma contribuição para a sua discussão no contexto do poder público. </v>
      </c>
      <c r="H507" s="10" t="str">
        <f t="shared" si="6"/>
        <v xml:space="preserve">Silva, C. e Gouveia, L. </v>
      </c>
      <c r="I507" s="10" t="str">
        <f t="shared" si="7"/>
        <v xml:space="preserve">Silva, C. e Gouveia, L. </v>
      </c>
      <c r="J507" s="10" t="str">
        <f t="shared" si="8"/>
        <v xml:space="preserve">Silva, C.;Gouveia, L. </v>
      </c>
      <c r="K507" s="11" t="str">
        <f ca="1">IFERROR(__xludf.DUMMYFUNCTION("SPLIT(J507,"";"")"),"Silva, C.")</f>
        <v>Silva, C.</v>
      </c>
      <c r="L507" s="10" t="str">
        <f ca="1">IFERROR(__xludf.DUMMYFUNCTION("""COMPUTED_VALUE"""),"Gouveia, L. ")</f>
        <v xml:space="preserve">Gouveia, L. </v>
      </c>
      <c r="M507" s="10"/>
      <c r="N507" s="10"/>
      <c r="O507" s="10"/>
      <c r="P507" s="10"/>
      <c r="Q507" s="10"/>
      <c r="R507" s="10"/>
      <c r="S507" s="10"/>
      <c r="T507" s="10"/>
      <c r="U507" s="10"/>
      <c r="V507" s="10"/>
      <c r="W507" s="10"/>
      <c r="X507" s="10"/>
      <c r="Y507" s="10"/>
      <c r="Z507" s="10"/>
    </row>
    <row r="508" spans="1:26" ht="17.25" customHeight="1" x14ac:dyDescent="0.3">
      <c r="A508" s="10" t="s">
        <v>640</v>
      </c>
      <c r="B508" s="10">
        <f t="shared" si="0"/>
        <v>26</v>
      </c>
      <c r="C508" s="8" t="str">
        <f t="shared" si="1"/>
        <v xml:space="preserve">Salimo, G. e Gouveia, L. </v>
      </c>
      <c r="D508" s="8" t="str">
        <f t="shared" si="2"/>
        <v>2017</v>
      </c>
      <c r="E508" s="10">
        <f t="shared" si="3"/>
        <v>31</v>
      </c>
      <c r="F508" s="10">
        <f t="shared" si="4"/>
        <v>156</v>
      </c>
      <c r="G508" s="8" t="str">
        <f t="shared" si="5"/>
        <v xml:space="preserve"> Dados preliminares sobre o nível de utilização e importâncias das TIC no ensino superior em Moçambique para o grupo alunos. </v>
      </c>
      <c r="H508" s="10" t="str">
        <f t="shared" si="6"/>
        <v xml:space="preserve">Salimo, G. e Gouveia, L. </v>
      </c>
      <c r="I508" s="10" t="str">
        <f t="shared" si="7"/>
        <v xml:space="preserve">Salimo, G. e Gouveia, L. </v>
      </c>
      <c r="J508" s="10" t="str">
        <f t="shared" si="8"/>
        <v xml:space="preserve">Salimo, G.;Gouveia, L. </v>
      </c>
      <c r="K508" s="11" t="str">
        <f ca="1">IFERROR(__xludf.DUMMYFUNCTION("SPLIT(J508,"";"")"),"Salimo, G.")</f>
        <v>Salimo, G.</v>
      </c>
      <c r="L508" s="10" t="str">
        <f ca="1">IFERROR(__xludf.DUMMYFUNCTION("""COMPUTED_VALUE"""),"Gouveia, L. ")</f>
        <v xml:space="preserve">Gouveia, L. </v>
      </c>
      <c r="M508" s="10"/>
      <c r="N508" s="10"/>
      <c r="O508" s="10"/>
      <c r="P508" s="10"/>
      <c r="Q508" s="10"/>
      <c r="R508" s="10"/>
      <c r="S508" s="10"/>
      <c r="T508" s="10"/>
      <c r="U508" s="10"/>
      <c r="V508" s="10"/>
      <c r="W508" s="10"/>
      <c r="X508" s="10"/>
      <c r="Y508" s="10"/>
      <c r="Z508" s="10"/>
    </row>
    <row r="509" spans="1:26" ht="17.25" customHeight="1" x14ac:dyDescent="0.3">
      <c r="A509" s="10" t="s">
        <v>641</v>
      </c>
      <c r="B509" s="10">
        <f t="shared" si="0"/>
        <v>28</v>
      </c>
      <c r="C509" s="8" t="str">
        <f t="shared" si="1"/>
        <v xml:space="preserve">Nogueira, D. e Gouveia, L. </v>
      </c>
      <c r="D509" s="8" t="str">
        <f t="shared" si="2"/>
        <v>2017</v>
      </c>
      <c r="E509" s="10">
        <f t="shared" si="3"/>
        <v>33</v>
      </c>
      <c r="F509" s="10">
        <f t="shared" si="4"/>
        <v>174</v>
      </c>
      <c r="G509" s="8" t="str">
        <f t="shared" si="5"/>
        <v xml:space="preserve"> Estudo preliminar sobre competências nas redes digitais como estratégia de fortalecimento da Rede Nacional de Escolas de Governo do Brasil. </v>
      </c>
      <c r="H509" s="10" t="str">
        <f t="shared" si="6"/>
        <v xml:space="preserve">Nogueira, D. e Gouveia, L. </v>
      </c>
      <c r="I509" s="10" t="str">
        <f t="shared" si="7"/>
        <v xml:space="preserve">Nogueira, D. e Gouveia, L. </v>
      </c>
      <c r="J509" s="10" t="str">
        <f t="shared" si="8"/>
        <v xml:space="preserve">Nogueira, D.;Gouveia, L. </v>
      </c>
      <c r="K509" s="11" t="str">
        <f ca="1">IFERROR(__xludf.DUMMYFUNCTION("SPLIT(J509,"";"")"),"Nogueira, D.")</f>
        <v>Nogueira, D.</v>
      </c>
      <c r="L509" s="10" t="str">
        <f ca="1">IFERROR(__xludf.DUMMYFUNCTION("""COMPUTED_VALUE"""),"Gouveia, L. ")</f>
        <v xml:space="preserve">Gouveia, L. </v>
      </c>
      <c r="M509" s="10"/>
      <c r="N509" s="10"/>
      <c r="O509" s="10"/>
      <c r="P509" s="10"/>
      <c r="Q509" s="10"/>
      <c r="R509" s="10"/>
      <c r="S509" s="10"/>
      <c r="T509" s="10"/>
      <c r="U509" s="10"/>
      <c r="V509" s="10"/>
      <c r="W509" s="10"/>
      <c r="X509" s="10"/>
      <c r="Y509" s="10"/>
      <c r="Z509" s="10"/>
    </row>
    <row r="510" spans="1:26" ht="17.25" customHeight="1" x14ac:dyDescent="0.3">
      <c r="A510" s="10" t="s">
        <v>642</v>
      </c>
      <c r="B510" s="10">
        <f t="shared" si="0"/>
        <v>31</v>
      </c>
      <c r="C510" s="8" t="str">
        <f t="shared" si="1"/>
        <v xml:space="preserve">Albuquerque, R. e Gouveia, L. </v>
      </c>
      <c r="D510" s="8" t="str">
        <f t="shared" si="2"/>
        <v>2017</v>
      </c>
      <c r="E510" s="10">
        <f t="shared" si="3"/>
        <v>36</v>
      </c>
      <c r="F510" s="10">
        <f t="shared" si="4"/>
        <v>160</v>
      </c>
      <c r="G510" s="8" t="str">
        <f t="shared" si="5"/>
        <v xml:space="preserve"> Uso de modelos matemáticos interpretados em plataforma digital como estratégia para o ensino e aprendizagem da matemática. </v>
      </c>
      <c r="H510" s="10" t="str">
        <f t="shared" si="6"/>
        <v xml:space="preserve">Albuquerque, R. e Gouveia, L. </v>
      </c>
      <c r="I510" s="10" t="str">
        <f t="shared" si="7"/>
        <v xml:space="preserve">Albuquerque, R. e Gouveia, L. </v>
      </c>
      <c r="J510" s="10" t="str">
        <f t="shared" si="8"/>
        <v xml:space="preserve">Albuquerque, R.;Gouveia, L. </v>
      </c>
      <c r="K510" s="11" t="str">
        <f ca="1">IFERROR(__xludf.DUMMYFUNCTION("SPLIT(J510,"";"")"),"Albuquerque, R.")</f>
        <v>Albuquerque, R.</v>
      </c>
      <c r="L510" s="10" t="str">
        <f ca="1">IFERROR(__xludf.DUMMYFUNCTION("""COMPUTED_VALUE"""),"Gouveia, L. ")</f>
        <v xml:space="preserve">Gouveia, L. </v>
      </c>
      <c r="M510" s="10"/>
      <c r="N510" s="10"/>
      <c r="O510" s="10"/>
      <c r="P510" s="10"/>
      <c r="Q510" s="10"/>
      <c r="R510" s="10"/>
      <c r="S510" s="10"/>
      <c r="T510" s="10"/>
      <c r="U510" s="10"/>
      <c r="V510" s="10"/>
      <c r="W510" s="10"/>
      <c r="X510" s="10"/>
      <c r="Y510" s="10"/>
      <c r="Z510" s="10"/>
    </row>
    <row r="511" spans="1:26" ht="17.25" customHeight="1" x14ac:dyDescent="0.3">
      <c r="A511" s="10" t="s">
        <v>643</v>
      </c>
      <c r="B511" s="10">
        <f t="shared" si="0"/>
        <v>26</v>
      </c>
      <c r="C511" s="8" t="str">
        <f t="shared" si="1"/>
        <v xml:space="preserve">Robalo, A. e Gouveia, L. </v>
      </c>
      <c r="D511" s="8" t="str">
        <f t="shared" si="2"/>
        <v>2017</v>
      </c>
      <c r="E511" s="10">
        <f t="shared" si="3"/>
        <v>31</v>
      </c>
      <c r="F511" s="10">
        <f t="shared" si="4"/>
        <v>163</v>
      </c>
      <c r="G511" s="8" t="str">
        <f t="shared" si="5"/>
        <v xml:space="preserve"> A introdução das TIC em sala de aula no ensino primário: formação de professores na província do Huambo para o projeto «Meu Kamba. </v>
      </c>
      <c r="H511" s="10" t="str">
        <f t="shared" si="6"/>
        <v xml:space="preserve">Robalo, A. e Gouveia, L. </v>
      </c>
      <c r="I511" s="10" t="str">
        <f t="shared" si="7"/>
        <v xml:space="preserve">Robalo, A. e Gouveia, L. </v>
      </c>
      <c r="J511" s="10" t="str">
        <f t="shared" si="8"/>
        <v xml:space="preserve">Robalo, A.;Gouveia, L. </v>
      </c>
      <c r="K511" s="11" t="str">
        <f ca="1">IFERROR(__xludf.DUMMYFUNCTION("SPLIT(J511,"";"")"),"Robalo, A.")</f>
        <v>Robalo, A.</v>
      </c>
      <c r="L511" s="10" t="str">
        <f ca="1">IFERROR(__xludf.DUMMYFUNCTION("""COMPUTED_VALUE"""),"Gouveia, L. ")</f>
        <v xml:space="preserve">Gouveia, L. </v>
      </c>
      <c r="M511" s="10"/>
      <c r="N511" s="10"/>
      <c r="O511" s="10"/>
      <c r="P511" s="10"/>
      <c r="Q511" s="10"/>
      <c r="R511" s="10"/>
      <c r="S511" s="10"/>
      <c r="T511" s="10"/>
      <c r="U511" s="10"/>
      <c r="V511" s="10"/>
      <c r="W511" s="10"/>
      <c r="X511" s="10"/>
      <c r="Y511" s="10"/>
      <c r="Z511" s="10"/>
    </row>
    <row r="512" spans="1:26" ht="17.25" customHeight="1" x14ac:dyDescent="0.3">
      <c r="A512" s="10" t="s">
        <v>644</v>
      </c>
      <c r="B512" s="10">
        <f t="shared" si="0"/>
        <v>26</v>
      </c>
      <c r="C512" s="8" t="str">
        <f t="shared" si="1"/>
        <v xml:space="preserve">Araújo, A. e Gouveia, L. </v>
      </c>
      <c r="D512" s="8" t="str">
        <f t="shared" si="2"/>
        <v>2017</v>
      </c>
      <c r="E512" s="10">
        <f t="shared" si="3"/>
        <v>31</v>
      </c>
      <c r="F512" s="10">
        <f t="shared" si="4"/>
        <v>161</v>
      </c>
      <c r="G512" s="8" t="str">
        <f t="shared" si="5"/>
        <v xml:space="preserve"> O digital nas instituições de ensino superior: um diagnóstico sobre a perceção dos gestores e da comunidade académica do CESUPA. </v>
      </c>
      <c r="H512" s="10" t="str">
        <f t="shared" si="6"/>
        <v xml:space="preserve">Araújo, A. e Gouveia, L. </v>
      </c>
      <c r="I512" s="10" t="str">
        <f t="shared" si="7"/>
        <v xml:space="preserve">Araújo, A. e Gouveia, L. </v>
      </c>
      <c r="J512" s="10" t="str">
        <f t="shared" si="8"/>
        <v xml:space="preserve">Araújo, A.;Gouveia, L. </v>
      </c>
      <c r="K512" s="11" t="str">
        <f ca="1">IFERROR(__xludf.DUMMYFUNCTION("SPLIT(J512,"";"")"),"Araújo, A.")</f>
        <v>Araújo, A.</v>
      </c>
      <c r="L512" s="10" t="str">
        <f ca="1">IFERROR(__xludf.DUMMYFUNCTION("""COMPUTED_VALUE"""),"Gouveia, L. ")</f>
        <v xml:space="preserve">Gouveia, L. </v>
      </c>
      <c r="M512" s="10"/>
      <c r="N512" s="10"/>
      <c r="O512" s="10"/>
      <c r="P512" s="10"/>
      <c r="Q512" s="10"/>
      <c r="R512" s="10"/>
      <c r="S512" s="10"/>
      <c r="T512" s="10"/>
      <c r="U512" s="10"/>
      <c r="V512" s="10"/>
      <c r="W512" s="10"/>
      <c r="X512" s="10"/>
      <c r="Y512" s="10"/>
      <c r="Z512" s="10"/>
    </row>
    <row r="513" spans="1:26" ht="17.25" customHeight="1" x14ac:dyDescent="0.3">
      <c r="A513" s="10" t="s">
        <v>645</v>
      </c>
      <c r="B513" s="10">
        <f t="shared" si="0"/>
        <v>40</v>
      </c>
      <c r="C513" s="8" t="str">
        <f t="shared" si="1"/>
        <v xml:space="preserve">Lourenço, M.; Rurato, P. e Gouveia, L. </v>
      </c>
      <c r="D513" s="8" t="str">
        <f t="shared" si="2"/>
        <v>2017</v>
      </c>
      <c r="E513" s="10">
        <f t="shared" si="3"/>
        <v>45</v>
      </c>
      <c r="F513" s="10">
        <f t="shared" si="4"/>
        <v>152</v>
      </c>
      <c r="G513" s="8" t="str">
        <f t="shared" si="5"/>
        <v xml:space="preserve"> Reaprendizagem do professor do ensino superior face ao triângulo educação, tecnologia e aprendizagem EaD. </v>
      </c>
      <c r="H513" s="10" t="str">
        <f t="shared" si="6"/>
        <v xml:space="preserve">Lourenço, M.; Rurato, P. e Gouveia, L. </v>
      </c>
      <c r="I513" s="10" t="str">
        <f t="shared" si="7"/>
        <v xml:space="preserve">Lourenço, M.; Rurato, P. e Gouveia, L. </v>
      </c>
      <c r="J513" s="10" t="str">
        <f t="shared" si="8"/>
        <v xml:space="preserve">Lourenço, M.; Rurato, P.;Gouveia, L. </v>
      </c>
      <c r="K513" s="11" t="str">
        <f ca="1">IFERROR(__xludf.DUMMYFUNCTION("SPLIT(J513,"";"")"),"Lourenço, M.")</f>
        <v>Lourenço, M.</v>
      </c>
      <c r="L513" s="10" t="str">
        <f ca="1">IFERROR(__xludf.DUMMYFUNCTION("""COMPUTED_VALUE""")," Rurato, P.")</f>
        <v xml:space="preserve"> Rurato, P.</v>
      </c>
      <c r="M513" s="10" t="str">
        <f ca="1">IFERROR(__xludf.DUMMYFUNCTION("""COMPUTED_VALUE"""),"Gouveia, L. ")</f>
        <v xml:space="preserve">Gouveia, L. </v>
      </c>
      <c r="N513" s="10"/>
      <c r="O513" s="10"/>
      <c r="P513" s="10"/>
      <c r="Q513" s="10"/>
      <c r="R513" s="10"/>
      <c r="S513" s="10"/>
      <c r="T513" s="10"/>
      <c r="U513" s="10"/>
      <c r="V513" s="10"/>
      <c r="W513" s="10"/>
      <c r="X513" s="10"/>
      <c r="Y513" s="10"/>
      <c r="Z513" s="10"/>
    </row>
    <row r="514" spans="1:26" ht="17.25" customHeight="1" x14ac:dyDescent="0.3">
      <c r="A514" s="10" t="s">
        <v>646</v>
      </c>
      <c r="B514" s="10">
        <f t="shared" si="0"/>
        <v>30</v>
      </c>
      <c r="C514" s="8" t="str">
        <f t="shared" si="1"/>
        <v xml:space="preserve">Cavalcante, A. e Gouveia, L. </v>
      </c>
      <c r="D514" s="8" t="str">
        <f t="shared" si="2"/>
        <v>2017</v>
      </c>
      <c r="E514" s="10">
        <f t="shared" si="3"/>
        <v>35</v>
      </c>
      <c r="F514" s="10">
        <f t="shared" si="4"/>
        <v>109</v>
      </c>
      <c r="G514" s="8" t="str">
        <f t="shared" si="5"/>
        <v xml:space="preserve"> A influência do digital para a imagem do turismo no nordeste brasileiro. </v>
      </c>
      <c r="H514" s="10" t="str">
        <f t="shared" si="6"/>
        <v xml:space="preserve">Cavalcante, A. e Gouveia, L. </v>
      </c>
      <c r="I514" s="10" t="str">
        <f t="shared" si="7"/>
        <v xml:space="preserve">Cavalcante, A. e Gouveia, L. </v>
      </c>
      <c r="J514" s="10" t="str">
        <f t="shared" si="8"/>
        <v xml:space="preserve">Cavalcante, A.;Gouveia, L. </v>
      </c>
      <c r="K514" s="11" t="str">
        <f ca="1">IFERROR(__xludf.DUMMYFUNCTION("SPLIT(J514,"";"")"),"Cavalcante, A.")</f>
        <v>Cavalcante, A.</v>
      </c>
      <c r="L514" s="10" t="str">
        <f ca="1">IFERROR(__xludf.DUMMYFUNCTION("""COMPUTED_VALUE"""),"Gouveia, L. ")</f>
        <v xml:space="preserve">Gouveia, L. </v>
      </c>
      <c r="M514" s="10"/>
      <c r="N514" s="10"/>
      <c r="O514" s="10"/>
      <c r="P514" s="10"/>
      <c r="Q514" s="10"/>
      <c r="R514" s="10"/>
      <c r="S514" s="10"/>
      <c r="T514" s="10"/>
      <c r="U514" s="10"/>
      <c r="V514" s="10"/>
      <c r="W514" s="10"/>
      <c r="X514" s="10"/>
      <c r="Y514" s="10"/>
      <c r="Z514" s="10"/>
    </row>
    <row r="515" spans="1:26" ht="17.25" customHeight="1" x14ac:dyDescent="0.3">
      <c r="A515" s="10" t="s">
        <v>647</v>
      </c>
      <c r="B515" s="10">
        <f t="shared" si="0"/>
        <v>13</v>
      </c>
      <c r="C515" s="8" t="str">
        <f t="shared" si="1"/>
        <v xml:space="preserve">Gouveia, L. </v>
      </c>
      <c r="D515" s="8" t="str">
        <f t="shared" si="2"/>
        <v>2017</v>
      </c>
      <c r="E515" s="10">
        <f t="shared" si="3"/>
        <v>18</v>
      </c>
      <c r="F515" s="10">
        <f t="shared" si="4"/>
        <v>80</v>
      </c>
      <c r="G515" s="8" t="str">
        <f t="shared" si="5"/>
        <v xml:space="preserve"> Cultura Digital: usar e explorar dados e informação em 2017. </v>
      </c>
      <c r="H515" s="10" t="str">
        <f t="shared" si="6"/>
        <v xml:space="preserve">Gouveia, L. </v>
      </c>
      <c r="I515" s="10" t="str">
        <f t="shared" si="7"/>
        <v xml:space="preserve">Gouveia, L. </v>
      </c>
      <c r="J515" s="10" t="str">
        <f t="shared" si="8"/>
        <v xml:space="preserve">Gouveia, L. </v>
      </c>
      <c r="K515" s="11" t="str">
        <f ca="1">IFERROR(__xludf.DUMMYFUNCTION("SPLIT(J515,"";"")"),"Gouveia, L. ")</f>
        <v xml:space="preserve">Gouveia, L. </v>
      </c>
      <c r="L515" s="10"/>
      <c r="M515" s="10"/>
      <c r="N515" s="10"/>
      <c r="O515" s="10"/>
      <c r="P515" s="10"/>
      <c r="Q515" s="10"/>
      <c r="R515" s="10"/>
      <c r="S515" s="10"/>
      <c r="T515" s="10"/>
      <c r="U515" s="10"/>
      <c r="V515" s="10"/>
      <c r="W515" s="10"/>
      <c r="X515" s="10"/>
      <c r="Y515" s="10"/>
      <c r="Z515" s="10"/>
    </row>
    <row r="516" spans="1:26" ht="17.25" customHeight="1" x14ac:dyDescent="0.3">
      <c r="A516" s="10" t="s">
        <v>648</v>
      </c>
      <c r="B516" s="10">
        <f t="shared" si="0"/>
        <v>13</v>
      </c>
      <c r="C516" s="8" t="str">
        <f t="shared" si="1"/>
        <v xml:space="preserve">Gouveia, L. </v>
      </c>
      <c r="D516" s="8" t="str">
        <f t="shared" si="2"/>
        <v>2017</v>
      </c>
      <c r="E516" s="10">
        <f t="shared" si="3"/>
        <v>18</v>
      </c>
      <c r="F516" s="10">
        <f t="shared" si="4"/>
        <v>87</v>
      </c>
      <c r="G516" s="8" t="str">
        <f t="shared" si="5"/>
        <v xml:space="preserve"> A linguagem R: um ambiente para explorar dados e aprender com eles. </v>
      </c>
      <c r="H516" s="10" t="str">
        <f t="shared" si="6"/>
        <v xml:space="preserve">Gouveia, L. </v>
      </c>
      <c r="I516" s="10" t="str">
        <f t="shared" si="7"/>
        <v xml:space="preserve">Gouveia, L. </v>
      </c>
      <c r="J516" s="10" t="str">
        <f t="shared" si="8"/>
        <v xml:space="preserve">Gouveia, L. </v>
      </c>
      <c r="K516" s="11" t="str">
        <f ca="1">IFERROR(__xludf.DUMMYFUNCTION("SPLIT(J516,"";"")"),"Gouveia, L. ")</f>
        <v xml:space="preserve">Gouveia, L. </v>
      </c>
      <c r="L516" s="10"/>
      <c r="M516" s="10"/>
      <c r="N516" s="10"/>
      <c r="O516" s="10"/>
      <c r="P516" s="10"/>
      <c r="Q516" s="10"/>
      <c r="R516" s="10"/>
      <c r="S516" s="10"/>
      <c r="T516" s="10"/>
      <c r="U516" s="10"/>
      <c r="V516" s="10"/>
      <c r="W516" s="10"/>
      <c r="X516" s="10"/>
      <c r="Y516" s="10"/>
      <c r="Z516" s="10"/>
    </row>
    <row r="517" spans="1:26" ht="17.25" customHeight="1" x14ac:dyDescent="0.3">
      <c r="A517" s="10" t="s">
        <v>649</v>
      </c>
      <c r="B517" s="10">
        <f t="shared" si="0"/>
        <v>13</v>
      </c>
      <c r="C517" s="8" t="str">
        <f t="shared" si="1"/>
        <v xml:space="preserve">Gouveia, L. </v>
      </c>
      <c r="D517" s="8" t="str">
        <f t="shared" si="2"/>
        <v>2017</v>
      </c>
      <c r="E517" s="10">
        <f t="shared" si="3"/>
        <v>18</v>
      </c>
      <c r="F517" s="10">
        <f t="shared" si="4"/>
        <v>46</v>
      </c>
      <c r="G517" s="8" t="str">
        <f t="shared" si="5"/>
        <v xml:space="preserve"> Digital para que te quero..</v>
      </c>
      <c r="H517" s="10" t="str">
        <f t="shared" si="6"/>
        <v xml:space="preserve">Gouveia, L. </v>
      </c>
      <c r="I517" s="10" t="str">
        <f t="shared" si="7"/>
        <v xml:space="preserve">Gouveia, L. </v>
      </c>
      <c r="J517" s="10" t="str">
        <f t="shared" si="8"/>
        <v xml:space="preserve">Gouveia, L. </v>
      </c>
      <c r="K517" s="11" t="str">
        <f ca="1">IFERROR(__xludf.DUMMYFUNCTION("SPLIT(J517,"";"")"),"Gouveia, L. ")</f>
        <v xml:space="preserve">Gouveia, L. </v>
      </c>
      <c r="L517" s="10"/>
      <c r="M517" s="10"/>
      <c r="N517" s="10"/>
      <c r="O517" s="10"/>
      <c r="P517" s="10"/>
      <c r="Q517" s="10"/>
      <c r="R517" s="10"/>
      <c r="S517" s="10"/>
      <c r="T517" s="10"/>
      <c r="U517" s="10"/>
      <c r="V517" s="10"/>
      <c r="W517" s="10"/>
      <c r="X517" s="10"/>
      <c r="Y517" s="10"/>
      <c r="Z517" s="10"/>
    </row>
    <row r="518" spans="1:26" ht="17.25" customHeight="1" x14ac:dyDescent="0.3">
      <c r="A518" s="10" t="s">
        <v>650</v>
      </c>
      <c r="B518" s="10">
        <f t="shared" si="0"/>
        <v>13</v>
      </c>
      <c r="C518" s="8" t="str">
        <f t="shared" si="1"/>
        <v xml:space="preserve">Gouveia, L. </v>
      </c>
      <c r="D518" s="8" t="str">
        <f t="shared" si="2"/>
        <v>2017</v>
      </c>
      <c r="E518" s="10">
        <f t="shared" si="3"/>
        <v>18</v>
      </c>
      <c r="F518" s="10">
        <f t="shared" si="4"/>
        <v>65</v>
      </c>
      <c r="G518" s="8" t="str">
        <f t="shared" si="5"/>
        <v xml:space="preserve">  O Digital e as Pessoas como Nova Tecnologia. </v>
      </c>
      <c r="H518" s="10" t="str">
        <f t="shared" si="6"/>
        <v xml:space="preserve">Gouveia, L. </v>
      </c>
      <c r="I518" s="10" t="str">
        <f t="shared" si="7"/>
        <v xml:space="preserve">Gouveia, L. </v>
      </c>
      <c r="J518" s="10" t="str">
        <f t="shared" si="8"/>
        <v xml:space="preserve">Gouveia, L. </v>
      </c>
      <c r="K518" s="11" t="str">
        <f ca="1">IFERROR(__xludf.DUMMYFUNCTION("SPLIT(J518,"";"")"),"Gouveia, L. ")</f>
        <v xml:space="preserve">Gouveia, L. </v>
      </c>
      <c r="L518" s="10"/>
      <c r="M518" s="10"/>
      <c r="N518" s="10"/>
      <c r="O518" s="10"/>
      <c r="P518" s="10"/>
      <c r="Q518" s="10"/>
      <c r="R518" s="10"/>
      <c r="S518" s="10"/>
      <c r="T518" s="10"/>
      <c r="U518" s="10"/>
      <c r="V518" s="10"/>
      <c r="W518" s="10"/>
      <c r="X518" s="10"/>
      <c r="Y518" s="10"/>
      <c r="Z518" s="10"/>
    </row>
    <row r="519" spans="1:26" ht="17.25" customHeight="1" x14ac:dyDescent="0.3">
      <c r="A519" s="10" t="s">
        <v>651</v>
      </c>
      <c r="B519" s="10">
        <f t="shared" si="0"/>
        <v>14</v>
      </c>
      <c r="C519" s="8" t="str">
        <f t="shared" si="1"/>
        <v xml:space="preserve">Gouveia, L.  </v>
      </c>
      <c r="D519" s="8" t="str">
        <f t="shared" si="2"/>
        <v>2017</v>
      </c>
      <c r="E519" s="10">
        <f t="shared" si="3"/>
        <v>19</v>
      </c>
      <c r="F519" s="10">
        <f t="shared" si="4"/>
        <v>79</v>
      </c>
      <c r="G519" s="8" t="str">
        <f t="shared" si="5"/>
        <v xml:space="preserve"> Cooperar no contexto do digital das redes e do território. </v>
      </c>
      <c r="H519" s="10" t="str">
        <f t="shared" si="6"/>
        <v xml:space="preserve">Gouveia, L.  </v>
      </c>
      <c r="I519" s="10" t="str">
        <f t="shared" si="7"/>
        <v xml:space="preserve">Gouveia, L.  </v>
      </c>
      <c r="J519" s="10" t="str">
        <f t="shared" si="8"/>
        <v xml:space="preserve">Gouveia, L.  </v>
      </c>
      <c r="K519" s="11" t="str">
        <f ca="1">IFERROR(__xludf.DUMMYFUNCTION("SPLIT(J519,"";"")"),"Gouveia, L.  ")</f>
        <v xml:space="preserve">Gouveia, L.  </v>
      </c>
      <c r="L519" s="10"/>
      <c r="M519" s="10"/>
      <c r="N519" s="10"/>
      <c r="O519" s="10"/>
      <c r="P519" s="10"/>
      <c r="Q519" s="10"/>
      <c r="R519" s="10"/>
      <c r="S519" s="10"/>
      <c r="T519" s="10"/>
      <c r="U519" s="10"/>
      <c r="V519" s="10"/>
      <c r="W519" s="10"/>
      <c r="X519" s="10"/>
      <c r="Y519" s="10"/>
      <c r="Z519" s="10"/>
    </row>
    <row r="520" spans="1:26" ht="17.25" customHeight="1" x14ac:dyDescent="0.3">
      <c r="A520" s="10" t="s">
        <v>652</v>
      </c>
      <c r="B520" s="10">
        <f t="shared" si="0"/>
        <v>13</v>
      </c>
      <c r="C520" s="8" t="str">
        <f t="shared" si="1"/>
        <v xml:space="preserve">Gouveia, L. </v>
      </c>
      <c r="D520" s="8" t="str">
        <f t="shared" si="2"/>
        <v>2016</v>
      </c>
      <c r="E520" s="10">
        <f t="shared" si="3"/>
        <v>18</v>
      </c>
      <c r="F520" s="10">
        <f t="shared" si="4"/>
        <v>75</v>
      </c>
      <c r="G520" s="8" t="str">
        <f t="shared" si="5"/>
        <v xml:space="preserve">  R: a alternativa ao SPSS e ao NVivo em software livre. </v>
      </c>
      <c r="H520" s="10" t="str">
        <f t="shared" si="6"/>
        <v xml:space="preserve">Gouveia, L. </v>
      </c>
      <c r="I520" s="10" t="str">
        <f t="shared" si="7"/>
        <v xml:space="preserve">Gouveia, L. </v>
      </c>
      <c r="J520" s="10" t="str">
        <f t="shared" si="8"/>
        <v xml:space="preserve">Gouveia, L. </v>
      </c>
      <c r="K520" s="11" t="str">
        <f ca="1">IFERROR(__xludf.DUMMYFUNCTION("SPLIT(J520,"";"")"),"Gouveia, L. ")</f>
        <v xml:space="preserve">Gouveia, L. </v>
      </c>
      <c r="L520" s="10"/>
      <c r="M520" s="10"/>
      <c r="N520" s="10"/>
      <c r="O520" s="10"/>
      <c r="P520" s="10"/>
      <c r="Q520" s="10"/>
      <c r="R520" s="10"/>
      <c r="S520" s="10"/>
      <c r="T520" s="10"/>
      <c r="U520" s="10"/>
      <c r="V520" s="10"/>
      <c r="W520" s="10"/>
      <c r="X520" s="10"/>
      <c r="Y520" s="10"/>
      <c r="Z520" s="10"/>
    </row>
    <row r="521" spans="1:26" ht="17.25" customHeight="1" x14ac:dyDescent="0.3">
      <c r="A521" s="10" t="s">
        <v>653</v>
      </c>
      <c r="B521" s="10">
        <f t="shared" si="0"/>
        <v>13</v>
      </c>
      <c r="C521" s="8" t="str">
        <f t="shared" si="1"/>
        <v xml:space="preserve">Gouveia, L. </v>
      </c>
      <c r="D521" s="8" t="str">
        <f t="shared" si="2"/>
        <v>2016</v>
      </c>
      <c r="E521" s="10">
        <f t="shared" si="3"/>
        <v>18</v>
      </c>
      <c r="F521" s="10">
        <f t="shared" si="4"/>
        <v>77</v>
      </c>
      <c r="G521" s="8" t="str">
        <f t="shared" si="5"/>
        <v xml:space="preserve">  Holacracy as an alternative to organisations governance. </v>
      </c>
      <c r="H521" s="10" t="str">
        <f t="shared" si="6"/>
        <v xml:space="preserve">Gouveia, L. </v>
      </c>
      <c r="I521" s="10" t="str">
        <f t="shared" si="7"/>
        <v xml:space="preserve">Gouveia, L. </v>
      </c>
      <c r="J521" s="10" t="str">
        <f t="shared" si="8"/>
        <v xml:space="preserve">Gouveia, L. </v>
      </c>
      <c r="K521" s="11" t="str">
        <f ca="1">IFERROR(__xludf.DUMMYFUNCTION("SPLIT(J521,"";"")"),"Gouveia, L. ")</f>
        <v xml:space="preserve">Gouveia, L. </v>
      </c>
      <c r="L521" s="10"/>
      <c r="M521" s="10"/>
      <c r="N521" s="10"/>
      <c r="O521" s="10"/>
      <c r="P521" s="10"/>
      <c r="Q521" s="10"/>
      <c r="R521" s="10"/>
      <c r="S521" s="10"/>
      <c r="T521" s="10"/>
      <c r="U521" s="10"/>
      <c r="V521" s="10"/>
      <c r="W521" s="10"/>
      <c r="X521" s="10"/>
      <c r="Y521" s="10"/>
      <c r="Z521" s="10"/>
    </row>
    <row r="522" spans="1:26" ht="17.25" customHeight="1" x14ac:dyDescent="0.3">
      <c r="A522" s="10" t="s">
        <v>654</v>
      </c>
      <c r="B522" s="10">
        <f t="shared" si="0"/>
        <v>13</v>
      </c>
      <c r="C522" s="8" t="str">
        <f t="shared" si="1"/>
        <v xml:space="preserve">Gouveia, L. </v>
      </c>
      <c r="D522" s="8" t="str">
        <f t="shared" si="2"/>
        <v>2016</v>
      </c>
      <c r="E522" s="10">
        <f t="shared" si="3"/>
        <v>18</v>
      </c>
      <c r="F522" s="10">
        <f t="shared" si="4"/>
        <v>90</v>
      </c>
      <c r="G522" s="8" t="str">
        <f t="shared" si="5"/>
        <v xml:space="preserve">  O digital, a sustentabilidade e a viagem do open source ao open data. </v>
      </c>
      <c r="H522" s="10" t="str">
        <f t="shared" si="6"/>
        <v xml:space="preserve">Gouveia, L. </v>
      </c>
      <c r="I522" s="10" t="str">
        <f t="shared" si="7"/>
        <v xml:space="preserve">Gouveia, L. </v>
      </c>
      <c r="J522" s="10" t="str">
        <f t="shared" si="8"/>
        <v xml:space="preserve">Gouveia, L. </v>
      </c>
      <c r="K522" s="11" t="str">
        <f ca="1">IFERROR(__xludf.DUMMYFUNCTION("SPLIT(J522,"";"")"),"Gouveia, L. ")</f>
        <v xml:space="preserve">Gouveia, L. </v>
      </c>
      <c r="L522" s="10"/>
      <c r="M522" s="10"/>
      <c r="N522" s="10"/>
      <c r="O522" s="10"/>
      <c r="P522" s="10"/>
      <c r="Q522" s="10"/>
      <c r="R522" s="10"/>
      <c r="S522" s="10"/>
      <c r="T522" s="10"/>
      <c r="U522" s="10"/>
      <c r="V522" s="10"/>
      <c r="W522" s="10"/>
      <c r="X522" s="10"/>
      <c r="Y522" s="10"/>
      <c r="Z522" s="10"/>
    </row>
    <row r="523" spans="1:26" ht="17.25" customHeight="1" x14ac:dyDescent="0.3">
      <c r="A523" s="10" t="s">
        <v>655</v>
      </c>
      <c r="B523" s="10">
        <f t="shared" si="0"/>
        <v>13</v>
      </c>
      <c r="C523" s="8" t="str">
        <f t="shared" si="1"/>
        <v xml:space="preserve">Gouveia, L. </v>
      </c>
      <c r="D523" s="8" t="str">
        <f t="shared" si="2"/>
        <v>2016</v>
      </c>
      <c r="E523" s="10">
        <f t="shared" si="3"/>
        <v>18</v>
      </c>
      <c r="F523" s="10">
        <f t="shared" si="4"/>
        <v>104</v>
      </c>
      <c r="G523" s="8" t="str">
        <f t="shared" si="5"/>
        <v xml:space="preserve"> Desafios da segurança da informação: da sua cultura e aplicação à confidencialidade. </v>
      </c>
      <c r="H523" s="10" t="str">
        <f t="shared" si="6"/>
        <v xml:space="preserve">Gouveia, L. </v>
      </c>
      <c r="I523" s="10" t="str">
        <f t="shared" si="7"/>
        <v xml:space="preserve">Gouveia, L. </v>
      </c>
      <c r="J523" s="10" t="str">
        <f t="shared" si="8"/>
        <v xml:space="preserve">Gouveia, L. </v>
      </c>
      <c r="K523" s="11" t="str">
        <f ca="1">IFERROR(__xludf.DUMMYFUNCTION("SPLIT(J523,"";"")"),"Gouveia, L. ")</f>
        <v xml:space="preserve">Gouveia, L. </v>
      </c>
      <c r="L523" s="10"/>
      <c r="M523" s="10"/>
      <c r="N523" s="10"/>
      <c r="O523" s="10"/>
      <c r="P523" s="10"/>
      <c r="Q523" s="10"/>
      <c r="R523" s="10"/>
      <c r="S523" s="10"/>
      <c r="T523" s="10"/>
      <c r="U523" s="10"/>
      <c r="V523" s="10"/>
      <c r="W523" s="10"/>
      <c r="X523" s="10"/>
      <c r="Y523" s="10"/>
      <c r="Z523" s="10"/>
    </row>
    <row r="524" spans="1:26" ht="17.25" customHeight="1" x14ac:dyDescent="0.3">
      <c r="A524" s="10" t="s">
        <v>656</v>
      </c>
      <c r="B524" s="10">
        <f t="shared" si="0"/>
        <v>13</v>
      </c>
      <c r="C524" s="8" t="str">
        <f t="shared" si="1"/>
        <v xml:space="preserve">Gouveia, L. </v>
      </c>
      <c r="D524" s="8" t="str">
        <f t="shared" si="2"/>
        <v>2016</v>
      </c>
      <c r="E524" s="10">
        <f t="shared" si="3"/>
        <v>18</v>
      </c>
      <c r="F524" s="10">
        <f t="shared" si="4"/>
        <v>108</v>
      </c>
      <c r="G524" s="8" t="str">
        <f t="shared" si="5"/>
        <v xml:space="preserve"> Uma discussão do impacte do digital (dos computadores aos fluxos de informação em rede). </v>
      </c>
      <c r="H524" s="10" t="str">
        <f t="shared" si="6"/>
        <v xml:space="preserve">Gouveia, L. </v>
      </c>
      <c r="I524" s="10" t="str">
        <f t="shared" si="7"/>
        <v xml:space="preserve">Gouveia, L. </v>
      </c>
      <c r="J524" s="10" t="str">
        <f t="shared" si="8"/>
        <v xml:space="preserve">Gouveia, L. </v>
      </c>
      <c r="K524" s="11" t="str">
        <f ca="1">IFERROR(__xludf.DUMMYFUNCTION("SPLIT(J524,"";"")"),"Gouveia, L. ")</f>
        <v xml:space="preserve">Gouveia, L. </v>
      </c>
      <c r="L524" s="10"/>
      <c r="M524" s="10"/>
      <c r="N524" s="10"/>
      <c r="O524" s="10"/>
      <c r="P524" s="10"/>
      <c r="Q524" s="10"/>
      <c r="R524" s="10"/>
      <c r="S524" s="10"/>
      <c r="T524" s="10"/>
      <c r="U524" s="10"/>
      <c r="V524" s="10"/>
      <c r="W524" s="10"/>
      <c r="X524" s="10"/>
      <c r="Y524" s="10"/>
      <c r="Z524" s="10"/>
    </row>
    <row r="525" spans="1:26" ht="17.25" customHeight="1" x14ac:dyDescent="0.3">
      <c r="A525" s="10" t="s">
        <v>657</v>
      </c>
      <c r="B525" s="10">
        <f t="shared" si="0"/>
        <v>40</v>
      </c>
      <c r="C525" s="8" t="str">
        <f t="shared" si="1"/>
        <v xml:space="preserve">Lourenço, M.; Rurato, P. e Gouveia, L. </v>
      </c>
      <c r="D525" s="8" t="str">
        <f t="shared" si="2"/>
        <v>2016</v>
      </c>
      <c r="E525" s="10">
        <f t="shared" si="3"/>
        <v>45</v>
      </c>
      <c r="F525" s="10">
        <f t="shared" si="4"/>
        <v>127</v>
      </c>
      <c r="G525" s="8" t="str">
        <f t="shared" si="5"/>
        <v xml:space="preserve"> Educação, tecnologia, aprendizagem – exaltação à negação: a busca da relevância. </v>
      </c>
      <c r="H525" s="10" t="str">
        <f t="shared" si="6"/>
        <v xml:space="preserve">Lourenço, M.; Rurato, P. e Gouveia, L. </v>
      </c>
      <c r="I525" s="10" t="str">
        <f t="shared" si="7"/>
        <v xml:space="preserve">Lourenço, M.; Rurato, P. e Gouveia, L. </v>
      </c>
      <c r="J525" s="10" t="str">
        <f t="shared" si="8"/>
        <v xml:space="preserve">Lourenço, M.; Rurato, P.;Gouveia, L. </v>
      </c>
      <c r="K525" s="11" t="str">
        <f ca="1">IFERROR(__xludf.DUMMYFUNCTION("SPLIT(J525,"";"")"),"Lourenço, M.")</f>
        <v>Lourenço, M.</v>
      </c>
      <c r="L525" s="10" t="str">
        <f ca="1">IFERROR(__xludf.DUMMYFUNCTION("""COMPUTED_VALUE""")," Rurato, P.")</f>
        <v xml:space="preserve"> Rurato, P.</v>
      </c>
      <c r="M525" s="10" t="str">
        <f ca="1">IFERROR(__xludf.DUMMYFUNCTION("""COMPUTED_VALUE"""),"Gouveia, L. ")</f>
        <v xml:space="preserve">Gouveia, L. </v>
      </c>
      <c r="N525" s="10"/>
      <c r="O525" s="10"/>
      <c r="P525" s="10"/>
      <c r="Q525" s="10"/>
      <c r="R525" s="10"/>
      <c r="S525" s="10"/>
      <c r="T525" s="10"/>
      <c r="U525" s="10"/>
      <c r="V525" s="10"/>
      <c r="W525" s="10"/>
      <c r="X525" s="10"/>
      <c r="Y525" s="10"/>
      <c r="Z525" s="10"/>
    </row>
    <row r="526" spans="1:26" ht="17.25" customHeight="1" x14ac:dyDescent="0.3">
      <c r="A526" s="10" t="s">
        <v>658</v>
      </c>
      <c r="B526" s="10">
        <f t="shared" si="0"/>
        <v>37</v>
      </c>
      <c r="C526" s="8" t="str">
        <f t="shared" si="1"/>
        <v xml:space="preserve">Araújo, P.; Gouveia, L. e Toldy, T. </v>
      </c>
      <c r="D526" s="8" t="str">
        <f t="shared" si="2"/>
        <v>2016</v>
      </c>
      <c r="E526" s="10">
        <f t="shared" si="3"/>
        <v>42</v>
      </c>
      <c r="F526" s="10">
        <f t="shared" si="4"/>
        <v>67</v>
      </c>
      <c r="G526" s="8" t="str">
        <f t="shared" si="5"/>
        <v xml:space="preserve"> Esfera Pública Digital. </v>
      </c>
      <c r="H526" s="10" t="str">
        <f t="shared" si="6"/>
        <v xml:space="preserve">Araújo, P.; Gouveia, L. e Toldy, T. </v>
      </c>
      <c r="I526" s="10" t="str">
        <f t="shared" si="7"/>
        <v xml:space="preserve">Araújo, P.; Gouveia, L. e Toldy, T. </v>
      </c>
      <c r="J526" s="10" t="str">
        <f t="shared" si="8"/>
        <v xml:space="preserve">Araújo, P.; Gouveia, L.;Toldy, T. </v>
      </c>
      <c r="K526" s="11" t="str">
        <f ca="1">IFERROR(__xludf.DUMMYFUNCTION("SPLIT(J526,"";"")"),"Araújo, P.")</f>
        <v>Araújo, P.</v>
      </c>
      <c r="L526" s="10" t="str">
        <f ca="1">IFERROR(__xludf.DUMMYFUNCTION("""COMPUTED_VALUE""")," Gouveia, L.")</f>
        <v xml:space="preserve"> Gouveia, L.</v>
      </c>
      <c r="M526" s="10" t="str">
        <f ca="1">IFERROR(__xludf.DUMMYFUNCTION("""COMPUTED_VALUE"""),"Toldy, T. ")</f>
        <v xml:space="preserve">Toldy, T. </v>
      </c>
      <c r="N526" s="10"/>
      <c r="O526" s="10"/>
      <c r="P526" s="10"/>
      <c r="Q526" s="10"/>
      <c r="R526" s="10"/>
      <c r="S526" s="10"/>
      <c r="T526" s="10"/>
      <c r="U526" s="10"/>
      <c r="V526" s="10"/>
      <c r="W526" s="10"/>
      <c r="X526" s="10"/>
      <c r="Y526" s="10"/>
      <c r="Z526" s="10"/>
    </row>
    <row r="527" spans="1:26" ht="17.25" customHeight="1" x14ac:dyDescent="0.3">
      <c r="A527" s="10" t="s">
        <v>659</v>
      </c>
      <c r="B527" s="10">
        <f t="shared" si="0"/>
        <v>35</v>
      </c>
      <c r="C527" s="8" t="str">
        <f t="shared" si="1"/>
        <v xml:space="preserve">Lopes, S.; Gouveia, L. e Reis, P. </v>
      </c>
      <c r="D527" s="8" t="str">
        <f t="shared" si="2"/>
        <v>2016</v>
      </c>
      <c r="E527" s="10">
        <f t="shared" si="3"/>
        <v>40</v>
      </c>
      <c r="F527" s="10">
        <f t="shared" si="4"/>
        <v>136</v>
      </c>
      <c r="G527" s="8" t="str">
        <f t="shared" si="5"/>
        <v xml:space="preserve"> O modelo de ensino da flipped classroom (sala de aula invertida) no âmbito do ensino superior. </v>
      </c>
      <c r="H527" s="10" t="str">
        <f t="shared" si="6"/>
        <v xml:space="preserve">Lopes, S.; Gouveia, L. e Reis, P. </v>
      </c>
      <c r="I527" s="10" t="str">
        <f t="shared" si="7"/>
        <v xml:space="preserve">Lopes, S.; Gouveia, L. e Reis, P. </v>
      </c>
      <c r="J527" s="10" t="str">
        <f t="shared" si="8"/>
        <v xml:space="preserve">Lopes, S.; Gouveia, L.;Reis, P. </v>
      </c>
      <c r="K527" s="11" t="str">
        <f ca="1">IFERROR(__xludf.DUMMYFUNCTION("SPLIT(J527,"";"")"),"Lopes, S.")</f>
        <v>Lopes, S.</v>
      </c>
      <c r="L527" s="10" t="str">
        <f ca="1">IFERROR(__xludf.DUMMYFUNCTION("""COMPUTED_VALUE""")," Gouveia, L.")</f>
        <v xml:space="preserve"> Gouveia, L.</v>
      </c>
      <c r="M527" s="10" t="str">
        <f ca="1">IFERROR(__xludf.DUMMYFUNCTION("""COMPUTED_VALUE"""),"Reis, P. ")</f>
        <v xml:space="preserve">Reis, P. </v>
      </c>
      <c r="N527" s="10"/>
      <c r="O527" s="10"/>
      <c r="P527" s="10"/>
      <c r="Q527" s="10"/>
      <c r="R527" s="10"/>
      <c r="S527" s="10"/>
      <c r="T527" s="10"/>
      <c r="U527" s="10"/>
      <c r="V527" s="10"/>
      <c r="W527" s="10"/>
      <c r="X527" s="10"/>
      <c r="Y527" s="10"/>
      <c r="Z527" s="10"/>
    </row>
    <row r="528" spans="1:26" ht="17.25" customHeight="1" x14ac:dyDescent="0.3">
      <c r="A528" s="10" t="s">
        <v>660</v>
      </c>
      <c r="B528" s="10">
        <f t="shared" si="0"/>
        <v>26</v>
      </c>
      <c r="C528" s="8" t="str">
        <f t="shared" si="1"/>
        <v xml:space="preserve">Araújo, A. e Gouveia, L. </v>
      </c>
      <c r="D528" s="8" t="str">
        <f t="shared" si="2"/>
        <v>2016</v>
      </c>
      <c r="E528" s="10">
        <f t="shared" si="3"/>
        <v>31</v>
      </c>
      <c r="F528" s="10">
        <f t="shared" si="4"/>
        <v>150</v>
      </c>
      <c r="G528" s="8" t="str">
        <f t="shared" si="5"/>
        <v xml:space="preserve"> As TICs aplicadas no ensino superior: um estudo de caso no contexto de uma IES particular na cidade de Belém do Pará. </v>
      </c>
      <c r="H528" s="10" t="str">
        <f t="shared" si="6"/>
        <v xml:space="preserve">Araújo, A. e Gouveia, L. </v>
      </c>
      <c r="I528" s="10" t="str">
        <f t="shared" si="7"/>
        <v xml:space="preserve">Araújo, A. e Gouveia, L. </v>
      </c>
      <c r="J528" s="10" t="str">
        <f t="shared" si="8"/>
        <v xml:space="preserve">Araújo, A.;Gouveia, L. </v>
      </c>
      <c r="K528" s="11" t="str">
        <f ca="1">IFERROR(__xludf.DUMMYFUNCTION("SPLIT(J528,"";"")"),"Araújo, A.")</f>
        <v>Araújo, A.</v>
      </c>
      <c r="L528" s="10" t="str">
        <f ca="1">IFERROR(__xludf.DUMMYFUNCTION("""COMPUTED_VALUE"""),"Gouveia, L. ")</f>
        <v xml:space="preserve">Gouveia, L. </v>
      </c>
      <c r="M528" s="10"/>
      <c r="N528" s="10"/>
      <c r="O528" s="10"/>
      <c r="P528" s="10"/>
      <c r="Q528" s="10"/>
      <c r="R528" s="10"/>
      <c r="S528" s="10"/>
      <c r="T528" s="10"/>
      <c r="U528" s="10"/>
      <c r="V528" s="10"/>
      <c r="W528" s="10"/>
      <c r="X528" s="10"/>
      <c r="Y528" s="10"/>
      <c r="Z528" s="10"/>
    </row>
    <row r="529" spans="1:26" ht="17.25" customHeight="1" x14ac:dyDescent="0.3">
      <c r="A529" s="10" t="s">
        <v>661</v>
      </c>
      <c r="B529" s="10">
        <f t="shared" si="0"/>
        <v>27</v>
      </c>
      <c r="C529" s="8" t="str">
        <f t="shared" si="1"/>
        <v xml:space="preserve">Morgado, R. e Gouveia, L. </v>
      </c>
      <c r="D529" s="8" t="str">
        <f t="shared" si="2"/>
        <v>2016</v>
      </c>
      <c r="E529" s="10">
        <f t="shared" si="3"/>
        <v>32</v>
      </c>
      <c r="F529" s="10">
        <f t="shared" si="4"/>
        <v>142</v>
      </c>
      <c r="G529" s="8" t="str">
        <f t="shared" si="5"/>
        <v xml:space="preserve"> O recurso e a contribuição potencial da inteligência artificial para a cibersegurança em ambientes digitais. </v>
      </c>
      <c r="H529" s="10" t="str">
        <f t="shared" si="6"/>
        <v xml:space="preserve">Morgado, R. e Gouveia, L. </v>
      </c>
      <c r="I529" s="10" t="str">
        <f t="shared" si="7"/>
        <v xml:space="preserve">Morgado, R. e Gouveia, L. </v>
      </c>
      <c r="J529" s="10" t="str">
        <f t="shared" si="8"/>
        <v xml:space="preserve">Morgado, R.;Gouveia, L. </v>
      </c>
      <c r="K529" s="11" t="str">
        <f ca="1">IFERROR(__xludf.DUMMYFUNCTION("SPLIT(J529,"";"")"),"Morgado, R.")</f>
        <v>Morgado, R.</v>
      </c>
      <c r="L529" s="10" t="str">
        <f ca="1">IFERROR(__xludf.DUMMYFUNCTION("""COMPUTED_VALUE"""),"Gouveia, L. ")</f>
        <v xml:space="preserve">Gouveia, L. </v>
      </c>
      <c r="M529" s="10"/>
      <c r="N529" s="10"/>
      <c r="O529" s="10"/>
      <c r="P529" s="10"/>
      <c r="Q529" s="10"/>
      <c r="R529" s="10"/>
      <c r="S529" s="10"/>
      <c r="T529" s="10"/>
      <c r="U529" s="10"/>
      <c r="V529" s="10"/>
      <c r="W529" s="10"/>
      <c r="X529" s="10"/>
      <c r="Y529" s="10"/>
      <c r="Z529" s="10"/>
    </row>
    <row r="530" spans="1:26" ht="17.25" customHeight="1" x14ac:dyDescent="0.3">
      <c r="A530" s="10" t="s">
        <v>662</v>
      </c>
      <c r="B530" s="10">
        <f t="shared" si="0"/>
        <v>27</v>
      </c>
      <c r="C530" s="8" t="str">
        <f t="shared" si="1"/>
        <v xml:space="preserve">Correia, A. e Gouveia, L. </v>
      </c>
      <c r="D530" s="8" t="str">
        <f t="shared" si="2"/>
        <v>2016</v>
      </c>
      <c r="E530" s="10">
        <f t="shared" si="3"/>
        <v>32</v>
      </c>
      <c r="F530" s="10">
        <f t="shared" si="4"/>
        <v>117</v>
      </c>
      <c r="G530" s="8" t="str">
        <f t="shared" si="5"/>
        <v xml:space="preserve"> Região Norte NUT II – como valor acrescentado no desenvolvimento digital da região. </v>
      </c>
      <c r="H530" s="10" t="str">
        <f t="shared" si="6"/>
        <v xml:space="preserve">Correia, A. e Gouveia, L. </v>
      </c>
      <c r="I530" s="10" t="str">
        <f t="shared" si="7"/>
        <v xml:space="preserve">Correia, A. e Gouveia, L. </v>
      </c>
      <c r="J530" s="10" t="str">
        <f t="shared" si="8"/>
        <v xml:space="preserve">Correia, A.;Gouveia, L. </v>
      </c>
      <c r="K530" s="11" t="str">
        <f ca="1">IFERROR(__xludf.DUMMYFUNCTION("SPLIT(J530,"";"")"),"Correia, A.")</f>
        <v>Correia, A.</v>
      </c>
      <c r="L530" s="10" t="str">
        <f ca="1">IFERROR(__xludf.DUMMYFUNCTION("""COMPUTED_VALUE"""),"Gouveia, L. ")</f>
        <v xml:space="preserve">Gouveia, L. </v>
      </c>
      <c r="M530" s="10"/>
      <c r="N530" s="10"/>
      <c r="O530" s="10"/>
      <c r="P530" s="10"/>
      <c r="Q530" s="10"/>
      <c r="R530" s="10"/>
      <c r="S530" s="10"/>
      <c r="T530" s="10"/>
      <c r="U530" s="10"/>
      <c r="V530" s="10"/>
      <c r="W530" s="10"/>
      <c r="X530" s="10"/>
      <c r="Y530" s="10"/>
      <c r="Z530" s="10"/>
    </row>
    <row r="531" spans="1:26" ht="17.25" customHeight="1" x14ac:dyDescent="0.3">
      <c r="A531" s="10" t="s">
        <v>663</v>
      </c>
      <c r="B531" s="10">
        <f t="shared" si="0"/>
        <v>27</v>
      </c>
      <c r="C531" s="8" t="str">
        <f t="shared" si="1"/>
        <v xml:space="preserve">Menezes, N. e Gouveia, L. </v>
      </c>
      <c r="D531" s="8" t="str">
        <f t="shared" si="2"/>
        <v>2016</v>
      </c>
      <c r="E531" s="10">
        <f t="shared" si="3"/>
        <v>32</v>
      </c>
      <c r="F531" s="10">
        <f t="shared" si="4"/>
        <v>156</v>
      </c>
      <c r="G531" s="8" t="str">
        <f t="shared" si="5"/>
        <v xml:space="preserve"> O recurso a tecnologias de informação e comunicação para suporte da atividade em sala de aula de professores e formadores. </v>
      </c>
      <c r="H531" s="10" t="str">
        <f t="shared" si="6"/>
        <v xml:space="preserve">Menezes, N. e Gouveia, L. </v>
      </c>
      <c r="I531" s="10" t="str">
        <f t="shared" si="7"/>
        <v xml:space="preserve">Menezes, N. e Gouveia, L. </v>
      </c>
      <c r="J531" s="10" t="str">
        <f t="shared" si="8"/>
        <v xml:space="preserve">Menezes, N.;Gouveia, L. </v>
      </c>
      <c r="K531" s="11" t="str">
        <f ca="1">IFERROR(__xludf.DUMMYFUNCTION("SPLIT(J531,"";"")"),"Menezes, N.")</f>
        <v>Menezes, N.</v>
      </c>
      <c r="L531" s="10" t="str">
        <f ca="1">IFERROR(__xludf.DUMMYFUNCTION("""COMPUTED_VALUE"""),"Gouveia, L. ")</f>
        <v xml:space="preserve">Gouveia, L. </v>
      </c>
      <c r="M531" s="10"/>
      <c r="N531" s="10"/>
      <c r="O531" s="10"/>
      <c r="P531" s="10"/>
      <c r="Q531" s="10"/>
      <c r="R531" s="10"/>
      <c r="S531" s="10"/>
      <c r="T531" s="10"/>
      <c r="U531" s="10"/>
      <c r="V531" s="10"/>
      <c r="W531" s="10"/>
      <c r="X531" s="10"/>
      <c r="Y531" s="10"/>
      <c r="Z531" s="10"/>
    </row>
    <row r="532" spans="1:26" ht="17.25" customHeight="1" x14ac:dyDescent="0.3">
      <c r="A532" s="10" t="s">
        <v>664</v>
      </c>
      <c r="B532" s="10">
        <f t="shared" si="0"/>
        <v>26</v>
      </c>
      <c r="C532" s="8" t="str">
        <f t="shared" si="1"/>
        <v xml:space="preserve">Robalo, A. e Gouveia, L. </v>
      </c>
      <c r="D532" s="8" t="str">
        <f t="shared" si="2"/>
        <v>2016</v>
      </c>
      <c r="E532" s="10">
        <f t="shared" si="3"/>
        <v>31</v>
      </c>
      <c r="F532" s="10">
        <f t="shared" si="4"/>
        <v>194</v>
      </c>
      <c r="G532" s="8" t="str">
        <f t="shared" si="5"/>
        <v xml:space="preserve"> A promoção da cultura digital nos professores do 1º e 2º ciclo do ensino secundário, Município do Huambo: A Mediateca como agente na promoção da Cultura Digital. </v>
      </c>
      <c r="H532" s="10" t="str">
        <f t="shared" si="6"/>
        <v xml:space="preserve">Robalo, A. e Gouveia, L. </v>
      </c>
      <c r="I532" s="10" t="str">
        <f t="shared" si="7"/>
        <v xml:space="preserve">Robalo, A. e Gouveia, L. </v>
      </c>
      <c r="J532" s="10" t="str">
        <f t="shared" si="8"/>
        <v xml:space="preserve">Robalo, A.;Gouveia, L. </v>
      </c>
      <c r="K532" s="11" t="str">
        <f ca="1">IFERROR(__xludf.DUMMYFUNCTION("SPLIT(J532,"";"")"),"Robalo, A.")</f>
        <v>Robalo, A.</v>
      </c>
      <c r="L532" s="10" t="str">
        <f ca="1">IFERROR(__xludf.DUMMYFUNCTION("""COMPUTED_VALUE"""),"Gouveia, L. ")</f>
        <v xml:space="preserve">Gouveia, L. </v>
      </c>
      <c r="M532" s="10"/>
      <c r="N532" s="10"/>
      <c r="O532" s="10"/>
      <c r="P532" s="10"/>
      <c r="Q532" s="10"/>
      <c r="R532" s="10"/>
      <c r="S532" s="10"/>
      <c r="T532" s="10"/>
      <c r="U532" s="10"/>
      <c r="V532" s="10"/>
      <c r="W532" s="10"/>
      <c r="X532" s="10"/>
      <c r="Y532" s="10"/>
      <c r="Z532" s="10"/>
    </row>
    <row r="533" spans="1:26" ht="17.25" customHeight="1" x14ac:dyDescent="0.3">
      <c r="A533" s="10" t="s">
        <v>665</v>
      </c>
      <c r="B533" s="10">
        <f t="shared" si="0"/>
        <v>25</v>
      </c>
      <c r="C533" s="8" t="str">
        <f t="shared" si="1"/>
        <v xml:space="preserve">Peres, P. e Gouveia, L. </v>
      </c>
      <c r="D533" s="8" t="str">
        <f t="shared" si="2"/>
        <v>2015</v>
      </c>
      <c r="E533" s="10">
        <f t="shared" si="3"/>
        <v>30</v>
      </c>
      <c r="F533" s="10">
        <f t="shared" si="4"/>
        <v>122</v>
      </c>
      <c r="G533" s="8" t="str">
        <f t="shared" si="5"/>
        <v xml:space="preserve"> Planeamento e Gestão da Mudança nos Processos de Implementação de Sistemas dee/b-learning. </v>
      </c>
      <c r="H533" s="10" t="str">
        <f t="shared" si="6"/>
        <v xml:space="preserve">Peres, P. e Gouveia, L. </v>
      </c>
      <c r="I533" s="10" t="str">
        <f t="shared" si="7"/>
        <v xml:space="preserve">Peres, P. e Gouveia, L. </v>
      </c>
      <c r="J533" s="10" t="str">
        <f t="shared" si="8"/>
        <v xml:space="preserve">Peres, P.;Gouveia, L. </v>
      </c>
      <c r="K533" s="11" t="str">
        <f ca="1">IFERROR(__xludf.DUMMYFUNCTION("SPLIT(J533,"";"")"),"Peres, P.")</f>
        <v>Peres, P.</v>
      </c>
      <c r="L533" s="10" t="str">
        <f ca="1">IFERROR(__xludf.DUMMYFUNCTION("""COMPUTED_VALUE"""),"Gouveia, L. ")</f>
        <v xml:space="preserve">Gouveia, L. </v>
      </c>
      <c r="M533" s="10"/>
      <c r="N533" s="10"/>
      <c r="O533" s="10"/>
      <c r="P533" s="10"/>
      <c r="Q533" s="10"/>
      <c r="R533" s="10"/>
      <c r="S533" s="10"/>
      <c r="T533" s="10"/>
      <c r="U533" s="10"/>
      <c r="V533" s="10"/>
      <c r="W533" s="10"/>
      <c r="X533" s="10"/>
      <c r="Y533" s="10"/>
      <c r="Z533" s="10"/>
    </row>
    <row r="534" spans="1:26" ht="17.25" customHeight="1" x14ac:dyDescent="0.3">
      <c r="A534" s="10" t="s">
        <v>666</v>
      </c>
      <c r="B534" s="10">
        <f t="shared" si="0"/>
        <v>24</v>
      </c>
      <c r="C534" s="8" t="str">
        <f t="shared" si="1"/>
        <v xml:space="preserve">Leal, J. e Gouveia, L. </v>
      </c>
      <c r="D534" s="8" t="str">
        <f t="shared" si="2"/>
        <v>2015</v>
      </c>
      <c r="E534" s="10">
        <f t="shared" si="3"/>
        <v>29</v>
      </c>
      <c r="F534" s="10">
        <f t="shared" si="4"/>
        <v>114</v>
      </c>
      <c r="G534" s="8" t="str">
        <f t="shared" si="5"/>
        <v xml:space="preserve"> MOOC: qual o papel na reconceptualização da Universidade? Dias da Investigação UFP. </v>
      </c>
      <c r="H534" s="10" t="str">
        <f t="shared" si="6"/>
        <v xml:space="preserve">Leal, J. e Gouveia, L. </v>
      </c>
      <c r="I534" s="10" t="str">
        <f t="shared" si="7"/>
        <v xml:space="preserve">Leal, J. e Gouveia, L. </v>
      </c>
      <c r="J534" s="10" t="str">
        <f t="shared" si="8"/>
        <v xml:space="preserve">Leal, J.;Gouveia, L. </v>
      </c>
      <c r="K534" s="11" t="str">
        <f ca="1">IFERROR(__xludf.DUMMYFUNCTION("SPLIT(J534,"";"")"),"Leal, J.")</f>
        <v>Leal, J.</v>
      </c>
      <c r="L534" s="10" t="str">
        <f ca="1">IFERROR(__xludf.DUMMYFUNCTION("""COMPUTED_VALUE"""),"Gouveia, L. ")</f>
        <v xml:space="preserve">Gouveia, L. </v>
      </c>
      <c r="M534" s="10"/>
      <c r="N534" s="10"/>
      <c r="O534" s="10"/>
      <c r="P534" s="10"/>
      <c r="Q534" s="10"/>
      <c r="R534" s="10"/>
      <c r="S534" s="10"/>
      <c r="T534" s="10"/>
      <c r="U534" s="10"/>
      <c r="V534" s="10"/>
      <c r="W534" s="10"/>
      <c r="X534" s="10"/>
      <c r="Y534" s="10"/>
      <c r="Z534" s="10"/>
    </row>
    <row r="535" spans="1:26" ht="17.25" customHeight="1" x14ac:dyDescent="0.3">
      <c r="A535" s="10" t="s">
        <v>667</v>
      </c>
      <c r="B535" s="10">
        <f t="shared" si="0"/>
        <v>26</v>
      </c>
      <c r="C535" s="8" t="str">
        <f t="shared" si="1"/>
        <v xml:space="preserve">Robalo, A. e Gouveia, L. </v>
      </c>
      <c r="D535" s="8" t="str">
        <f t="shared" si="2"/>
        <v>2015</v>
      </c>
      <c r="E535" s="10">
        <f t="shared" si="3"/>
        <v>31</v>
      </c>
      <c r="F535" s="10">
        <f t="shared" si="4"/>
        <v>118</v>
      </c>
      <c r="G535" s="8" t="str">
        <f t="shared" si="5"/>
        <v xml:space="preserve"> O contributo da Mediateca do Huambo na promoção de competências TIC para professores. </v>
      </c>
      <c r="H535" s="10" t="str">
        <f t="shared" si="6"/>
        <v xml:space="preserve">Robalo, A. e Gouveia, L. </v>
      </c>
      <c r="I535" s="10" t="str">
        <f t="shared" si="7"/>
        <v xml:space="preserve">Robalo, A. e Gouveia, L. </v>
      </c>
      <c r="J535" s="10" t="str">
        <f t="shared" si="8"/>
        <v xml:space="preserve">Robalo, A.;Gouveia, L. </v>
      </c>
      <c r="K535" s="11" t="str">
        <f ca="1">IFERROR(__xludf.DUMMYFUNCTION("SPLIT(J535,"";"")"),"Robalo, A.")</f>
        <v>Robalo, A.</v>
      </c>
      <c r="L535" s="10" t="str">
        <f ca="1">IFERROR(__xludf.DUMMYFUNCTION("""COMPUTED_VALUE"""),"Gouveia, L. ")</f>
        <v xml:space="preserve">Gouveia, L. </v>
      </c>
      <c r="M535" s="10"/>
      <c r="N535" s="10"/>
      <c r="O535" s="10"/>
      <c r="P535" s="10"/>
      <c r="Q535" s="10"/>
      <c r="R535" s="10"/>
      <c r="S535" s="10"/>
      <c r="T535" s="10"/>
      <c r="U535" s="10"/>
      <c r="V535" s="10"/>
      <c r="W535" s="10"/>
      <c r="X535" s="10"/>
      <c r="Y535" s="10"/>
      <c r="Z535" s="10"/>
    </row>
    <row r="536" spans="1:26" ht="17.25" customHeight="1" x14ac:dyDescent="0.3">
      <c r="A536" s="10" t="s">
        <v>668</v>
      </c>
      <c r="B536" s="10">
        <f t="shared" si="0"/>
        <v>27</v>
      </c>
      <c r="C536" s="8" t="str">
        <f t="shared" si="1"/>
        <v xml:space="preserve">Martins, O. e Gouveia, L. </v>
      </c>
      <c r="D536" s="8" t="str">
        <f t="shared" si="2"/>
        <v>2015</v>
      </c>
      <c r="E536" s="10">
        <f t="shared" si="3"/>
        <v>32</v>
      </c>
      <c r="F536" s="10">
        <f t="shared" si="4"/>
        <v>109</v>
      </c>
      <c r="G536" s="8" t="str">
        <f t="shared" si="5"/>
        <v xml:space="preserve"> Bibliotecas académicas, lugar ou ponto de acesso? Dias da Investigação UFP. </v>
      </c>
      <c r="H536" s="10" t="str">
        <f t="shared" si="6"/>
        <v xml:space="preserve">Martins, O. e Gouveia, L. </v>
      </c>
      <c r="I536" s="10" t="str">
        <f t="shared" si="7"/>
        <v xml:space="preserve">Martins, O. e Gouveia, L. </v>
      </c>
      <c r="J536" s="10" t="str">
        <f t="shared" si="8"/>
        <v xml:space="preserve">Martins, O.;Gouveia, L. </v>
      </c>
      <c r="K536" s="11" t="str">
        <f ca="1">IFERROR(__xludf.DUMMYFUNCTION("SPLIT(J536,"";"")"),"Martins, O.")</f>
        <v>Martins, O.</v>
      </c>
      <c r="L536" s="10" t="str">
        <f ca="1">IFERROR(__xludf.DUMMYFUNCTION("""COMPUTED_VALUE"""),"Gouveia, L. ")</f>
        <v xml:space="preserve">Gouveia, L. </v>
      </c>
      <c r="M536" s="10"/>
      <c r="N536" s="10"/>
      <c r="O536" s="10"/>
      <c r="P536" s="10"/>
      <c r="Q536" s="10"/>
      <c r="R536" s="10"/>
      <c r="S536" s="10"/>
      <c r="T536" s="10"/>
      <c r="U536" s="10"/>
      <c r="V536" s="10"/>
      <c r="W536" s="10"/>
      <c r="X536" s="10"/>
      <c r="Y536" s="10"/>
      <c r="Z536" s="10"/>
    </row>
    <row r="537" spans="1:26" ht="17.25" customHeight="1" x14ac:dyDescent="0.3">
      <c r="A537" s="10" t="s">
        <v>669</v>
      </c>
      <c r="B537" s="10">
        <f t="shared" si="0"/>
        <v>27</v>
      </c>
      <c r="C537" s="8" t="str">
        <f t="shared" si="1"/>
        <v xml:space="preserve">Alfredo, P. e Gouveia, L. </v>
      </c>
      <c r="D537" s="8" t="str">
        <f t="shared" si="2"/>
        <v>2015</v>
      </c>
      <c r="E537" s="10">
        <f t="shared" si="3"/>
        <v>32</v>
      </c>
      <c r="F537" s="10">
        <f t="shared" si="4"/>
        <v>119</v>
      </c>
      <c r="G537" s="8" t="str">
        <f t="shared" si="5"/>
        <v xml:space="preserve"> Contribuições para a discussão de um modelo de governo electrónico local para Angola. </v>
      </c>
      <c r="H537" s="10" t="str">
        <f t="shared" si="6"/>
        <v xml:space="preserve">Alfredo, P. e Gouveia, L. </v>
      </c>
      <c r="I537" s="10" t="str">
        <f t="shared" si="7"/>
        <v xml:space="preserve">Alfredo, P. e Gouveia, L. </v>
      </c>
      <c r="J537" s="10" t="str">
        <f t="shared" si="8"/>
        <v xml:space="preserve">Alfredo, P.;Gouveia, L. </v>
      </c>
      <c r="K537" s="11" t="str">
        <f ca="1">IFERROR(__xludf.DUMMYFUNCTION("SPLIT(J537,"";"")"),"Alfredo, P.")</f>
        <v>Alfredo, P.</v>
      </c>
      <c r="L537" s="10" t="str">
        <f ca="1">IFERROR(__xludf.DUMMYFUNCTION("""COMPUTED_VALUE"""),"Gouveia, L. ")</f>
        <v xml:space="preserve">Gouveia, L. </v>
      </c>
      <c r="M537" s="10"/>
      <c r="N537" s="10"/>
      <c r="O537" s="10"/>
      <c r="P537" s="10"/>
      <c r="Q537" s="10"/>
      <c r="R537" s="10"/>
      <c r="S537" s="10"/>
      <c r="T537" s="10"/>
      <c r="U537" s="10"/>
      <c r="V537" s="10"/>
      <c r="W537" s="10"/>
      <c r="X537" s="10"/>
      <c r="Y537" s="10"/>
      <c r="Z537" s="10"/>
    </row>
    <row r="538" spans="1:26" ht="17.25" customHeight="1" x14ac:dyDescent="0.3">
      <c r="A538" s="10" t="s">
        <v>670</v>
      </c>
      <c r="B538" s="10">
        <f t="shared" si="0"/>
        <v>28</v>
      </c>
      <c r="C538" s="8" t="str">
        <f t="shared" si="1"/>
        <v xml:space="preserve">Abrantes, S. e Gouveia, L. </v>
      </c>
      <c r="D538" s="8" t="str">
        <f t="shared" si="2"/>
        <v>2015</v>
      </c>
      <c r="E538" s="10">
        <f t="shared" si="3"/>
        <v>33</v>
      </c>
      <c r="F538" s="10">
        <f t="shared" si="4"/>
        <v>129</v>
      </c>
      <c r="G538" s="8" t="str">
        <f t="shared" si="5"/>
        <v xml:space="preserve"> Um estudo empírico sobre a adopção de meios digitais para suporte à aprendizagem colaborativa. </v>
      </c>
      <c r="H538" s="10" t="str">
        <f t="shared" si="6"/>
        <v xml:space="preserve">Abrantes, S. e Gouveia, L. </v>
      </c>
      <c r="I538" s="10" t="str">
        <f t="shared" si="7"/>
        <v xml:space="preserve">Abrantes, S. e Gouveia, L. </v>
      </c>
      <c r="J538" s="10" t="str">
        <f t="shared" si="8"/>
        <v xml:space="preserve">Abrantes, S.;Gouveia, L. </v>
      </c>
      <c r="K538" s="11" t="str">
        <f ca="1">IFERROR(__xludf.DUMMYFUNCTION("SPLIT(J538,"";"")"),"Abrantes, S.")</f>
        <v>Abrantes, S.</v>
      </c>
      <c r="L538" s="10" t="str">
        <f ca="1">IFERROR(__xludf.DUMMYFUNCTION("""COMPUTED_VALUE"""),"Gouveia, L. ")</f>
        <v xml:space="preserve">Gouveia, L. </v>
      </c>
      <c r="M538" s="10"/>
      <c r="N538" s="10"/>
      <c r="O538" s="10"/>
      <c r="P538" s="10"/>
      <c r="Q538" s="10"/>
      <c r="R538" s="10"/>
      <c r="S538" s="10"/>
      <c r="T538" s="10"/>
      <c r="U538" s="10"/>
      <c r="V538" s="10"/>
      <c r="W538" s="10"/>
      <c r="X538" s="10"/>
      <c r="Y538" s="10"/>
      <c r="Z538" s="10"/>
    </row>
    <row r="539" spans="1:26" ht="17.25" customHeight="1" x14ac:dyDescent="0.3">
      <c r="A539" s="10" t="s">
        <v>671</v>
      </c>
      <c r="B539" s="10">
        <f t="shared" si="0"/>
        <v>27</v>
      </c>
      <c r="C539" s="8" t="str">
        <f t="shared" si="1"/>
        <v xml:space="preserve">Silva, P. and Gouveia, L. </v>
      </c>
      <c r="D539" s="8" t="str">
        <f t="shared" si="2"/>
        <v>2015</v>
      </c>
      <c r="E539" s="10">
        <f t="shared" si="3"/>
        <v>32</v>
      </c>
      <c r="F539" s="10">
        <f t="shared" si="4"/>
        <v>139</v>
      </c>
      <c r="G539" s="8" t="str">
        <f t="shared" si="5"/>
        <v xml:space="preserve"> The impact of digital in learning spaces: an analysis on the perspective of teachers in higher education. </v>
      </c>
      <c r="H539" s="10" t="str">
        <f t="shared" si="6"/>
        <v xml:space="preserve">Silva, P. ; Gouveia, L. </v>
      </c>
      <c r="I539" s="10" t="str">
        <f t="shared" si="7"/>
        <v xml:space="preserve">Silva, P. ; Gouveia, L. </v>
      </c>
      <c r="J539" s="10" t="str">
        <f t="shared" si="8"/>
        <v xml:space="preserve">Silva, P. ; Gouveia, L. </v>
      </c>
      <c r="K539" s="11" t="str">
        <f ca="1">IFERROR(__xludf.DUMMYFUNCTION("SPLIT(J539,"";"")"),"Silva, P. ")</f>
        <v xml:space="preserve">Silva, P. </v>
      </c>
      <c r="L539" s="10" t="str">
        <f ca="1">IFERROR(__xludf.DUMMYFUNCTION("""COMPUTED_VALUE""")," Gouveia, L. ")</f>
        <v xml:space="preserve"> Gouveia, L. </v>
      </c>
      <c r="M539" s="10"/>
      <c r="N539" s="10"/>
      <c r="O539" s="10"/>
      <c r="P539" s="10"/>
      <c r="Q539" s="10"/>
      <c r="R539" s="10"/>
      <c r="S539" s="10"/>
      <c r="T539" s="10"/>
      <c r="U539" s="10"/>
      <c r="V539" s="10"/>
      <c r="W539" s="10"/>
      <c r="X539" s="10"/>
      <c r="Y539" s="10"/>
      <c r="Z539" s="10"/>
    </row>
    <row r="540" spans="1:26" ht="17.25" customHeight="1" x14ac:dyDescent="0.3">
      <c r="A540" s="10" t="s">
        <v>672</v>
      </c>
      <c r="B540" s="10">
        <f t="shared" si="0"/>
        <v>28</v>
      </c>
      <c r="C540" s="8" t="str">
        <f t="shared" si="1"/>
        <v xml:space="preserve">Ferreira, A. e Gouveia, L. </v>
      </c>
      <c r="D540" s="8" t="str">
        <f t="shared" si="2"/>
        <v>2015</v>
      </c>
      <c r="E540" s="10">
        <f t="shared" si="3"/>
        <v>33</v>
      </c>
      <c r="F540" s="10">
        <f t="shared" si="4"/>
        <v>78</v>
      </c>
      <c r="G540" s="8" t="str">
        <f t="shared" si="5"/>
        <v xml:space="preserve"> O ensino e os novos sistemas de computação. </v>
      </c>
      <c r="H540" s="10" t="str">
        <f t="shared" si="6"/>
        <v xml:space="preserve">Ferreira, A. e Gouveia, L. </v>
      </c>
      <c r="I540" s="10" t="str">
        <f t="shared" si="7"/>
        <v xml:space="preserve">Ferreira, A. e Gouveia, L. </v>
      </c>
      <c r="J540" s="10" t="str">
        <f t="shared" si="8"/>
        <v xml:space="preserve">Ferreira, A.;Gouveia, L. </v>
      </c>
      <c r="K540" s="11" t="str">
        <f ca="1">IFERROR(__xludf.DUMMYFUNCTION("SPLIT(J540,"";"")"),"Ferreira, A.")</f>
        <v>Ferreira, A.</v>
      </c>
      <c r="L540" s="10" t="str">
        <f ca="1">IFERROR(__xludf.DUMMYFUNCTION("""COMPUTED_VALUE"""),"Gouveia, L. ")</f>
        <v xml:space="preserve">Gouveia, L. </v>
      </c>
      <c r="M540" s="10"/>
      <c r="N540" s="10"/>
      <c r="O540" s="10"/>
      <c r="P540" s="10"/>
      <c r="Q540" s="10"/>
      <c r="R540" s="10"/>
      <c r="S540" s="10"/>
      <c r="T540" s="10"/>
      <c r="U540" s="10"/>
      <c r="V540" s="10"/>
      <c r="W540" s="10"/>
      <c r="X540" s="10"/>
      <c r="Y540" s="10"/>
      <c r="Z540" s="10"/>
    </row>
    <row r="541" spans="1:26" ht="17.25" customHeight="1" x14ac:dyDescent="0.3">
      <c r="A541" s="10" t="s">
        <v>673</v>
      </c>
      <c r="B541" s="10">
        <f t="shared" si="0"/>
        <v>13</v>
      </c>
      <c r="C541" s="8" t="str">
        <f t="shared" si="1"/>
        <v xml:space="preserve">Gouveia, L. </v>
      </c>
      <c r="D541" s="8" t="str">
        <f t="shared" si="2"/>
        <v>2015</v>
      </c>
      <c r="E541" s="10">
        <f t="shared" si="3"/>
        <v>18</v>
      </c>
      <c r="F541" s="10">
        <f t="shared" si="4"/>
        <v>93</v>
      </c>
      <c r="G541" s="8" t="str">
        <f t="shared" si="5"/>
        <v xml:space="preserve"> Cidades Inteligentes: a exploração do digital para um territóriio melhor. </v>
      </c>
      <c r="H541" s="10" t="str">
        <f t="shared" si="6"/>
        <v xml:space="preserve">Gouveia, L. </v>
      </c>
      <c r="I541" s="10" t="str">
        <f t="shared" si="7"/>
        <v xml:space="preserve">Gouveia, L. </v>
      </c>
      <c r="J541" s="10" t="str">
        <f t="shared" si="8"/>
        <v xml:space="preserve">Gouveia, L. </v>
      </c>
      <c r="K541" s="11" t="str">
        <f ca="1">IFERROR(__xludf.DUMMYFUNCTION("SPLIT(J541,"";"")"),"Gouveia, L. ")</f>
        <v xml:space="preserve">Gouveia, L. </v>
      </c>
      <c r="L541" s="10"/>
      <c r="M541" s="10"/>
      <c r="N541" s="10"/>
      <c r="O541" s="10"/>
      <c r="P541" s="10"/>
      <c r="Q541" s="10"/>
      <c r="R541" s="10"/>
      <c r="S541" s="10"/>
      <c r="T541" s="10"/>
      <c r="U541" s="10"/>
      <c r="V541" s="10"/>
      <c r="W541" s="10"/>
      <c r="X541" s="10"/>
      <c r="Y541" s="10"/>
      <c r="Z541" s="10"/>
    </row>
    <row r="542" spans="1:26" ht="17.25" customHeight="1" x14ac:dyDescent="0.3">
      <c r="A542" s="10" t="s">
        <v>674</v>
      </c>
      <c r="B542" s="10">
        <f t="shared" si="0"/>
        <v>13</v>
      </c>
      <c r="C542" s="8" t="str">
        <f t="shared" si="1"/>
        <v xml:space="preserve">Gouveia, L. </v>
      </c>
      <c r="D542" s="8" t="str">
        <f t="shared" si="2"/>
        <v>2014</v>
      </c>
      <c r="E542" s="10">
        <f t="shared" si="3"/>
        <v>18</v>
      </c>
      <c r="F542" s="10">
        <f t="shared" si="4"/>
        <v>97</v>
      </c>
      <c r="G542" s="8" t="str">
        <f t="shared" si="5"/>
        <v xml:space="preserve"> Desafios e oportunidades da Sociedade em Rede para o ensino e a aprendizagem. </v>
      </c>
      <c r="H542" s="10" t="str">
        <f t="shared" si="6"/>
        <v xml:space="preserve">Gouveia, L. </v>
      </c>
      <c r="I542" s="10" t="str">
        <f t="shared" si="7"/>
        <v xml:space="preserve">Gouveia, L. </v>
      </c>
      <c r="J542" s="10" t="str">
        <f t="shared" si="8"/>
        <v xml:space="preserve">Gouveia, L. </v>
      </c>
      <c r="K542" s="11" t="str">
        <f ca="1">IFERROR(__xludf.DUMMYFUNCTION("SPLIT(J542,"";"")"),"Gouveia, L. ")</f>
        <v xml:space="preserve">Gouveia, L. </v>
      </c>
      <c r="L542" s="10"/>
      <c r="M542" s="10"/>
      <c r="N542" s="10"/>
      <c r="O542" s="10"/>
      <c r="P542" s="10"/>
      <c r="Q542" s="10"/>
      <c r="R542" s="10"/>
      <c r="S542" s="10"/>
      <c r="T542" s="10"/>
      <c r="U542" s="10"/>
      <c r="V542" s="10"/>
      <c r="W542" s="10"/>
      <c r="X542" s="10"/>
      <c r="Y542" s="10"/>
      <c r="Z542" s="10"/>
    </row>
    <row r="543" spans="1:26" ht="17.25" customHeight="1" x14ac:dyDescent="0.3">
      <c r="A543" s="10" t="s">
        <v>675</v>
      </c>
      <c r="B543" s="10">
        <f t="shared" si="0"/>
        <v>13</v>
      </c>
      <c r="C543" s="8" t="str">
        <f t="shared" si="1"/>
        <v xml:space="preserve">Gouveia, L. </v>
      </c>
      <c r="D543" s="8" t="str">
        <f t="shared" si="2"/>
        <v>2014</v>
      </c>
      <c r="E543" s="10">
        <f t="shared" si="3"/>
        <v>18</v>
      </c>
      <c r="F543" s="10">
        <f t="shared" si="4"/>
        <v>74</v>
      </c>
      <c r="G543" s="8" t="str">
        <f t="shared" si="5"/>
        <v xml:space="preserve"> Segurança Informática: contexto, conceitos e desafios. </v>
      </c>
      <c r="H543" s="10" t="str">
        <f t="shared" si="6"/>
        <v xml:space="preserve">Gouveia, L. </v>
      </c>
      <c r="I543" s="10" t="str">
        <f t="shared" si="7"/>
        <v xml:space="preserve">Gouveia, L. </v>
      </c>
      <c r="J543" s="10" t="str">
        <f t="shared" si="8"/>
        <v xml:space="preserve">Gouveia, L. </v>
      </c>
      <c r="K543" s="11" t="str">
        <f ca="1">IFERROR(__xludf.DUMMYFUNCTION("SPLIT(J543,"";"")"),"Gouveia, L. ")</f>
        <v xml:space="preserve">Gouveia, L. </v>
      </c>
      <c r="L543" s="10"/>
      <c r="M543" s="10"/>
      <c r="N543" s="10"/>
      <c r="O543" s="10"/>
      <c r="P543" s="10"/>
      <c r="Q543" s="10"/>
      <c r="R543" s="10"/>
      <c r="S543" s="10"/>
      <c r="T543" s="10"/>
      <c r="U543" s="10"/>
      <c r="V543" s="10"/>
      <c r="W543" s="10"/>
      <c r="X543" s="10"/>
      <c r="Y543" s="10"/>
      <c r="Z543" s="10"/>
    </row>
    <row r="544" spans="1:26" ht="17.25" customHeight="1" x14ac:dyDescent="0.3">
      <c r="A544" s="10" t="s">
        <v>469</v>
      </c>
      <c r="B544" s="10">
        <f t="shared" si="0"/>
        <v>13</v>
      </c>
      <c r="C544" s="8" t="str">
        <f t="shared" si="1"/>
        <v xml:space="preserve">Gouveia, L. </v>
      </c>
      <c r="D544" s="8" t="str">
        <f t="shared" si="2"/>
        <v>2014</v>
      </c>
      <c r="E544" s="10">
        <f t="shared" si="3"/>
        <v>18</v>
      </c>
      <c r="F544" s="10">
        <f t="shared" si="4"/>
        <v>88</v>
      </c>
      <c r="G544" s="8" t="str">
        <f t="shared" si="5"/>
        <v xml:space="preserve"> Do local ao global: a tecnologia digital ao serviço do conhecimento. </v>
      </c>
      <c r="H544" s="10" t="str">
        <f t="shared" si="6"/>
        <v xml:space="preserve">Gouveia, L. </v>
      </c>
      <c r="I544" s="10" t="str">
        <f t="shared" si="7"/>
        <v xml:space="preserve">Gouveia, L. </v>
      </c>
      <c r="J544" s="10" t="str">
        <f t="shared" si="8"/>
        <v xml:space="preserve">Gouveia, L. </v>
      </c>
      <c r="K544" s="11" t="str">
        <f ca="1">IFERROR(__xludf.DUMMYFUNCTION("SPLIT(J544,"";"")"),"Gouveia, L. ")</f>
        <v xml:space="preserve">Gouveia, L. </v>
      </c>
      <c r="L544" s="10"/>
      <c r="M544" s="10"/>
      <c r="N544" s="10"/>
      <c r="O544" s="10"/>
      <c r="P544" s="10"/>
      <c r="Q544" s="10"/>
      <c r="R544" s="10"/>
      <c r="S544" s="10"/>
      <c r="T544" s="10"/>
      <c r="U544" s="10"/>
      <c r="V544" s="10"/>
      <c r="W544" s="10"/>
      <c r="X544" s="10"/>
      <c r="Y544" s="10"/>
      <c r="Z544" s="10"/>
    </row>
    <row r="545" spans="1:26" ht="17.25" customHeight="1" x14ac:dyDescent="0.3">
      <c r="A545" s="10" t="s">
        <v>676</v>
      </c>
      <c r="B545" s="10">
        <f t="shared" si="0"/>
        <v>13</v>
      </c>
      <c r="C545" s="8" t="str">
        <f t="shared" si="1"/>
        <v xml:space="preserve">Gouveia, L. </v>
      </c>
      <c r="D545" s="8" t="str">
        <f t="shared" si="2"/>
        <v>2013</v>
      </c>
      <c r="E545" s="10">
        <f t="shared" si="3"/>
        <v>18</v>
      </c>
      <c r="F545" s="10">
        <f t="shared" si="4"/>
        <v>44</v>
      </c>
      <c r="G545" s="8" t="str">
        <f t="shared" si="5"/>
        <v xml:space="preserve"> Sociedade da Informação. </v>
      </c>
      <c r="H545" s="10" t="str">
        <f t="shared" si="6"/>
        <v xml:space="preserve">Gouveia, L. </v>
      </c>
      <c r="I545" s="10" t="str">
        <f t="shared" si="7"/>
        <v xml:space="preserve">Gouveia, L. </v>
      </c>
      <c r="J545" s="10" t="str">
        <f t="shared" si="8"/>
        <v xml:space="preserve">Gouveia, L. </v>
      </c>
      <c r="K545" s="11" t="str">
        <f ca="1">IFERROR(__xludf.DUMMYFUNCTION("SPLIT(J545,"";"")"),"Gouveia, L. ")</f>
        <v xml:space="preserve">Gouveia, L. </v>
      </c>
      <c r="L545" s="10"/>
      <c r="M545" s="10"/>
      <c r="N545" s="10"/>
      <c r="O545" s="10"/>
      <c r="P545" s="10"/>
      <c r="Q545" s="10"/>
      <c r="R545" s="10"/>
      <c r="S545" s="10"/>
      <c r="T545" s="10"/>
      <c r="U545" s="10"/>
      <c r="V545" s="10"/>
      <c r="W545" s="10"/>
      <c r="X545" s="10"/>
      <c r="Y545" s="10"/>
      <c r="Z545" s="10"/>
    </row>
    <row r="546" spans="1:26" ht="17.25" customHeight="1" x14ac:dyDescent="0.3">
      <c r="A546" s="10" t="s">
        <v>544</v>
      </c>
      <c r="B546" s="10">
        <f t="shared" si="0"/>
        <v>13</v>
      </c>
      <c r="C546" s="8" t="str">
        <f t="shared" si="1"/>
        <v xml:space="preserve">Gouveia, L. </v>
      </c>
      <c r="D546" s="8" t="str">
        <f t="shared" si="2"/>
        <v>2013</v>
      </c>
      <c r="E546" s="10">
        <f t="shared" si="3"/>
        <v>18</v>
      </c>
      <c r="F546" s="10">
        <f t="shared" si="4"/>
        <v>110</v>
      </c>
      <c r="G546" s="8" t="str">
        <f t="shared" si="5"/>
        <v xml:space="preserve"> Some issues on Bibliometrics: the way I would like to be helped as a University Professor. </v>
      </c>
      <c r="H546" s="10" t="str">
        <f t="shared" si="6"/>
        <v xml:space="preserve">Gouveia, L. </v>
      </c>
      <c r="I546" s="10" t="str">
        <f t="shared" si="7"/>
        <v xml:space="preserve">Gouveia, L. </v>
      </c>
      <c r="J546" s="10" t="str">
        <f t="shared" si="8"/>
        <v xml:space="preserve">Gouveia, L. </v>
      </c>
      <c r="K546" s="11" t="str">
        <f ca="1">IFERROR(__xludf.DUMMYFUNCTION("SPLIT(J546,"";"")"),"Gouveia, L. ")</f>
        <v xml:space="preserve">Gouveia, L. </v>
      </c>
      <c r="L546" s="10"/>
      <c r="M546" s="10"/>
      <c r="N546" s="10"/>
      <c r="O546" s="10"/>
      <c r="P546" s="10"/>
      <c r="Q546" s="10"/>
      <c r="R546" s="10"/>
      <c r="S546" s="10"/>
      <c r="T546" s="10"/>
      <c r="U546" s="10"/>
      <c r="V546" s="10"/>
      <c r="W546" s="10"/>
      <c r="X546" s="10"/>
      <c r="Y546" s="10"/>
      <c r="Z546" s="10"/>
    </row>
    <row r="547" spans="1:26" ht="17.25" customHeight="1" x14ac:dyDescent="0.3">
      <c r="A547" s="10" t="s">
        <v>677</v>
      </c>
      <c r="B547" s="10">
        <f t="shared" si="0"/>
        <v>13</v>
      </c>
      <c r="C547" s="8" t="str">
        <f t="shared" si="1"/>
        <v xml:space="preserve">Gouveia, L. </v>
      </c>
      <c r="D547" s="8" t="str">
        <f t="shared" si="2"/>
        <v>2013</v>
      </c>
      <c r="E547" s="10">
        <f t="shared" si="3"/>
        <v>18</v>
      </c>
      <c r="F547" s="10">
        <f t="shared" si="4"/>
        <v>76</v>
      </c>
      <c r="G547" s="8" t="str">
        <f t="shared" si="5"/>
        <v xml:space="preserve"> Encontro sobre Investigação, Desenvolvimento e Inovação. </v>
      </c>
      <c r="H547" s="10" t="str">
        <f t="shared" si="6"/>
        <v xml:space="preserve">Gouveia, L. </v>
      </c>
      <c r="I547" s="10" t="str">
        <f t="shared" si="7"/>
        <v xml:space="preserve">Gouveia, L. </v>
      </c>
      <c r="J547" s="10" t="str">
        <f t="shared" si="8"/>
        <v xml:space="preserve">Gouveia, L. </v>
      </c>
      <c r="K547" s="11" t="str">
        <f ca="1">IFERROR(__xludf.DUMMYFUNCTION("SPLIT(J547,"";"")"),"Gouveia, L. ")</f>
        <v xml:space="preserve">Gouveia, L. </v>
      </c>
      <c r="L547" s="10"/>
      <c r="M547" s="10"/>
      <c r="N547" s="10"/>
      <c r="O547" s="10"/>
      <c r="P547" s="10"/>
      <c r="Q547" s="10"/>
      <c r="R547" s="10"/>
      <c r="S547" s="10"/>
      <c r="T547" s="10"/>
      <c r="U547" s="10"/>
      <c r="V547" s="10"/>
      <c r="W547" s="10"/>
      <c r="X547" s="10"/>
      <c r="Y547" s="10"/>
      <c r="Z547" s="10"/>
    </row>
    <row r="548" spans="1:26" ht="17.25" customHeight="1" x14ac:dyDescent="0.3">
      <c r="A548" s="10" t="s">
        <v>678</v>
      </c>
      <c r="B548" s="10">
        <f t="shared" si="0"/>
        <v>13</v>
      </c>
      <c r="C548" s="8" t="str">
        <f t="shared" si="1"/>
        <v xml:space="preserve">Gouveia, L. </v>
      </c>
      <c r="D548" s="8" t="str">
        <f t="shared" si="2"/>
        <v>2013</v>
      </c>
      <c r="E548" s="10">
        <f t="shared" si="3"/>
        <v>18</v>
      </c>
      <c r="F548" s="10">
        <f t="shared" si="4"/>
        <v>39</v>
      </c>
      <c r="G548" s="8" t="str">
        <f t="shared" si="5"/>
        <v xml:space="preserve"> Mobilidade Digital. </v>
      </c>
      <c r="H548" s="10" t="str">
        <f t="shared" si="6"/>
        <v xml:space="preserve">Gouveia, L. </v>
      </c>
      <c r="I548" s="10" t="str">
        <f t="shared" si="7"/>
        <v xml:space="preserve">Gouveia, L. </v>
      </c>
      <c r="J548" s="10" t="str">
        <f t="shared" si="8"/>
        <v xml:space="preserve">Gouveia, L. </v>
      </c>
      <c r="K548" s="11" t="str">
        <f ca="1">IFERROR(__xludf.DUMMYFUNCTION("SPLIT(J548,"";"")"),"Gouveia, L. ")</f>
        <v xml:space="preserve">Gouveia, L. </v>
      </c>
      <c r="L548" s="10"/>
      <c r="M548" s="10"/>
      <c r="N548" s="10"/>
      <c r="O548" s="10"/>
      <c r="P548" s="10"/>
      <c r="Q548" s="10"/>
      <c r="R548" s="10"/>
      <c r="S548" s="10"/>
      <c r="T548" s="10"/>
      <c r="U548" s="10"/>
      <c r="V548" s="10"/>
      <c r="W548" s="10"/>
      <c r="X548" s="10"/>
      <c r="Y548" s="10"/>
      <c r="Z548" s="10"/>
    </row>
    <row r="549" spans="1:26" ht="17.25" customHeight="1" x14ac:dyDescent="0.3">
      <c r="A549" s="10" t="s">
        <v>679</v>
      </c>
      <c r="B549" s="10">
        <f t="shared" si="0"/>
        <v>13</v>
      </c>
      <c r="C549" s="8" t="str">
        <f t="shared" si="1"/>
        <v xml:space="preserve">Gouveia, L. </v>
      </c>
      <c r="D549" s="8" t="str">
        <f t="shared" si="2"/>
        <v>2013</v>
      </c>
      <c r="E549" s="10">
        <f t="shared" si="3"/>
        <v>18</v>
      </c>
      <c r="F549" s="10">
        <f t="shared" si="4"/>
        <v>66</v>
      </c>
      <c r="G549" s="8" t="str">
        <f t="shared" si="5"/>
        <v xml:space="preserve"> Reunião de trabalho e integração de atividade. </v>
      </c>
      <c r="H549" s="10" t="str">
        <f t="shared" si="6"/>
        <v xml:space="preserve">Gouveia, L. </v>
      </c>
      <c r="I549" s="10" t="str">
        <f t="shared" si="7"/>
        <v xml:space="preserve">Gouveia, L. </v>
      </c>
      <c r="J549" s="10" t="str">
        <f t="shared" si="8"/>
        <v xml:space="preserve">Gouveia, L. </v>
      </c>
      <c r="K549" s="11" t="str">
        <f ca="1">IFERROR(__xludf.DUMMYFUNCTION("SPLIT(J549,"";"")"),"Gouveia, L. ")</f>
        <v xml:space="preserve">Gouveia, L. </v>
      </c>
      <c r="L549" s="10"/>
      <c r="M549" s="10"/>
      <c r="N549" s="10"/>
      <c r="O549" s="10"/>
      <c r="P549" s="10"/>
      <c r="Q549" s="10"/>
      <c r="R549" s="10"/>
      <c r="S549" s="10"/>
      <c r="T549" s="10"/>
      <c r="U549" s="10"/>
      <c r="V549" s="10"/>
      <c r="W549" s="10"/>
      <c r="X549" s="10"/>
      <c r="Y549" s="10"/>
      <c r="Z549" s="10"/>
    </row>
    <row r="550" spans="1:26" ht="17.25" customHeight="1" x14ac:dyDescent="0.3">
      <c r="A550" s="10" t="s">
        <v>680</v>
      </c>
      <c r="B550" s="10">
        <f t="shared" si="0"/>
        <v>13</v>
      </c>
      <c r="C550" s="8" t="str">
        <f t="shared" si="1"/>
        <v xml:space="preserve">Gouveia, L. </v>
      </c>
      <c r="D550" s="8" t="str">
        <f t="shared" si="2"/>
        <v>2013</v>
      </c>
      <c r="E550" s="10">
        <f t="shared" si="3"/>
        <v>18</v>
      </c>
      <c r="F550" s="10">
        <f t="shared" si="4"/>
        <v>39</v>
      </c>
      <c r="G550" s="8" t="str">
        <f t="shared" si="5"/>
        <v xml:space="preserve"> Redes e Território. </v>
      </c>
      <c r="H550" s="10" t="str">
        <f t="shared" si="6"/>
        <v xml:space="preserve">Gouveia, L. </v>
      </c>
      <c r="I550" s="10" t="str">
        <f t="shared" si="7"/>
        <v xml:space="preserve">Gouveia, L. </v>
      </c>
      <c r="J550" s="10" t="str">
        <f t="shared" si="8"/>
        <v xml:space="preserve">Gouveia, L. </v>
      </c>
      <c r="K550" s="11" t="str">
        <f ca="1">IFERROR(__xludf.DUMMYFUNCTION("SPLIT(J550,"";"")"),"Gouveia, L. ")</f>
        <v xml:space="preserve">Gouveia, L. </v>
      </c>
      <c r="L550" s="10"/>
      <c r="M550" s="10"/>
      <c r="N550" s="10"/>
      <c r="O550" s="10"/>
      <c r="P550" s="10"/>
      <c r="Q550" s="10"/>
      <c r="R550" s="10"/>
      <c r="S550" s="10"/>
      <c r="T550" s="10"/>
      <c r="U550" s="10"/>
      <c r="V550" s="10"/>
      <c r="W550" s="10"/>
      <c r="X550" s="10"/>
      <c r="Y550" s="10"/>
      <c r="Z550" s="10"/>
    </row>
    <row r="551" spans="1:26" ht="17.25" customHeight="1" x14ac:dyDescent="0.3">
      <c r="A551" s="10" t="s">
        <v>681</v>
      </c>
      <c r="B551" s="10">
        <f t="shared" si="0"/>
        <v>25</v>
      </c>
      <c r="C551" s="8" t="str">
        <f t="shared" si="1"/>
        <v xml:space="preserve">Gouveia, L. e Neves, J. </v>
      </c>
      <c r="D551" s="8" t="str">
        <f t="shared" si="2"/>
        <v>2013</v>
      </c>
      <c r="E551" s="10">
        <f t="shared" si="3"/>
        <v>30</v>
      </c>
      <c r="F551" s="10">
        <f t="shared" si="4"/>
        <v>85</v>
      </c>
      <c r="G551" s="8" t="str">
        <f t="shared" si="5"/>
        <v xml:space="preserve"> Grupo *TRS: T – Tecnologia, R – Redes, S – Sociedade. </v>
      </c>
      <c r="H551" s="10" t="str">
        <f t="shared" si="6"/>
        <v xml:space="preserve">Gouveia, L. e Neves, J. </v>
      </c>
      <c r="I551" s="10" t="str">
        <f t="shared" si="7"/>
        <v xml:space="preserve">Gouveia, L. e Neves, J. </v>
      </c>
      <c r="J551" s="10" t="str">
        <f t="shared" si="8"/>
        <v xml:space="preserve">Gouveia, L.;Neves, J. </v>
      </c>
      <c r="K551" s="11" t="str">
        <f ca="1">IFERROR(__xludf.DUMMYFUNCTION("SPLIT(J551,"";"")"),"Gouveia, L.")</f>
        <v>Gouveia, L.</v>
      </c>
      <c r="L551" s="10" t="str">
        <f ca="1">IFERROR(__xludf.DUMMYFUNCTION("""COMPUTED_VALUE"""),"Neves, J. ")</f>
        <v xml:space="preserve">Neves, J. </v>
      </c>
      <c r="M551" s="10"/>
      <c r="N551" s="10"/>
      <c r="O551" s="10"/>
      <c r="P551" s="10"/>
      <c r="Q551" s="10"/>
      <c r="R551" s="10"/>
      <c r="S551" s="10"/>
      <c r="T551" s="10"/>
      <c r="U551" s="10"/>
      <c r="V551" s="10"/>
      <c r="W551" s="10"/>
      <c r="X551" s="10"/>
      <c r="Y551" s="10"/>
      <c r="Z551" s="10"/>
    </row>
    <row r="552" spans="1:26" ht="17.25" customHeight="1" x14ac:dyDescent="0.3">
      <c r="A552" s="10" t="s">
        <v>682</v>
      </c>
      <c r="B552" s="10">
        <f t="shared" si="0"/>
        <v>13</v>
      </c>
      <c r="C552" s="8" t="str">
        <f t="shared" si="1"/>
        <v xml:space="preserve">Gouveia, L. </v>
      </c>
      <c r="D552" s="8" t="str">
        <f t="shared" si="2"/>
        <v>2013</v>
      </c>
      <c r="E552" s="10">
        <f t="shared" si="3"/>
        <v>18</v>
      </c>
      <c r="F552" s="10">
        <f t="shared" si="4"/>
        <v>75</v>
      </c>
      <c r="G552" s="8" t="str">
        <f t="shared" si="5"/>
        <v xml:space="preserve"> The Library, the digital and the quest for open access. </v>
      </c>
      <c r="H552" s="10" t="str">
        <f t="shared" si="6"/>
        <v xml:space="preserve">Gouveia, L. </v>
      </c>
      <c r="I552" s="10" t="str">
        <f t="shared" si="7"/>
        <v xml:space="preserve">Gouveia, L. </v>
      </c>
      <c r="J552" s="10" t="str">
        <f t="shared" si="8"/>
        <v xml:space="preserve">Gouveia, L. </v>
      </c>
      <c r="K552" s="11" t="str">
        <f ca="1">IFERROR(__xludf.DUMMYFUNCTION("SPLIT(J552,"";"")"),"Gouveia, L. ")</f>
        <v xml:space="preserve">Gouveia, L. </v>
      </c>
      <c r="L552" s="10"/>
      <c r="M552" s="10"/>
      <c r="N552" s="10"/>
      <c r="O552" s="10"/>
      <c r="P552" s="10"/>
      <c r="Q552" s="10"/>
      <c r="R552" s="10"/>
      <c r="S552" s="10"/>
      <c r="T552" s="10"/>
      <c r="U552" s="10"/>
      <c r="V552" s="10"/>
      <c r="W552" s="10"/>
      <c r="X552" s="10"/>
      <c r="Y552" s="10"/>
      <c r="Z552" s="10"/>
    </row>
    <row r="553" spans="1:26" ht="17.25" customHeight="1" x14ac:dyDescent="0.3">
      <c r="A553" s="10" t="s">
        <v>683</v>
      </c>
      <c r="B553" s="10">
        <f t="shared" si="0"/>
        <v>13</v>
      </c>
      <c r="C553" s="8" t="str">
        <f t="shared" si="1"/>
        <v xml:space="preserve">Gouveia, L. </v>
      </c>
      <c r="D553" s="8" t="str">
        <f t="shared" si="2"/>
        <v>2012</v>
      </c>
      <c r="E553" s="10">
        <f t="shared" si="3"/>
        <v>18</v>
      </c>
      <c r="F553" s="10">
        <f t="shared" si="4"/>
        <v>51</v>
      </c>
      <c r="G553" s="8" t="str">
        <f t="shared" si="5"/>
        <v xml:space="preserve"> Tudo mudou e o trabalho também. </v>
      </c>
      <c r="H553" s="10" t="str">
        <f t="shared" si="6"/>
        <v xml:space="preserve">Gouveia, L. </v>
      </c>
      <c r="I553" s="10" t="str">
        <f t="shared" si="7"/>
        <v xml:space="preserve">Gouveia, L. </v>
      </c>
      <c r="J553" s="10" t="str">
        <f t="shared" si="8"/>
        <v xml:space="preserve">Gouveia, L. </v>
      </c>
      <c r="K553" s="11" t="str">
        <f ca="1">IFERROR(__xludf.DUMMYFUNCTION("SPLIT(J553,"";"")"),"Gouveia, L. ")</f>
        <v xml:space="preserve">Gouveia, L. </v>
      </c>
      <c r="L553" s="10"/>
      <c r="M553" s="10"/>
      <c r="N553" s="10"/>
      <c r="O553" s="10"/>
      <c r="P553" s="10"/>
      <c r="Q553" s="10"/>
      <c r="R553" s="10"/>
      <c r="S553" s="10"/>
      <c r="T553" s="10"/>
      <c r="U553" s="10"/>
      <c r="V553" s="10"/>
      <c r="W553" s="10"/>
      <c r="X553" s="10"/>
      <c r="Y553" s="10"/>
      <c r="Z553" s="10"/>
    </row>
    <row r="554" spans="1:26" ht="17.25" customHeight="1" x14ac:dyDescent="0.3">
      <c r="A554" s="10" t="s">
        <v>684</v>
      </c>
      <c r="B554" s="10">
        <f t="shared" si="0"/>
        <v>13</v>
      </c>
      <c r="C554" s="8" t="str">
        <f t="shared" si="1"/>
        <v xml:space="preserve">Gouveia, L. </v>
      </c>
      <c r="D554" s="8" t="str">
        <f t="shared" si="2"/>
        <v>2012</v>
      </c>
      <c r="E554" s="10">
        <f t="shared" si="3"/>
        <v>18</v>
      </c>
      <c r="F554" s="10">
        <f t="shared" si="4"/>
        <v>65</v>
      </c>
      <c r="G554" s="8" t="str">
        <f t="shared" si="5"/>
        <v xml:space="preserve"> Apresentação da 14ª Tomada de Posição do GAN. </v>
      </c>
      <c r="H554" s="10" t="str">
        <f t="shared" si="6"/>
        <v xml:space="preserve">Gouveia, L. </v>
      </c>
      <c r="I554" s="10" t="str">
        <f t="shared" si="7"/>
        <v xml:space="preserve">Gouveia, L. </v>
      </c>
      <c r="J554" s="10" t="str">
        <f t="shared" si="8"/>
        <v xml:space="preserve">Gouveia, L. </v>
      </c>
      <c r="K554" s="11" t="str">
        <f ca="1">IFERROR(__xludf.DUMMYFUNCTION("SPLIT(J554,"";"")"),"Gouveia, L. ")</f>
        <v xml:space="preserve">Gouveia, L. </v>
      </c>
      <c r="L554" s="10"/>
      <c r="M554" s="10"/>
      <c r="N554" s="10"/>
      <c r="O554" s="10"/>
      <c r="P554" s="10"/>
      <c r="Q554" s="10"/>
      <c r="R554" s="10"/>
      <c r="S554" s="10"/>
      <c r="T554" s="10"/>
      <c r="U554" s="10"/>
      <c r="V554" s="10"/>
      <c r="W554" s="10"/>
      <c r="X554" s="10"/>
      <c r="Y554" s="10"/>
      <c r="Z554" s="10"/>
    </row>
    <row r="555" spans="1:26" ht="17.25" customHeight="1" x14ac:dyDescent="0.3">
      <c r="A555" s="10" t="s">
        <v>685</v>
      </c>
      <c r="B555" s="10">
        <f t="shared" si="0"/>
        <v>13</v>
      </c>
      <c r="C555" s="8" t="str">
        <f t="shared" si="1"/>
        <v xml:space="preserve">Gouveia, L. </v>
      </c>
      <c r="D555" s="8" t="str">
        <f t="shared" si="2"/>
        <v>2012</v>
      </c>
      <c r="E555" s="10">
        <f t="shared" si="3"/>
        <v>18</v>
      </c>
      <c r="F555" s="10">
        <f t="shared" si="4"/>
        <v>129</v>
      </c>
      <c r="G555" s="8" t="str">
        <f t="shared" si="5"/>
        <v xml:space="preserve"> O uso de dispositivos móveis no ensino superior tradicional: do fluxo de informação à organização de espaços. </v>
      </c>
      <c r="H555" s="10" t="str">
        <f t="shared" si="6"/>
        <v xml:space="preserve">Gouveia, L. </v>
      </c>
      <c r="I555" s="10" t="str">
        <f t="shared" si="7"/>
        <v xml:space="preserve">Gouveia, L. </v>
      </c>
      <c r="J555" s="10" t="str">
        <f t="shared" si="8"/>
        <v xml:space="preserve">Gouveia, L. </v>
      </c>
      <c r="K555" s="11" t="str">
        <f ca="1">IFERROR(__xludf.DUMMYFUNCTION("SPLIT(J555,"";"")"),"Gouveia, L. ")</f>
        <v xml:space="preserve">Gouveia, L. </v>
      </c>
      <c r="L555" s="10"/>
      <c r="M555" s="10"/>
      <c r="N555" s="10"/>
      <c r="O555" s="10"/>
      <c r="P555" s="10"/>
      <c r="Q555" s="10"/>
      <c r="R555" s="10"/>
      <c r="S555" s="10"/>
      <c r="T555" s="10"/>
      <c r="U555" s="10"/>
      <c r="V555" s="10"/>
      <c r="W555" s="10"/>
      <c r="X555" s="10"/>
      <c r="Y555" s="10"/>
      <c r="Z555" s="10"/>
    </row>
    <row r="556" spans="1:26" ht="17.25" customHeight="1" x14ac:dyDescent="0.3">
      <c r="A556" s="10" t="s">
        <v>686</v>
      </c>
      <c r="B556" s="10">
        <f t="shared" si="0"/>
        <v>13</v>
      </c>
      <c r="C556" s="8" t="str">
        <f t="shared" si="1"/>
        <v xml:space="preserve">Gouveia, L. </v>
      </c>
      <c r="D556" s="8" t="str">
        <f t="shared" si="2"/>
        <v>2012</v>
      </c>
      <c r="E556" s="10">
        <f t="shared" si="3"/>
        <v>18</v>
      </c>
      <c r="F556" s="10">
        <f t="shared" si="4"/>
        <v>65</v>
      </c>
      <c r="G556" s="8" t="str">
        <f t="shared" si="5"/>
        <v xml:space="preserve"> Educação Sustentável e Redes de Aprendizagem. </v>
      </c>
      <c r="H556" s="10" t="str">
        <f t="shared" si="6"/>
        <v xml:space="preserve">Gouveia, L. </v>
      </c>
      <c r="I556" s="10" t="str">
        <f t="shared" si="7"/>
        <v xml:space="preserve">Gouveia, L. </v>
      </c>
      <c r="J556" s="10" t="str">
        <f t="shared" si="8"/>
        <v xml:space="preserve">Gouveia, L. </v>
      </c>
      <c r="K556" s="11" t="str">
        <f ca="1">IFERROR(__xludf.DUMMYFUNCTION("SPLIT(J556,"";"")"),"Gouveia, L. ")</f>
        <v xml:space="preserve">Gouveia, L. </v>
      </c>
      <c r="L556" s="10"/>
      <c r="M556" s="10"/>
      <c r="N556" s="10"/>
      <c r="O556" s="10"/>
      <c r="P556" s="10"/>
      <c r="Q556" s="10"/>
      <c r="R556" s="10"/>
      <c r="S556" s="10"/>
      <c r="T556" s="10"/>
      <c r="U556" s="10"/>
      <c r="V556" s="10"/>
      <c r="W556" s="10"/>
      <c r="X556" s="10"/>
      <c r="Y556" s="10"/>
      <c r="Z556" s="10"/>
    </row>
    <row r="557" spans="1:26" ht="17.25" customHeight="1" x14ac:dyDescent="0.3">
      <c r="A557" s="10" t="s">
        <v>687</v>
      </c>
      <c r="B557" s="10">
        <f t="shared" si="0"/>
        <v>13</v>
      </c>
      <c r="C557" s="8" t="str">
        <f t="shared" si="1"/>
        <v xml:space="preserve">Gouveia, L. </v>
      </c>
      <c r="D557" s="8" t="str">
        <f t="shared" si="2"/>
        <v>2012</v>
      </c>
      <c r="E557" s="10">
        <f t="shared" si="3"/>
        <v>18</v>
      </c>
      <c r="F557" s="10">
        <f t="shared" si="4"/>
        <v>77</v>
      </c>
      <c r="G557" s="8" t="str">
        <f t="shared" si="5"/>
        <v xml:space="preserve"> A Universidade e a Sociedade do Conhecimento (manifesto). </v>
      </c>
      <c r="H557" s="10" t="str">
        <f t="shared" si="6"/>
        <v xml:space="preserve">Gouveia, L. </v>
      </c>
      <c r="I557" s="10" t="str">
        <f t="shared" si="7"/>
        <v xml:space="preserve">Gouveia, L. </v>
      </c>
      <c r="J557" s="10" t="str">
        <f t="shared" si="8"/>
        <v xml:space="preserve">Gouveia, L. </v>
      </c>
      <c r="K557" s="11" t="str">
        <f ca="1">IFERROR(__xludf.DUMMYFUNCTION("SPLIT(J557,"";"")"),"Gouveia, L. ")</f>
        <v xml:space="preserve">Gouveia, L. </v>
      </c>
      <c r="L557" s="10"/>
      <c r="M557" s="10"/>
      <c r="N557" s="10"/>
      <c r="O557" s="10"/>
      <c r="P557" s="10"/>
      <c r="Q557" s="10"/>
      <c r="R557" s="10"/>
      <c r="S557" s="10"/>
      <c r="T557" s="10"/>
      <c r="U557" s="10"/>
      <c r="V557" s="10"/>
      <c r="W557" s="10"/>
      <c r="X557" s="10"/>
      <c r="Y557" s="10"/>
      <c r="Z557" s="10"/>
    </row>
    <row r="558" spans="1:26" ht="17.25" customHeight="1" x14ac:dyDescent="0.3">
      <c r="A558" s="10" t="s">
        <v>688</v>
      </c>
      <c r="B558" s="10">
        <f t="shared" si="0"/>
        <v>13</v>
      </c>
      <c r="C558" s="8" t="str">
        <f t="shared" si="1"/>
        <v xml:space="preserve">Gouveia, L. </v>
      </c>
      <c r="D558" s="8" t="str">
        <f t="shared" si="2"/>
        <v>2012</v>
      </c>
      <c r="E558" s="10">
        <f t="shared" si="3"/>
        <v>18</v>
      </c>
      <c r="F558" s="10">
        <f t="shared" si="4"/>
        <v>92</v>
      </c>
      <c r="G558" s="8" t="str">
        <f t="shared" si="5"/>
        <v xml:space="preserve"> Participar na e descobrir informação: o digital e o papel da biblioteca. </v>
      </c>
      <c r="H558" s="10" t="str">
        <f t="shared" si="6"/>
        <v xml:space="preserve">Gouveia, L. </v>
      </c>
      <c r="I558" s="10" t="str">
        <f t="shared" si="7"/>
        <v xml:space="preserve">Gouveia, L. </v>
      </c>
      <c r="J558" s="10" t="str">
        <f t="shared" si="8"/>
        <v xml:space="preserve">Gouveia, L. </v>
      </c>
      <c r="K558" s="11" t="str">
        <f ca="1">IFERROR(__xludf.DUMMYFUNCTION("SPLIT(J558,"";"")"),"Gouveia, L. ")</f>
        <v xml:space="preserve">Gouveia, L. </v>
      </c>
      <c r="L558" s="10"/>
      <c r="M558" s="10"/>
      <c r="N558" s="10"/>
      <c r="O558" s="10"/>
      <c r="P558" s="10"/>
      <c r="Q558" s="10"/>
      <c r="R558" s="10"/>
      <c r="S558" s="10"/>
      <c r="T558" s="10"/>
      <c r="U558" s="10"/>
      <c r="V558" s="10"/>
      <c r="W558" s="10"/>
      <c r="X558" s="10"/>
      <c r="Y558" s="10"/>
      <c r="Z558" s="10"/>
    </row>
    <row r="559" spans="1:26" ht="17.25" customHeight="1" x14ac:dyDescent="0.3">
      <c r="A559" s="10" t="s">
        <v>689</v>
      </c>
      <c r="B559" s="10">
        <f t="shared" si="0"/>
        <v>13</v>
      </c>
      <c r="C559" s="8" t="str">
        <f t="shared" si="1"/>
        <v xml:space="preserve">Gouveia, L. </v>
      </c>
      <c r="D559" s="8" t="str">
        <f t="shared" si="2"/>
        <v>2011</v>
      </c>
      <c r="E559" s="10">
        <f t="shared" si="3"/>
        <v>18</v>
      </c>
      <c r="F559" s="10">
        <f t="shared" si="4"/>
        <v>110</v>
      </c>
      <c r="G559" s="8" t="str">
        <f t="shared" si="5"/>
        <v xml:space="preserve"> As oportunidades e desafios do digital para o território: do e-government ao e-governance. </v>
      </c>
      <c r="H559" s="10" t="str">
        <f t="shared" si="6"/>
        <v xml:space="preserve">Gouveia, L. </v>
      </c>
      <c r="I559" s="10" t="str">
        <f t="shared" si="7"/>
        <v xml:space="preserve">Gouveia, L. </v>
      </c>
      <c r="J559" s="10" t="str">
        <f t="shared" si="8"/>
        <v xml:space="preserve">Gouveia, L. </v>
      </c>
      <c r="K559" s="11" t="str">
        <f ca="1">IFERROR(__xludf.DUMMYFUNCTION("SPLIT(J559,"";"")"),"Gouveia, L. ")</f>
        <v xml:space="preserve">Gouveia, L. </v>
      </c>
      <c r="L559" s="10"/>
      <c r="M559" s="10"/>
      <c r="N559" s="10"/>
      <c r="O559" s="10"/>
      <c r="P559" s="10"/>
      <c r="Q559" s="10"/>
      <c r="R559" s="10"/>
      <c r="S559" s="10"/>
      <c r="T559" s="10"/>
      <c r="U559" s="10"/>
      <c r="V559" s="10"/>
      <c r="W559" s="10"/>
      <c r="X559" s="10"/>
      <c r="Y559" s="10"/>
      <c r="Z559" s="10"/>
    </row>
    <row r="560" spans="1:26" ht="17.25" customHeight="1" x14ac:dyDescent="0.3">
      <c r="A560" s="10" t="s">
        <v>690</v>
      </c>
      <c r="B560" s="10">
        <f t="shared" si="0"/>
        <v>13</v>
      </c>
      <c r="C560" s="8" t="str">
        <f t="shared" si="1"/>
        <v xml:space="preserve">Gouveia, L. </v>
      </c>
      <c r="D560" s="8" t="str">
        <f t="shared" si="2"/>
        <v>2011</v>
      </c>
      <c r="E560" s="10">
        <f t="shared" si="3"/>
        <v>18</v>
      </c>
      <c r="F560" s="10">
        <f t="shared" si="4"/>
        <v>57</v>
      </c>
      <c r="G560" s="8" t="str">
        <f t="shared" si="5"/>
        <v xml:space="preserve"> Participação no Dia Mundial de Redes. </v>
      </c>
      <c r="H560" s="10" t="str">
        <f t="shared" si="6"/>
        <v xml:space="preserve">Gouveia, L. </v>
      </c>
      <c r="I560" s="10" t="str">
        <f t="shared" si="7"/>
        <v xml:space="preserve">Gouveia, L. </v>
      </c>
      <c r="J560" s="10" t="str">
        <f t="shared" si="8"/>
        <v xml:space="preserve">Gouveia, L. </v>
      </c>
      <c r="K560" s="11" t="str">
        <f ca="1">IFERROR(__xludf.DUMMYFUNCTION("SPLIT(J560,"";"")"),"Gouveia, L. ")</f>
        <v xml:space="preserve">Gouveia, L. </v>
      </c>
      <c r="L560" s="10"/>
      <c r="M560" s="10"/>
      <c r="N560" s="10"/>
      <c r="O560" s="10"/>
      <c r="P560" s="10"/>
      <c r="Q560" s="10"/>
      <c r="R560" s="10"/>
      <c r="S560" s="10"/>
      <c r="T560" s="10"/>
      <c r="U560" s="10"/>
      <c r="V560" s="10"/>
      <c r="W560" s="10"/>
      <c r="X560" s="10"/>
      <c r="Y560" s="10"/>
      <c r="Z560" s="10"/>
    </row>
    <row r="561" spans="1:26" ht="17.25" customHeight="1" x14ac:dyDescent="0.3">
      <c r="A561" s="10" t="s">
        <v>691</v>
      </c>
      <c r="B561" s="10">
        <f t="shared" si="0"/>
        <v>13</v>
      </c>
      <c r="C561" s="8" t="str">
        <f t="shared" si="1"/>
        <v xml:space="preserve">Gouveia, L. </v>
      </c>
      <c r="D561" s="8" t="str">
        <f t="shared" si="2"/>
        <v>2011</v>
      </c>
      <c r="E561" s="10">
        <f t="shared" si="3"/>
        <v>18</v>
      </c>
      <c r="F561" s="10">
        <f t="shared" si="4"/>
        <v>74</v>
      </c>
      <c r="G561" s="8" t="str">
        <f t="shared" si="5"/>
        <v xml:space="preserve"> A Governação Digital na Autarquia e o tempo das redes. </v>
      </c>
      <c r="H561" s="10" t="str">
        <f t="shared" si="6"/>
        <v xml:space="preserve">Gouveia, L. </v>
      </c>
      <c r="I561" s="10" t="str">
        <f t="shared" si="7"/>
        <v xml:space="preserve">Gouveia, L. </v>
      </c>
      <c r="J561" s="10" t="str">
        <f t="shared" si="8"/>
        <v xml:space="preserve">Gouveia, L. </v>
      </c>
      <c r="K561" s="11" t="str">
        <f ca="1">IFERROR(__xludf.DUMMYFUNCTION("SPLIT(J561,"";"")"),"Gouveia, L. ")</f>
        <v xml:space="preserve">Gouveia, L. </v>
      </c>
      <c r="L561" s="10"/>
      <c r="M561" s="10"/>
      <c r="N561" s="10"/>
      <c r="O561" s="10"/>
      <c r="P561" s="10"/>
      <c r="Q561" s="10"/>
      <c r="R561" s="10"/>
      <c r="S561" s="10"/>
      <c r="T561" s="10"/>
      <c r="U561" s="10"/>
      <c r="V561" s="10"/>
      <c r="W561" s="10"/>
      <c r="X561" s="10"/>
      <c r="Y561" s="10"/>
      <c r="Z561" s="10"/>
    </row>
    <row r="562" spans="1:26" ht="17.25" customHeight="1" x14ac:dyDescent="0.3">
      <c r="A562" s="10" t="s">
        <v>692</v>
      </c>
      <c r="B562" s="10">
        <f t="shared" si="0"/>
        <v>13</v>
      </c>
      <c r="C562" s="8" t="str">
        <f t="shared" si="1"/>
        <v xml:space="preserve">Gouveia, L. </v>
      </c>
      <c r="D562" s="8" t="str">
        <f t="shared" si="2"/>
        <v>2010</v>
      </c>
      <c r="E562" s="10">
        <f t="shared" si="3"/>
        <v>18</v>
      </c>
      <c r="F562" s="10">
        <f t="shared" si="4"/>
        <v>74</v>
      </c>
      <c r="G562" s="8" t="str">
        <f t="shared" si="5"/>
        <v xml:space="preserve"> Gerir conhecimento, com o território e com as pessoas. </v>
      </c>
      <c r="H562" s="10" t="str">
        <f t="shared" si="6"/>
        <v xml:space="preserve">Gouveia, L. </v>
      </c>
      <c r="I562" s="10" t="str">
        <f t="shared" si="7"/>
        <v xml:space="preserve">Gouveia, L. </v>
      </c>
      <c r="J562" s="10" t="str">
        <f t="shared" si="8"/>
        <v xml:space="preserve">Gouveia, L. </v>
      </c>
      <c r="K562" s="11" t="str">
        <f ca="1">IFERROR(__xludf.DUMMYFUNCTION("SPLIT(J562,"";"")"),"Gouveia, L. ")</f>
        <v xml:space="preserve">Gouveia, L. </v>
      </c>
      <c r="L562" s="10"/>
      <c r="M562" s="10"/>
      <c r="N562" s="10"/>
      <c r="O562" s="10"/>
      <c r="P562" s="10"/>
      <c r="Q562" s="10"/>
      <c r="R562" s="10"/>
      <c r="S562" s="10"/>
      <c r="T562" s="10"/>
      <c r="U562" s="10"/>
      <c r="V562" s="10"/>
      <c r="W562" s="10"/>
      <c r="X562" s="10"/>
      <c r="Y562" s="10"/>
      <c r="Z562" s="10"/>
    </row>
    <row r="563" spans="1:26" ht="17.25" customHeight="1" x14ac:dyDescent="0.3">
      <c r="A563" s="10" t="s">
        <v>693</v>
      </c>
      <c r="B563" s="10">
        <f t="shared" si="0"/>
        <v>13</v>
      </c>
      <c r="C563" s="8" t="str">
        <f t="shared" si="1"/>
        <v xml:space="preserve">Gouveia, L. </v>
      </c>
      <c r="D563" s="8" t="str">
        <f t="shared" si="2"/>
        <v>2010</v>
      </c>
      <c r="E563" s="10">
        <f t="shared" si="3"/>
        <v>18</v>
      </c>
      <c r="F563" s="10">
        <f t="shared" si="4"/>
        <v>80</v>
      </c>
      <c r="G563" s="8" t="str">
        <f t="shared" si="5"/>
        <v xml:space="preserve"> Dinamizar, aproximar e projectar o território com o digital. </v>
      </c>
      <c r="H563" s="10" t="str">
        <f t="shared" si="6"/>
        <v xml:space="preserve">Gouveia, L. </v>
      </c>
      <c r="I563" s="10" t="str">
        <f t="shared" si="7"/>
        <v xml:space="preserve">Gouveia, L. </v>
      </c>
      <c r="J563" s="10" t="str">
        <f t="shared" si="8"/>
        <v xml:space="preserve">Gouveia, L. </v>
      </c>
      <c r="K563" s="11" t="str">
        <f ca="1">IFERROR(__xludf.DUMMYFUNCTION("SPLIT(J563,"";"")"),"Gouveia, L. ")</f>
        <v xml:space="preserve">Gouveia, L. </v>
      </c>
      <c r="L563" s="10"/>
      <c r="M563" s="10"/>
      <c r="N563" s="10"/>
      <c r="O563" s="10"/>
      <c r="P563" s="10"/>
      <c r="Q563" s="10"/>
      <c r="R563" s="10"/>
      <c r="S563" s="10"/>
      <c r="T563" s="10"/>
      <c r="U563" s="10"/>
      <c r="V563" s="10"/>
      <c r="W563" s="10"/>
      <c r="X563" s="10"/>
      <c r="Y563" s="10"/>
      <c r="Z563" s="10"/>
    </row>
    <row r="564" spans="1:26" ht="17.25" customHeight="1" x14ac:dyDescent="0.3">
      <c r="A564" s="10" t="s">
        <v>694</v>
      </c>
      <c r="B564" s="10">
        <f t="shared" si="0"/>
        <v>13</v>
      </c>
      <c r="C564" s="8" t="str">
        <f t="shared" si="1"/>
        <v xml:space="preserve">Gouveia, L. </v>
      </c>
      <c r="D564" s="8" t="str">
        <f t="shared" si="2"/>
        <v>2010</v>
      </c>
      <c r="E564" s="10">
        <f t="shared" si="3"/>
        <v>18</v>
      </c>
      <c r="F564" s="10">
        <f t="shared" si="4"/>
        <v>99</v>
      </c>
      <c r="G564" s="8" t="str">
        <f t="shared" si="5"/>
        <v xml:space="preserve"> Opensource e a Sociedade da Informação: uma crítica sobre os custos associados. </v>
      </c>
      <c r="H564" s="10" t="str">
        <f t="shared" si="6"/>
        <v xml:space="preserve">Gouveia, L. </v>
      </c>
      <c r="I564" s="10" t="str">
        <f t="shared" si="7"/>
        <v xml:space="preserve">Gouveia, L. </v>
      </c>
      <c r="J564" s="10" t="str">
        <f t="shared" si="8"/>
        <v xml:space="preserve">Gouveia, L. </v>
      </c>
      <c r="K564" s="11" t="str">
        <f ca="1">IFERROR(__xludf.DUMMYFUNCTION("SPLIT(J564,"";"")"),"Gouveia, L. ")</f>
        <v xml:space="preserve">Gouveia, L. </v>
      </c>
      <c r="L564" s="10"/>
      <c r="M564" s="10"/>
      <c r="N564" s="10"/>
      <c r="O564" s="10"/>
      <c r="P564" s="10"/>
      <c r="Q564" s="10"/>
      <c r="R564" s="10"/>
      <c r="S564" s="10"/>
      <c r="T564" s="10"/>
      <c r="U564" s="10"/>
      <c r="V564" s="10"/>
      <c r="W564" s="10"/>
      <c r="X564" s="10"/>
      <c r="Y564" s="10"/>
      <c r="Z564" s="10"/>
    </row>
    <row r="565" spans="1:26" ht="17.25" customHeight="1" x14ac:dyDescent="0.3">
      <c r="A565" s="10" t="s">
        <v>695</v>
      </c>
      <c r="B565" s="10">
        <f t="shared" si="0"/>
        <v>13</v>
      </c>
      <c r="C565" s="8" t="str">
        <f t="shared" si="1"/>
        <v xml:space="preserve">Gouveia, L. </v>
      </c>
      <c r="D565" s="8" t="str">
        <f t="shared" si="2"/>
        <v>2010</v>
      </c>
      <c r="E565" s="10">
        <f t="shared" si="3"/>
        <v>18</v>
      </c>
      <c r="F565" s="10">
        <f t="shared" si="4"/>
        <v>44</v>
      </c>
      <c r="G565" s="8" t="str">
        <f t="shared" si="5"/>
        <v xml:space="preserve"> Democracy for a New Age. </v>
      </c>
      <c r="H565" s="10" t="str">
        <f t="shared" si="6"/>
        <v xml:space="preserve">Gouveia, L. </v>
      </c>
      <c r="I565" s="10" t="str">
        <f t="shared" si="7"/>
        <v xml:space="preserve">Gouveia, L. </v>
      </c>
      <c r="J565" s="10" t="str">
        <f t="shared" si="8"/>
        <v xml:space="preserve">Gouveia, L. </v>
      </c>
      <c r="K565" s="11" t="str">
        <f ca="1">IFERROR(__xludf.DUMMYFUNCTION("SPLIT(J565,"";"")"),"Gouveia, L. ")</f>
        <v xml:space="preserve">Gouveia, L. </v>
      </c>
      <c r="L565" s="10"/>
      <c r="M565" s="10"/>
      <c r="N565" s="10"/>
      <c r="O565" s="10"/>
      <c r="P565" s="10"/>
      <c r="Q565" s="10"/>
      <c r="R565" s="10"/>
      <c r="S565" s="10"/>
      <c r="T565" s="10"/>
      <c r="U565" s="10"/>
      <c r="V565" s="10"/>
      <c r="W565" s="10"/>
      <c r="X565" s="10"/>
      <c r="Y565" s="10"/>
      <c r="Z565" s="10"/>
    </row>
    <row r="566" spans="1:26" ht="17.25" customHeight="1" x14ac:dyDescent="0.3">
      <c r="A566" s="10" t="s">
        <v>696</v>
      </c>
      <c r="B566" s="10">
        <f t="shared" si="0"/>
        <v>13</v>
      </c>
      <c r="C566" s="8" t="str">
        <f t="shared" si="1"/>
        <v xml:space="preserve">Gouveia, L. </v>
      </c>
      <c r="D566" s="8" t="str">
        <f t="shared" si="2"/>
        <v>2010</v>
      </c>
      <c r="E566" s="10">
        <f t="shared" si="3"/>
        <v>18</v>
      </c>
      <c r="F566" s="10">
        <f t="shared" si="4"/>
        <v>99</v>
      </c>
      <c r="G566" s="8" t="str">
        <f t="shared" si="5"/>
        <v xml:space="preserve"> Beyond digital cities: a territorial concern on how to cope with globilisation. </v>
      </c>
      <c r="H566" s="10" t="str">
        <f t="shared" si="6"/>
        <v xml:space="preserve">Gouveia, L. </v>
      </c>
      <c r="I566" s="10" t="str">
        <f t="shared" si="7"/>
        <v xml:space="preserve">Gouveia, L. </v>
      </c>
      <c r="J566" s="10" t="str">
        <f t="shared" si="8"/>
        <v xml:space="preserve">Gouveia, L. </v>
      </c>
      <c r="K566" s="11" t="str">
        <f ca="1">IFERROR(__xludf.DUMMYFUNCTION("SPLIT(J566,"";"")"),"Gouveia, L. ")</f>
        <v xml:space="preserve">Gouveia, L. </v>
      </c>
      <c r="L566" s="10"/>
      <c r="M566" s="10"/>
      <c r="N566" s="10"/>
      <c r="O566" s="10"/>
      <c r="P566" s="10"/>
      <c r="Q566" s="10"/>
      <c r="R566" s="10"/>
      <c r="S566" s="10"/>
      <c r="T566" s="10"/>
      <c r="U566" s="10"/>
      <c r="V566" s="10"/>
      <c r="W566" s="10"/>
      <c r="X566" s="10"/>
      <c r="Y566" s="10"/>
      <c r="Z566" s="10"/>
    </row>
    <row r="567" spans="1:26" ht="17.25" customHeight="1" x14ac:dyDescent="0.3">
      <c r="A567" s="10" t="s">
        <v>697</v>
      </c>
      <c r="B567" s="10">
        <f t="shared" si="0"/>
        <v>13</v>
      </c>
      <c r="C567" s="8" t="str">
        <f t="shared" si="1"/>
        <v xml:space="preserve">Gouveia, L. </v>
      </c>
      <c r="D567" s="8" t="str">
        <f t="shared" si="2"/>
        <v>2010</v>
      </c>
      <c r="E567" s="10">
        <f t="shared" si="3"/>
        <v>18</v>
      </c>
      <c r="F567" s="10">
        <f t="shared" si="4"/>
        <v>96</v>
      </c>
      <c r="G567" s="8" t="str">
        <f t="shared" si="5"/>
        <v xml:space="preserve"> Uma reflexão crítica sobre a soberania da escola e do professor face às TIC. </v>
      </c>
      <c r="H567" s="10" t="str">
        <f t="shared" si="6"/>
        <v xml:space="preserve">Gouveia, L. </v>
      </c>
      <c r="I567" s="10" t="str">
        <f t="shared" si="7"/>
        <v xml:space="preserve">Gouveia, L. </v>
      </c>
      <c r="J567" s="10" t="str">
        <f t="shared" si="8"/>
        <v xml:space="preserve">Gouveia, L. </v>
      </c>
      <c r="K567" s="11" t="str">
        <f ca="1">IFERROR(__xludf.DUMMYFUNCTION("SPLIT(J567,"";"")"),"Gouveia, L. ")</f>
        <v xml:space="preserve">Gouveia, L. </v>
      </c>
      <c r="L567" s="10"/>
      <c r="M567" s="10"/>
      <c r="N567" s="10"/>
      <c r="O567" s="10"/>
      <c r="P567" s="10"/>
      <c r="Q567" s="10"/>
      <c r="R567" s="10"/>
      <c r="S567" s="10"/>
      <c r="T567" s="10"/>
      <c r="U567" s="10"/>
      <c r="V567" s="10"/>
      <c r="W567" s="10"/>
      <c r="X567" s="10"/>
      <c r="Y567" s="10"/>
      <c r="Z567" s="10"/>
    </row>
    <row r="568" spans="1:26" ht="17.25" customHeight="1" x14ac:dyDescent="0.3">
      <c r="A568" s="10" t="s">
        <v>698</v>
      </c>
      <c r="B568" s="10">
        <f t="shared" si="0"/>
        <v>13</v>
      </c>
      <c r="C568" s="8" t="str">
        <f t="shared" si="1"/>
        <v xml:space="preserve">Gouveia, L. </v>
      </c>
      <c r="D568" s="8" t="str">
        <f t="shared" si="2"/>
        <v>2010</v>
      </c>
      <c r="E568" s="10">
        <f t="shared" si="3"/>
        <v>18</v>
      </c>
      <c r="F568" s="10">
        <f t="shared" si="4"/>
        <v>38</v>
      </c>
      <c r="G568" s="8" t="str">
        <f t="shared" si="5"/>
        <v xml:space="preserve"> O tempo das redes. </v>
      </c>
      <c r="H568" s="10" t="str">
        <f t="shared" si="6"/>
        <v xml:space="preserve">Gouveia, L. </v>
      </c>
      <c r="I568" s="10" t="str">
        <f t="shared" si="7"/>
        <v xml:space="preserve">Gouveia, L. </v>
      </c>
      <c r="J568" s="10" t="str">
        <f t="shared" si="8"/>
        <v xml:space="preserve">Gouveia, L. </v>
      </c>
      <c r="K568" s="11" t="str">
        <f ca="1">IFERROR(__xludf.DUMMYFUNCTION("SPLIT(J568,"";"")"),"Gouveia, L. ")</f>
        <v xml:space="preserve">Gouveia, L. </v>
      </c>
      <c r="L568" s="10"/>
      <c r="M568" s="10"/>
      <c r="N568" s="10"/>
      <c r="O568" s="10"/>
      <c r="P568" s="10"/>
      <c r="Q568" s="10"/>
      <c r="R568" s="10"/>
      <c r="S568" s="10"/>
      <c r="T568" s="10"/>
      <c r="U568" s="10"/>
      <c r="V568" s="10"/>
      <c r="W568" s="10"/>
      <c r="X568" s="10"/>
      <c r="Y568" s="10"/>
      <c r="Z568" s="10"/>
    </row>
    <row r="569" spans="1:26" ht="17.25" customHeight="1" x14ac:dyDescent="0.3">
      <c r="A569" s="10" t="s">
        <v>699</v>
      </c>
      <c r="B569" s="10">
        <f t="shared" si="0"/>
        <v>13</v>
      </c>
      <c r="C569" s="8" t="str">
        <f t="shared" si="1"/>
        <v xml:space="preserve">Gouveia, L. </v>
      </c>
      <c r="D569" s="8" t="str">
        <f t="shared" si="2"/>
        <v>2010</v>
      </c>
      <c r="E569" s="10">
        <f t="shared" si="3"/>
        <v>18</v>
      </c>
      <c r="F569" s="10">
        <f t="shared" si="4"/>
        <v>91</v>
      </c>
      <c r="G569" s="8" t="str">
        <f t="shared" si="5"/>
        <v xml:space="preserve"> Uma reflexão crítica sobre a Web Social e o seu uso no ensino superior. </v>
      </c>
      <c r="H569" s="10" t="str">
        <f t="shared" si="6"/>
        <v xml:space="preserve">Gouveia, L. </v>
      </c>
      <c r="I569" s="10" t="str">
        <f t="shared" si="7"/>
        <v xml:space="preserve">Gouveia, L. </v>
      </c>
      <c r="J569" s="10" t="str">
        <f t="shared" si="8"/>
        <v xml:space="preserve">Gouveia, L. </v>
      </c>
      <c r="K569" s="11" t="str">
        <f ca="1">IFERROR(__xludf.DUMMYFUNCTION("SPLIT(J569,"";"")"),"Gouveia, L. ")</f>
        <v xml:space="preserve">Gouveia, L. </v>
      </c>
      <c r="L569" s="10"/>
      <c r="M569" s="10"/>
      <c r="N569" s="10"/>
      <c r="O569" s="10"/>
      <c r="P569" s="10"/>
      <c r="Q569" s="10"/>
      <c r="R569" s="10"/>
      <c r="S569" s="10"/>
      <c r="T569" s="10"/>
      <c r="U569" s="10"/>
      <c r="V569" s="10"/>
      <c r="W569" s="10"/>
      <c r="X569" s="10"/>
      <c r="Y569" s="10"/>
      <c r="Z569" s="10"/>
    </row>
    <row r="570" spans="1:26" ht="17.25" customHeight="1" x14ac:dyDescent="0.3">
      <c r="A570" s="10" t="s">
        <v>700</v>
      </c>
      <c r="B570" s="10">
        <f t="shared" si="0"/>
        <v>13</v>
      </c>
      <c r="C570" s="8" t="str">
        <f t="shared" si="1"/>
        <v xml:space="preserve">Gouveia, L. </v>
      </c>
      <c r="D570" s="8" t="str">
        <f t="shared" si="2"/>
        <v>2010</v>
      </c>
      <c r="E570" s="10">
        <f t="shared" si="3"/>
        <v>18</v>
      </c>
      <c r="F570" s="10">
        <f t="shared" si="4"/>
        <v>87</v>
      </c>
      <c r="G570" s="8" t="str">
        <f t="shared" si="5"/>
        <v xml:space="preserve"> Ousar e fazer nas (e com) redes sociais! Portugal Social Media Day. </v>
      </c>
      <c r="H570" s="10" t="str">
        <f t="shared" si="6"/>
        <v xml:space="preserve">Gouveia, L. </v>
      </c>
      <c r="I570" s="10" t="str">
        <f t="shared" si="7"/>
        <v xml:space="preserve">Gouveia, L. </v>
      </c>
      <c r="J570" s="10" t="str">
        <f t="shared" si="8"/>
        <v xml:space="preserve">Gouveia, L. </v>
      </c>
      <c r="K570" s="11" t="str">
        <f ca="1">IFERROR(__xludf.DUMMYFUNCTION("SPLIT(J570,"";"")"),"Gouveia, L. ")</f>
        <v xml:space="preserve">Gouveia, L. </v>
      </c>
      <c r="L570" s="10"/>
      <c r="M570" s="10"/>
      <c r="N570" s="10"/>
      <c r="O570" s="10"/>
      <c r="P570" s="10"/>
      <c r="Q570" s="10"/>
      <c r="R570" s="10"/>
      <c r="S570" s="10"/>
      <c r="T570" s="10"/>
      <c r="U570" s="10"/>
      <c r="V570" s="10"/>
      <c r="W570" s="10"/>
      <c r="X570" s="10"/>
      <c r="Y570" s="10"/>
      <c r="Z570" s="10"/>
    </row>
    <row r="571" spans="1:26" ht="17.25" customHeight="1" x14ac:dyDescent="0.3">
      <c r="A571" s="10" t="s">
        <v>701</v>
      </c>
      <c r="B571" s="10">
        <f t="shared" si="0"/>
        <v>13</v>
      </c>
      <c r="C571" s="8" t="str">
        <f t="shared" si="1"/>
        <v xml:space="preserve">Gouveia, L. </v>
      </c>
      <c r="D571" s="8" t="str">
        <f t="shared" si="2"/>
        <v>2010</v>
      </c>
      <c r="E571" s="10">
        <f t="shared" si="3"/>
        <v>18</v>
      </c>
      <c r="F571" s="10">
        <f t="shared" si="4"/>
        <v>39</v>
      </c>
      <c r="G571" s="8" t="str">
        <f t="shared" si="5"/>
        <v xml:space="preserve"> Local e-government. </v>
      </c>
      <c r="H571" s="10" t="str">
        <f t="shared" si="6"/>
        <v xml:space="preserve">Gouveia, L. </v>
      </c>
      <c r="I571" s="10" t="str">
        <f t="shared" si="7"/>
        <v xml:space="preserve">Gouveia, L. </v>
      </c>
      <c r="J571" s="10" t="str">
        <f t="shared" si="8"/>
        <v xml:space="preserve">Gouveia, L. </v>
      </c>
      <c r="K571" s="11" t="str">
        <f ca="1">IFERROR(__xludf.DUMMYFUNCTION("SPLIT(J571,"";"")"),"Gouveia, L. ")</f>
        <v xml:space="preserve">Gouveia, L. </v>
      </c>
      <c r="L571" s="10"/>
      <c r="M571" s="10"/>
      <c r="N571" s="10"/>
      <c r="O571" s="10"/>
      <c r="P571" s="10"/>
      <c r="Q571" s="10"/>
      <c r="R571" s="10"/>
      <c r="S571" s="10"/>
      <c r="T571" s="10"/>
      <c r="U571" s="10"/>
      <c r="V571" s="10"/>
      <c r="W571" s="10"/>
      <c r="X571" s="10"/>
      <c r="Y571" s="10"/>
      <c r="Z571" s="10"/>
    </row>
    <row r="572" spans="1:26" ht="17.25" customHeight="1" x14ac:dyDescent="0.3">
      <c r="A572" s="10" t="s">
        <v>702</v>
      </c>
      <c r="B572" s="10">
        <f t="shared" si="0"/>
        <v>13</v>
      </c>
      <c r="C572" s="8" t="str">
        <f t="shared" si="1"/>
        <v xml:space="preserve">Gouveia, L. </v>
      </c>
      <c r="D572" s="8" t="str">
        <f t="shared" si="2"/>
        <v>2010</v>
      </c>
      <c r="E572" s="10">
        <f t="shared" si="3"/>
        <v>18</v>
      </c>
      <c r="F572" s="10">
        <f t="shared" si="4"/>
        <v>72</v>
      </c>
      <c r="G572" s="8" t="str">
        <f t="shared" si="5"/>
        <v xml:space="preserve"> Tecnologia e Educação – como? Seminário Educar Hoje. </v>
      </c>
      <c r="H572" s="10" t="str">
        <f t="shared" si="6"/>
        <v xml:space="preserve">Gouveia, L. </v>
      </c>
      <c r="I572" s="10" t="str">
        <f t="shared" si="7"/>
        <v xml:space="preserve">Gouveia, L. </v>
      </c>
      <c r="J572" s="10" t="str">
        <f t="shared" si="8"/>
        <v xml:space="preserve">Gouveia, L. </v>
      </c>
      <c r="K572" s="11" t="str">
        <f ca="1">IFERROR(__xludf.DUMMYFUNCTION("SPLIT(J572,"";"")"),"Gouveia, L. ")</f>
        <v xml:space="preserve">Gouveia, L. </v>
      </c>
      <c r="L572" s="10"/>
      <c r="M572" s="10"/>
      <c r="N572" s="10"/>
      <c r="O572" s="10"/>
      <c r="P572" s="10"/>
      <c r="Q572" s="10"/>
      <c r="R572" s="10"/>
      <c r="S572" s="10"/>
      <c r="T572" s="10"/>
      <c r="U572" s="10"/>
      <c r="V572" s="10"/>
      <c r="W572" s="10"/>
      <c r="X572" s="10"/>
      <c r="Y572" s="10"/>
      <c r="Z572" s="10"/>
    </row>
    <row r="573" spans="1:26" ht="17.25" customHeight="1" x14ac:dyDescent="0.3">
      <c r="A573" s="10" t="s">
        <v>703</v>
      </c>
      <c r="B573" s="10">
        <f t="shared" si="0"/>
        <v>13</v>
      </c>
      <c r="C573" s="8" t="str">
        <f t="shared" si="1"/>
        <v xml:space="preserve">Gouveia, L. </v>
      </c>
      <c r="D573" s="8" t="str">
        <f t="shared" si="2"/>
        <v>2010</v>
      </c>
      <c r="E573" s="10">
        <f t="shared" si="3"/>
        <v>18</v>
      </c>
      <c r="F573" s="10">
        <f t="shared" si="4"/>
        <v>97</v>
      </c>
      <c r="G573" s="8" t="str">
        <f t="shared" si="5"/>
        <v xml:space="preserve"> Governação dos Sistemas e Tecnologias de Informação na Administração Pública. </v>
      </c>
      <c r="H573" s="10" t="str">
        <f t="shared" si="6"/>
        <v xml:space="preserve">Gouveia, L. </v>
      </c>
      <c r="I573" s="10" t="str">
        <f t="shared" si="7"/>
        <v xml:space="preserve">Gouveia, L. </v>
      </c>
      <c r="J573" s="10" t="str">
        <f t="shared" si="8"/>
        <v xml:space="preserve">Gouveia, L. </v>
      </c>
      <c r="K573" s="11" t="str">
        <f ca="1">IFERROR(__xludf.DUMMYFUNCTION("SPLIT(J573,"";"")"),"Gouveia, L. ")</f>
        <v xml:space="preserve">Gouveia, L. </v>
      </c>
      <c r="L573" s="10"/>
      <c r="M573" s="10"/>
      <c r="N573" s="10"/>
      <c r="O573" s="10"/>
      <c r="P573" s="10"/>
      <c r="Q573" s="10"/>
      <c r="R573" s="10"/>
      <c r="S573" s="10"/>
      <c r="T573" s="10"/>
      <c r="U573" s="10"/>
      <c r="V573" s="10"/>
      <c r="W573" s="10"/>
      <c r="X573" s="10"/>
      <c r="Y573" s="10"/>
      <c r="Z573" s="10"/>
    </row>
    <row r="574" spans="1:26" ht="17.25" customHeight="1" x14ac:dyDescent="0.3">
      <c r="A574" s="10" t="s">
        <v>704</v>
      </c>
      <c r="B574" s="10">
        <f t="shared" si="0"/>
        <v>13</v>
      </c>
      <c r="C574" s="8" t="str">
        <f t="shared" si="1"/>
        <v xml:space="preserve">Gouveia, L. </v>
      </c>
      <c r="D574" s="8" t="str">
        <f t="shared" si="2"/>
        <v>2010</v>
      </c>
      <c r="E574" s="10">
        <f t="shared" si="3"/>
        <v>18</v>
      </c>
      <c r="F574" s="10">
        <f t="shared" si="4"/>
        <v>76</v>
      </c>
      <c r="G574" s="8" t="str">
        <f t="shared" si="5"/>
        <v xml:space="preserve"> Informação e conhecimento – o lado social da tecnologia. </v>
      </c>
      <c r="H574" s="10" t="str">
        <f t="shared" si="6"/>
        <v xml:space="preserve">Gouveia, L. </v>
      </c>
      <c r="I574" s="10" t="str">
        <f t="shared" si="7"/>
        <v xml:space="preserve">Gouveia, L. </v>
      </c>
      <c r="J574" s="10" t="str">
        <f t="shared" si="8"/>
        <v xml:space="preserve">Gouveia, L. </v>
      </c>
      <c r="K574" s="11" t="str">
        <f ca="1">IFERROR(__xludf.DUMMYFUNCTION("SPLIT(J574,"";"")"),"Gouveia, L. ")</f>
        <v xml:space="preserve">Gouveia, L. </v>
      </c>
      <c r="L574" s="10"/>
      <c r="M574" s="10"/>
      <c r="N574" s="10"/>
      <c r="O574" s="10"/>
      <c r="P574" s="10"/>
      <c r="Q574" s="10"/>
      <c r="R574" s="10"/>
      <c r="S574" s="10"/>
      <c r="T574" s="10"/>
      <c r="U574" s="10"/>
      <c r="V574" s="10"/>
      <c r="W574" s="10"/>
      <c r="X574" s="10"/>
      <c r="Y574" s="10"/>
      <c r="Z574" s="10"/>
    </row>
    <row r="575" spans="1:26" ht="17.25" customHeight="1" x14ac:dyDescent="0.3">
      <c r="A575" s="10" t="s">
        <v>705</v>
      </c>
      <c r="B575" s="10">
        <f t="shared" si="0"/>
        <v>13</v>
      </c>
      <c r="C575" s="8" t="str">
        <f t="shared" si="1"/>
        <v xml:space="preserve">Gouveia, L. </v>
      </c>
      <c r="D575" s="8" t="str">
        <f t="shared" si="2"/>
        <v>2010</v>
      </c>
      <c r="E575" s="10">
        <f t="shared" si="3"/>
        <v>18</v>
      </c>
      <c r="F575" s="10">
        <f t="shared" si="4"/>
        <v>108</v>
      </c>
      <c r="G575" s="8" t="str">
        <f t="shared" si="5"/>
        <v xml:space="preserve"> A escola e os novos desafios - A escola, o digital e o professor – um triângulo amoroso. </v>
      </c>
      <c r="H575" s="10" t="str">
        <f t="shared" si="6"/>
        <v xml:space="preserve">Gouveia, L. </v>
      </c>
      <c r="I575" s="10" t="str">
        <f t="shared" si="7"/>
        <v xml:space="preserve">Gouveia, L. </v>
      </c>
      <c r="J575" s="10" t="str">
        <f t="shared" si="8"/>
        <v xml:space="preserve">Gouveia, L. </v>
      </c>
      <c r="K575" s="11" t="str">
        <f ca="1">IFERROR(__xludf.DUMMYFUNCTION("SPLIT(J575,"";"")"),"Gouveia, L. ")</f>
        <v xml:space="preserve">Gouveia, L. </v>
      </c>
      <c r="L575" s="10"/>
      <c r="M575" s="10"/>
      <c r="N575" s="10"/>
      <c r="O575" s="10"/>
      <c r="P575" s="10"/>
      <c r="Q575" s="10"/>
      <c r="R575" s="10"/>
      <c r="S575" s="10"/>
      <c r="T575" s="10"/>
      <c r="U575" s="10"/>
      <c r="V575" s="10"/>
      <c r="W575" s="10"/>
      <c r="X575" s="10"/>
      <c r="Y575" s="10"/>
      <c r="Z575" s="10"/>
    </row>
    <row r="576" spans="1:26" ht="17.25" customHeight="1" x14ac:dyDescent="0.3">
      <c r="A576" s="10" t="s">
        <v>706</v>
      </c>
      <c r="B576" s="10">
        <f t="shared" si="0"/>
        <v>13</v>
      </c>
      <c r="C576" s="8" t="str">
        <f t="shared" si="1"/>
        <v xml:space="preserve">Gouveia, L. </v>
      </c>
      <c r="D576" s="8" t="str">
        <f t="shared" si="2"/>
        <v>2010</v>
      </c>
      <c r="E576" s="10">
        <f t="shared" si="3"/>
        <v>18</v>
      </c>
      <c r="F576" s="10">
        <f t="shared" si="4"/>
        <v>99</v>
      </c>
      <c r="G576" s="8" t="str">
        <f t="shared" si="5"/>
        <v xml:space="preserve"> What’s up with the physical dimension in the digital world? Global Ignite week. </v>
      </c>
      <c r="H576" s="10" t="str">
        <f t="shared" si="6"/>
        <v xml:space="preserve">Gouveia, L. </v>
      </c>
      <c r="I576" s="10" t="str">
        <f t="shared" si="7"/>
        <v xml:space="preserve">Gouveia, L. </v>
      </c>
      <c r="J576" s="10" t="str">
        <f t="shared" si="8"/>
        <v xml:space="preserve">Gouveia, L. </v>
      </c>
      <c r="K576" s="11" t="str">
        <f ca="1">IFERROR(__xludf.DUMMYFUNCTION("SPLIT(J576,"";"")"),"Gouveia, L. ")</f>
        <v xml:space="preserve">Gouveia, L. </v>
      </c>
      <c r="L576" s="10"/>
      <c r="M576" s="10"/>
      <c r="N576" s="10"/>
      <c r="O576" s="10"/>
      <c r="P576" s="10"/>
      <c r="Q576" s="10"/>
      <c r="R576" s="10"/>
      <c r="S576" s="10"/>
      <c r="T576" s="10"/>
      <c r="U576" s="10"/>
      <c r="V576" s="10"/>
      <c r="W576" s="10"/>
      <c r="X576" s="10"/>
      <c r="Y576" s="10"/>
      <c r="Z576" s="10"/>
    </row>
    <row r="577" spans="1:26" ht="17.25" customHeight="1" x14ac:dyDescent="0.3">
      <c r="A577" s="10" t="s">
        <v>707</v>
      </c>
      <c r="B577" s="10">
        <f t="shared" si="0"/>
        <v>13</v>
      </c>
      <c r="C577" s="8" t="str">
        <f t="shared" si="1"/>
        <v xml:space="preserve">Gouveia, L. </v>
      </c>
      <c r="D577" s="8" t="str">
        <f t="shared" si="2"/>
        <v>2010</v>
      </c>
      <c r="E577" s="10">
        <f t="shared" si="3"/>
        <v>18</v>
      </c>
      <c r="F577" s="10">
        <f t="shared" si="4"/>
        <v>45</v>
      </c>
      <c r="G577" s="8" t="str">
        <f t="shared" si="5"/>
        <v xml:space="preserve"> Revisitar o estudo APDSI. </v>
      </c>
      <c r="H577" s="10" t="str">
        <f t="shared" si="6"/>
        <v xml:space="preserve">Gouveia, L. </v>
      </c>
      <c r="I577" s="10" t="str">
        <f t="shared" si="7"/>
        <v xml:space="preserve">Gouveia, L. </v>
      </c>
      <c r="J577" s="10" t="str">
        <f t="shared" si="8"/>
        <v xml:space="preserve">Gouveia, L. </v>
      </c>
      <c r="K577" s="11" t="str">
        <f ca="1">IFERROR(__xludf.DUMMYFUNCTION("SPLIT(J577,"";"")"),"Gouveia, L. ")</f>
        <v xml:space="preserve">Gouveia, L. </v>
      </c>
      <c r="L577" s="10"/>
      <c r="M577" s="10"/>
      <c r="N577" s="10"/>
      <c r="O577" s="10"/>
      <c r="P577" s="10"/>
      <c r="Q577" s="10"/>
      <c r="R577" s="10"/>
      <c r="S577" s="10"/>
      <c r="T577" s="10"/>
      <c r="U577" s="10"/>
      <c r="V577" s="10"/>
      <c r="W577" s="10"/>
      <c r="X577" s="10"/>
      <c r="Y577" s="10"/>
      <c r="Z577" s="10"/>
    </row>
    <row r="578" spans="1:26" ht="17.25" customHeight="1" x14ac:dyDescent="0.3">
      <c r="A578" s="10" t="s">
        <v>708</v>
      </c>
      <c r="B578" s="10">
        <f t="shared" si="0"/>
        <v>13</v>
      </c>
      <c r="C578" s="8" t="str">
        <f t="shared" si="1"/>
        <v xml:space="preserve">Gouveia, L. </v>
      </c>
      <c r="D578" s="8" t="str">
        <f t="shared" si="2"/>
        <v>2009</v>
      </c>
      <c r="E578" s="10">
        <f t="shared" si="3"/>
        <v>18</v>
      </c>
      <c r="F578" s="10">
        <f t="shared" si="4"/>
        <v>59</v>
      </c>
      <c r="G578" s="8" t="str">
        <f t="shared" si="5"/>
        <v xml:space="preserve"> Viver o digital com novas competências. </v>
      </c>
      <c r="H578" s="10" t="str">
        <f t="shared" si="6"/>
        <v xml:space="preserve">Gouveia, L. </v>
      </c>
      <c r="I578" s="10" t="str">
        <f t="shared" si="7"/>
        <v xml:space="preserve">Gouveia, L. </v>
      </c>
      <c r="J578" s="10" t="str">
        <f t="shared" si="8"/>
        <v xml:space="preserve">Gouveia, L. </v>
      </c>
      <c r="K578" s="11" t="str">
        <f ca="1">IFERROR(__xludf.DUMMYFUNCTION("SPLIT(J578,"";"")"),"Gouveia, L. ")</f>
        <v xml:space="preserve">Gouveia, L. </v>
      </c>
      <c r="L578" s="10"/>
      <c r="M578" s="10"/>
      <c r="N578" s="10"/>
      <c r="O578" s="10"/>
      <c r="P578" s="10"/>
      <c r="Q578" s="10"/>
      <c r="R578" s="10"/>
      <c r="S578" s="10"/>
      <c r="T578" s="10"/>
      <c r="U578" s="10"/>
      <c r="V578" s="10"/>
      <c r="W578" s="10"/>
      <c r="X578" s="10"/>
      <c r="Y578" s="10"/>
      <c r="Z578" s="10"/>
    </row>
    <row r="579" spans="1:26" ht="17.25" customHeight="1" x14ac:dyDescent="0.3">
      <c r="A579" s="10" t="s">
        <v>709</v>
      </c>
      <c r="B579" s="10">
        <f t="shared" si="0"/>
        <v>13</v>
      </c>
      <c r="C579" s="8" t="str">
        <f t="shared" si="1"/>
        <v xml:space="preserve">Gouveia, L. </v>
      </c>
      <c r="D579" s="8" t="str">
        <f t="shared" si="2"/>
        <v>2009</v>
      </c>
      <c r="E579" s="10">
        <f t="shared" si="3"/>
        <v>18</v>
      </c>
      <c r="F579" s="10">
        <f t="shared" si="4"/>
        <v>54</v>
      </c>
      <c r="G579" s="8" t="str">
        <f t="shared" si="5"/>
        <v xml:space="preserve"> UFP ongoing experience with Sakai. </v>
      </c>
      <c r="H579" s="10" t="str">
        <f t="shared" si="6"/>
        <v xml:space="preserve">Gouveia, L. </v>
      </c>
      <c r="I579" s="10" t="str">
        <f t="shared" si="7"/>
        <v xml:space="preserve">Gouveia, L. </v>
      </c>
      <c r="J579" s="10" t="str">
        <f t="shared" si="8"/>
        <v xml:space="preserve">Gouveia, L. </v>
      </c>
      <c r="K579" s="11" t="str">
        <f ca="1">IFERROR(__xludf.DUMMYFUNCTION("SPLIT(J579,"";"")"),"Gouveia, L. ")</f>
        <v xml:space="preserve">Gouveia, L. </v>
      </c>
      <c r="L579" s="10"/>
      <c r="M579" s="10"/>
      <c r="N579" s="10"/>
      <c r="O579" s="10"/>
      <c r="P579" s="10"/>
      <c r="Q579" s="10"/>
      <c r="R579" s="10"/>
      <c r="S579" s="10"/>
      <c r="T579" s="10"/>
      <c r="U579" s="10"/>
      <c r="V579" s="10"/>
      <c r="W579" s="10"/>
      <c r="X579" s="10"/>
      <c r="Y579" s="10"/>
      <c r="Z579" s="10"/>
    </row>
    <row r="580" spans="1:26" ht="17.25" customHeight="1" x14ac:dyDescent="0.3">
      <c r="A580" s="10" t="s">
        <v>710</v>
      </c>
      <c r="B580" s="10">
        <f t="shared" si="0"/>
        <v>13</v>
      </c>
      <c r="C580" s="8" t="str">
        <f t="shared" si="1"/>
        <v xml:space="preserve">Gouveia, L. </v>
      </c>
      <c r="D580" s="8" t="str">
        <f t="shared" si="2"/>
        <v>2009</v>
      </c>
      <c r="E580" s="10">
        <f t="shared" si="3"/>
        <v>18</v>
      </c>
      <c r="F580" s="10">
        <f t="shared" si="4"/>
        <v>47</v>
      </c>
      <c r="G580" s="8" t="str">
        <f t="shared" si="5"/>
        <v xml:space="preserve"> Evolução da Internet &amp; Web. </v>
      </c>
      <c r="H580" s="10" t="str">
        <f t="shared" si="6"/>
        <v xml:space="preserve">Gouveia, L. </v>
      </c>
      <c r="I580" s="10" t="str">
        <f t="shared" si="7"/>
        <v xml:space="preserve">Gouveia, L. </v>
      </c>
      <c r="J580" s="10" t="str">
        <f t="shared" si="8"/>
        <v xml:space="preserve">Gouveia, L. </v>
      </c>
      <c r="K580" s="11" t="str">
        <f ca="1">IFERROR(__xludf.DUMMYFUNCTION("SPLIT(J580,"";"")"),"Gouveia, L. ")</f>
        <v xml:space="preserve">Gouveia, L. </v>
      </c>
      <c r="L580" s="10"/>
      <c r="M580" s="10"/>
      <c r="N580" s="10"/>
      <c r="O580" s="10"/>
      <c r="P580" s="10"/>
      <c r="Q580" s="10"/>
      <c r="R580" s="10"/>
      <c r="S580" s="10"/>
      <c r="T580" s="10"/>
      <c r="U580" s="10"/>
      <c r="V580" s="10"/>
      <c r="W580" s="10"/>
      <c r="X580" s="10"/>
      <c r="Y580" s="10"/>
      <c r="Z580" s="10"/>
    </row>
    <row r="581" spans="1:26" ht="17.25" customHeight="1" x14ac:dyDescent="0.3">
      <c r="A581" s="10" t="s">
        <v>711</v>
      </c>
      <c r="B581" s="10">
        <f t="shared" si="0"/>
        <v>13</v>
      </c>
      <c r="C581" s="8" t="str">
        <f t="shared" si="1"/>
        <v xml:space="preserve">Gouveia, L. </v>
      </c>
      <c r="D581" s="8" t="str">
        <f t="shared" si="2"/>
        <v>2008</v>
      </c>
      <c r="E581" s="10">
        <f t="shared" si="3"/>
        <v>18</v>
      </c>
      <c r="F581" s="10">
        <f t="shared" si="4"/>
        <v>67</v>
      </c>
      <c r="G581" s="8" t="str">
        <f t="shared" si="5"/>
        <v xml:space="preserve"> Novas abordagens para a Gestão do Conhecimento. </v>
      </c>
      <c r="H581" s="10" t="str">
        <f t="shared" si="6"/>
        <v xml:space="preserve">Gouveia, L. </v>
      </c>
      <c r="I581" s="10" t="str">
        <f t="shared" si="7"/>
        <v xml:space="preserve">Gouveia, L. </v>
      </c>
      <c r="J581" s="10" t="str">
        <f t="shared" si="8"/>
        <v xml:space="preserve">Gouveia, L. </v>
      </c>
      <c r="K581" s="11" t="str">
        <f ca="1">IFERROR(__xludf.DUMMYFUNCTION("SPLIT(J581,"";"")"),"Gouveia, L. ")</f>
        <v xml:space="preserve">Gouveia, L. </v>
      </c>
      <c r="L581" s="10"/>
      <c r="M581" s="10"/>
      <c r="N581" s="10"/>
      <c r="O581" s="10"/>
      <c r="P581" s="10"/>
      <c r="Q581" s="10"/>
      <c r="R581" s="10"/>
      <c r="S581" s="10"/>
      <c r="T581" s="10"/>
      <c r="U581" s="10"/>
      <c r="V581" s="10"/>
      <c r="W581" s="10"/>
      <c r="X581" s="10"/>
      <c r="Y581" s="10"/>
      <c r="Z581" s="10"/>
    </row>
    <row r="582" spans="1:26" ht="17.25" customHeight="1" x14ac:dyDescent="0.3">
      <c r="A582" s="10" t="s">
        <v>712</v>
      </c>
      <c r="B582" s="10">
        <f t="shared" si="0"/>
        <v>13</v>
      </c>
      <c r="C582" s="8" t="str">
        <f t="shared" si="1"/>
        <v xml:space="preserve">Gouveia, L. </v>
      </c>
      <c r="D582" s="8" t="str">
        <f t="shared" si="2"/>
        <v>2009</v>
      </c>
      <c r="E582" s="10">
        <f t="shared" si="3"/>
        <v>18</v>
      </c>
      <c r="F582" s="10">
        <f t="shared" si="4"/>
        <v>87</v>
      </c>
      <c r="G582" s="8" t="str">
        <f t="shared" si="5"/>
        <v xml:space="preserve"> Modelos de Governação na Sociedade da Informação e do Conhecimento. </v>
      </c>
      <c r="H582" s="10" t="str">
        <f t="shared" si="6"/>
        <v xml:space="preserve">Gouveia, L. </v>
      </c>
      <c r="I582" s="10" t="str">
        <f t="shared" si="7"/>
        <v xml:space="preserve">Gouveia, L. </v>
      </c>
      <c r="J582" s="10" t="str">
        <f t="shared" si="8"/>
        <v xml:space="preserve">Gouveia, L. </v>
      </c>
      <c r="K582" s="11" t="str">
        <f ca="1">IFERROR(__xludf.DUMMYFUNCTION("SPLIT(J582,"";"")"),"Gouveia, L. ")</f>
        <v xml:space="preserve">Gouveia, L. </v>
      </c>
      <c r="L582" s="10"/>
      <c r="M582" s="10"/>
      <c r="N582" s="10"/>
      <c r="O582" s="10"/>
      <c r="P582" s="10"/>
      <c r="Q582" s="10"/>
      <c r="R582" s="10"/>
      <c r="S582" s="10"/>
      <c r="T582" s="10"/>
      <c r="U582" s="10"/>
      <c r="V582" s="10"/>
      <c r="W582" s="10"/>
      <c r="X582" s="10"/>
      <c r="Y582" s="10"/>
      <c r="Z582" s="10"/>
    </row>
    <row r="583" spans="1:26" ht="17.25" customHeight="1" x14ac:dyDescent="0.3">
      <c r="A583" s="10" t="s">
        <v>713</v>
      </c>
      <c r="B583" s="10">
        <f t="shared" si="0"/>
        <v>13</v>
      </c>
      <c r="C583" s="8" t="str">
        <f t="shared" si="1"/>
        <v xml:space="preserve">Gouveia, L. </v>
      </c>
      <c r="D583" s="8" t="str">
        <f t="shared" si="2"/>
        <v>2008</v>
      </c>
      <c r="E583" s="10">
        <f t="shared" si="3"/>
        <v>18</v>
      </c>
      <c r="F583" s="10">
        <f t="shared" si="4"/>
        <v>64</v>
      </c>
      <c r="G583" s="8" t="str">
        <f t="shared" si="5"/>
        <v xml:space="preserve"> Uma perspectiva sobre o Negócio Electrónico. </v>
      </c>
      <c r="H583" s="10" t="str">
        <f t="shared" si="6"/>
        <v xml:space="preserve">Gouveia, L. </v>
      </c>
      <c r="I583" s="10" t="str">
        <f t="shared" si="7"/>
        <v xml:space="preserve">Gouveia, L. </v>
      </c>
      <c r="J583" s="10" t="str">
        <f t="shared" si="8"/>
        <v xml:space="preserve">Gouveia, L. </v>
      </c>
      <c r="K583" s="11" t="str">
        <f ca="1">IFERROR(__xludf.DUMMYFUNCTION("SPLIT(J583,"";"")"),"Gouveia, L. ")</f>
        <v xml:space="preserve">Gouveia, L. </v>
      </c>
      <c r="L583" s="10"/>
      <c r="M583" s="10"/>
      <c r="N583" s="10"/>
      <c r="O583" s="10"/>
      <c r="P583" s="10"/>
      <c r="Q583" s="10"/>
      <c r="R583" s="10"/>
      <c r="S583" s="10"/>
      <c r="T583" s="10"/>
      <c r="U583" s="10"/>
      <c r="V583" s="10"/>
      <c r="W583" s="10"/>
      <c r="X583" s="10"/>
      <c r="Y583" s="10"/>
      <c r="Z583" s="10"/>
    </row>
    <row r="584" spans="1:26" ht="17.25" customHeight="1" x14ac:dyDescent="0.3">
      <c r="A584" s="10" t="s">
        <v>714</v>
      </c>
      <c r="B584" s="10">
        <f t="shared" si="0"/>
        <v>13</v>
      </c>
      <c r="C584" s="8" t="str">
        <f t="shared" si="1"/>
        <v xml:space="preserve">Gouveia, L. </v>
      </c>
      <c r="D584" s="8" t="str">
        <f t="shared" si="2"/>
        <v>2008</v>
      </c>
      <c r="E584" s="10">
        <f t="shared" si="3"/>
        <v>18</v>
      </c>
      <c r="F584" s="10">
        <f t="shared" si="4"/>
        <v>98</v>
      </c>
      <c r="G584" s="8" t="str">
        <f t="shared" si="5"/>
        <v xml:space="preserve"> As Tecnologias e as Pessoas: um testemunho próprio da Sociedade da Informação. </v>
      </c>
      <c r="H584" s="10" t="str">
        <f t="shared" si="6"/>
        <v xml:space="preserve">Gouveia, L. </v>
      </c>
      <c r="I584" s="10" t="str">
        <f t="shared" si="7"/>
        <v xml:space="preserve">Gouveia, L. </v>
      </c>
      <c r="J584" s="10" t="str">
        <f t="shared" si="8"/>
        <v xml:space="preserve">Gouveia, L. </v>
      </c>
      <c r="K584" s="11" t="str">
        <f ca="1">IFERROR(__xludf.DUMMYFUNCTION("SPLIT(J584,"";"")"),"Gouveia, L. ")</f>
        <v xml:space="preserve">Gouveia, L. </v>
      </c>
      <c r="L584" s="10"/>
      <c r="M584" s="10"/>
      <c r="N584" s="10"/>
      <c r="O584" s="10"/>
      <c r="P584" s="10"/>
      <c r="Q584" s="10"/>
      <c r="R584" s="10"/>
      <c r="S584" s="10"/>
      <c r="T584" s="10"/>
      <c r="U584" s="10"/>
      <c r="V584" s="10"/>
      <c r="W584" s="10"/>
      <c r="X584" s="10"/>
      <c r="Y584" s="10"/>
      <c r="Z584" s="10"/>
    </row>
    <row r="585" spans="1:26" ht="17.25" customHeight="1" x14ac:dyDescent="0.3">
      <c r="A585" s="10" t="s">
        <v>715</v>
      </c>
      <c r="B585" s="10">
        <f t="shared" si="0"/>
        <v>13</v>
      </c>
      <c r="C585" s="8" t="str">
        <f t="shared" si="1"/>
        <v xml:space="preserve">Gouveia, L. </v>
      </c>
      <c r="D585" s="8" t="str">
        <f t="shared" si="2"/>
        <v>2008</v>
      </c>
      <c r="E585" s="10">
        <f t="shared" si="3"/>
        <v>18</v>
      </c>
      <c r="F585" s="10">
        <f t="shared" si="4"/>
        <v>55</v>
      </c>
      <c r="G585" s="8" t="str">
        <f t="shared" si="5"/>
        <v xml:space="preserve"> Território: implicações do digital. </v>
      </c>
      <c r="H585" s="10" t="str">
        <f t="shared" si="6"/>
        <v xml:space="preserve">Gouveia, L. </v>
      </c>
      <c r="I585" s="10" t="str">
        <f t="shared" si="7"/>
        <v xml:space="preserve">Gouveia, L. </v>
      </c>
      <c r="J585" s="10" t="str">
        <f t="shared" si="8"/>
        <v xml:space="preserve">Gouveia, L. </v>
      </c>
      <c r="K585" s="11" t="str">
        <f ca="1">IFERROR(__xludf.DUMMYFUNCTION("SPLIT(J585,"";"")"),"Gouveia, L. ")</f>
        <v xml:space="preserve">Gouveia, L. </v>
      </c>
      <c r="L585" s="10"/>
      <c r="M585" s="10"/>
      <c r="N585" s="10"/>
      <c r="O585" s="10"/>
      <c r="P585" s="10"/>
      <c r="Q585" s="10"/>
      <c r="R585" s="10"/>
      <c r="S585" s="10"/>
      <c r="T585" s="10"/>
      <c r="U585" s="10"/>
      <c r="V585" s="10"/>
      <c r="W585" s="10"/>
      <c r="X585" s="10"/>
      <c r="Y585" s="10"/>
      <c r="Z585" s="10"/>
    </row>
    <row r="586" spans="1:26" ht="17.25" customHeight="1" x14ac:dyDescent="0.3">
      <c r="A586" s="10" t="s">
        <v>716</v>
      </c>
      <c r="B586" s="10">
        <f t="shared" si="0"/>
        <v>13</v>
      </c>
      <c r="C586" s="8" t="str">
        <f t="shared" si="1"/>
        <v xml:space="preserve">Gouveia, L. </v>
      </c>
      <c r="D586" s="8" t="str">
        <f t="shared" si="2"/>
        <v>2007</v>
      </c>
      <c r="E586" s="10">
        <f t="shared" si="3"/>
        <v>18</v>
      </c>
      <c r="F586" s="10">
        <f t="shared" si="4"/>
        <v>26</v>
      </c>
      <c r="G586" s="8" t="str">
        <f t="shared" si="5"/>
        <v xml:space="preserve"> Web 2.0</v>
      </c>
      <c r="H586" s="10" t="str">
        <f t="shared" si="6"/>
        <v xml:space="preserve">Gouveia, L. </v>
      </c>
      <c r="I586" s="10" t="str">
        <f t="shared" si="7"/>
        <v xml:space="preserve">Gouveia, L. </v>
      </c>
      <c r="J586" s="10" t="str">
        <f t="shared" si="8"/>
        <v xml:space="preserve">Gouveia, L. </v>
      </c>
      <c r="K586" s="11" t="str">
        <f ca="1">IFERROR(__xludf.DUMMYFUNCTION("SPLIT(J586,"";"")"),"Gouveia, L. ")</f>
        <v xml:space="preserve">Gouveia, L. </v>
      </c>
      <c r="L586" s="10"/>
      <c r="M586" s="10"/>
      <c r="N586" s="10"/>
      <c r="O586" s="10"/>
      <c r="P586" s="10"/>
      <c r="Q586" s="10"/>
      <c r="R586" s="10"/>
      <c r="S586" s="10"/>
      <c r="T586" s="10"/>
      <c r="U586" s="10"/>
      <c r="V586" s="10"/>
      <c r="W586" s="10"/>
      <c r="X586" s="10"/>
      <c r="Y586" s="10"/>
      <c r="Z586" s="10"/>
    </row>
    <row r="587" spans="1:26" ht="17.25" customHeight="1" x14ac:dyDescent="0.3">
      <c r="A587" s="10" t="s">
        <v>717</v>
      </c>
      <c r="B587" s="10">
        <f t="shared" si="0"/>
        <v>13</v>
      </c>
      <c r="C587" s="8" t="str">
        <f t="shared" si="1"/>
        <v xml:space="preserve">Gouveia, L. </v>
      </c>
      <c r="D587" s="8" t="str">
        <f t="shared" si="2"/>
        <v>2007</v>
      </c>
      <c r="E587" s="10">
        <f t="shared" si="3"/>
        <v>18</v>
      </c>
      <c r="F587" s="10">
        <f t="shared" si="4"/>
        <v>79</v>
      </c>
      <c r="G587" s="8" t="str">
        <f t="shared" si="5"/>
        <v xml:space="preserve"> Apresentação do Projecto Comunidade Digital de Professores. </v>
      </c>
      <c r="H587" s="10" t="str">
        <f t="shared" si="6"/>
        <v xml:space="preserve">Gouveia, L. </v>
      </c>
      <c r="I587" s="10" t="str">
        <f t="shared" si="7"/>
        <v xml:space="preserve">Gouveia, L. </v>
      </c>
      <c r="J587" s="10" t="str">
        <f t="shared" si="8"/>
        <v xml:space="preserve">Gouveia, L. </v>
      </c>
      <c r="K587" s="11" t="str">
        <f ca="1">IFERROR(__xludf.DUMMYFUNCTION("SPLIT(J587,"";"")"),"Gouveia, L. ")</f>
        <v xml:space="preserve">Gouveia, L. </v>
      </c>
      <c r="L587" s="10"/>
      <c r="M587" s="10"/>
      <c r="N587" s="10"/>
      <c r="O587" s="10"/>
      <c r="P587" s="10"/>
      <c r="Q587" s="10"/>
      <c r="R587" s="10"/>
      <c r="S587" s="10"/>
      <c r="T587" s="10"/>
      <c r="U587" s="10"/>
      <c r="V587" s="10"/>
      <c r="W587" s="10"/>
      <c r="X587" s="10"/>
      <c r="Y587" s="10"/>
      <c r="Z587" s="10"/>
    </row>
    <row r="588" spans="1:26" ht="17.25" customHeight="1" x14ac:dyDescent="0.3">
      <c r="A588" s="10" t="s">
        <v>718</v>
      </c>
      <c r="B588" s="10">
        <f t="shared" si="0"/>
        <v>13</v>
      </c>
      <c r="C588" s="8" t="str">
        <f t="shared" si="1"/>
        <v xml:space="preserve">Gouveia, L. </v>
      </c>
      <c r="D588" s="8" t="str">
        <f t="shared" si="2"/>
        <v>2006</v>
      </c>
      <c r="E588" s="10">
        <f t="shared" si="3"/>
        <v>18</v>
      </c>
      <c r="F588" s="10">
        <f t="shared" si="4"/>
        <v>146</v>
      </c>
      <c r="G588" s="8" t="str">
        <f t="shared" si="5"/>
        <v xml:space="preserve"> A Sociedade da Informação e do Conhecimento: Ensaio sobre a exploração e oportunidades no contexto da Sociedade da Informação. </v>
      </c>
      <c r="H588" s="10" t="str">
        <f t="shared" si="6"/>
        <v xml:space="preserve">Gouveia, L. </v>
      </c>
      <c r="I588" s="10" t="str">
        <f t="shared" si="7"/>
        <v xml:space="preserve">Gouveia, L. </v>
      </c>
      <c r="J588" s="10" t="str">
        <f t="shared" si="8"/>
        <v xml:space="preserve">Gouveia, L. </v>
      </c>
      <c r="K588" s="11" t="str">
        <f ca="1">IFERROR(__xludf.DUMMYFUNCTION("SPLIT(J588,"";"")"),"Gouveia, L. ")</f>
        <v xml:space="preserve">Gouveia, L. </v>
      </c>
      <c r="L588" s="10"/>
      <c r="M588" s="10"/>
      <c r="N588" s="10"/>
      <c r="O588" s="10"/>
      <c r="P588" s="10"/>
      <c r="Q588" s="10"/>
      <c r="R588" s="10"/>
      <c r="S588" s="10"/>
      <c r="T588" s="10"/>
      <c r="U588" s="10"/>
      <c r="V588" s="10"/>
      <c r="W588" s="10"/>
      <c r="X588" s="10"/>
      <c r="Y588" s="10"/>
      <c r="Z588" s="10"/>
    </row>
    <row r="589" spans="1:26" ht="17.25" customHeight="1" x14ac:dyDescent="0.3">
      <c r="A589" s="10" t="s">
        <v>719</v>
      </c>
      <c r="B589" s="10">
        <f t="shared" si="0"/>
        <v>13</v>
      </c>
      <c r="C589" s="8" t="str">
        <f t="shared" si="1"/>
        <v xml:space="preserve">Gouveia, L. </v>
      </c>
      <c r="D589" s="8" t="str">
        <f t="shared" si="2"/>
        <v>2006</v>
      </c>
      <c r="E589" s="10">
        <f t="shared" si="3"/>
        <v>18</v>
      </c>
      <c r="F589" s="10">
        <f t="shared" si="4"/>
        <v>73</v>
      </c>
      <c r="G589" s="8" t="str">
        <f t="shared" si="5"/>
        <v xml:space="preserve"> Viver numa Sociedade da Informação e do Conhecimento. </v>
      </c>
      <c r="H589" s="10" t="str">
        <f t="shared" si="6"/>
        <v xml:space="preserve">Gouveia, L. </v>
      </c>
      <c r="I589" s="10" t="str">
        <f t="shared" si="7"/>
        <v xml:space="preserve">Gouveia, L. </v>
      </c>
      <c r="J589" s="10" t="str">
        <f t="shared" si="8"/>
        <v xml:space="preserve">Gouveia, L. </v>
      </c>
      <c r="K589" s="11" t="str">
        <f ca="1">IFERROR(__xludf.DUMMYFUNCTION("SPLIT(J589,"";"")"),"Gouveia, L. ")</f>
        <v xml:space="preserve">Gouveia, L. </v>
      </c>
      <c r="L589" s="10"/>
      <c r="M589" s="10"/>
      <c r="N589" s="10"/>
      <c r="O589" s="10"/>
      <c r="P589" s="10"/>
      <c r="Q589" s="10"/>
      <c r="R589" s="10"/>
      <c r="S589" s="10"/>
      <c r="T589" s="10"/>
      <c r="U589" s="10"/>
      <c r="V589" s="10"/>
      <c r="W589" s="10"/>
      <c r="X589" s="10"/>
      <c r="Y589" s="10"/>
      <c r="Z589" s="10"/>
    </row>
    <row r="590" spans="1:26" ht="17.25" customHeight="1" x14ac:dyDescent="0.3">
      <c r="A590" s="10" t="s">
        <v>720</v>
      </c>
      <c r="B590" s="10">
        <f t="shared" si="0"/>
        <v>13</v>
      </c>
      <c r="C590" s="8" t="str">
        <f t="shared" si="1"/>
        <v xml:space="preserve">Gouveia, L. </v>
      </c>
      <c r="D590" s="8" t="str">
        <f t="shared" si="2"/>
        <v>2006</v>
      </c>
      <c r="E590" s="10">
        <f t="shared" si="3"/>
        <v>18</v>
      </c>
      <c r="F590" s="10">
        <f t="shared" si="4"/>
        <v>105</v>
      </c>
      <c r="G590" s="8" t="str">
        <f t="shared" si="5"/>
        <v xml:space="preserve"> Flexibilidade do trabalho, produtividade e gestão empresarial: uma visão tecnológica. </v>
      </c>
      <c r="H590" s="10" t="str">
        <f t="shared" si="6"/>
        <v xml:space="preserve">Gouveia, L. </v>
      </c>
      <c r="I590" s="10" t="str">
        <f t="shared" si="7"/>
        <v xml:space="preserve">Gouveia, L. </v>
      </c>
      <c r="J590" s="10" t="str">
        <f t="shared" si="8"/>
        <v xml:space="preserve">Gouveia, L. </v>
      </c>
      <c r="K590" s="11" t="str">
        <f ca="1">IFERROR(__xludf.DUMMYFUNCTION("SPLIT(J590,"";"")"),"Gouveia, L. ")</f>
        <v xml:space="preserve">Gouveia, L. </v>
      </c>
      <c r="L590" s="10"/>
      <c r="M590" s="10"/>
      <c r="N590" s="10"/>
      <c r="O590" s="10"/>
      <c r="P590" s="10"/>
      <c r="Q590" s="10"/>
      <c r="R590" s="10"/>
      <c r="S590" s="10"/>
      <c r="T590" s="10"/>
      <c r="U590" s="10"/>
      <c r="V590" s="10"/>
      <c r="W590" s="10"/>
      <c r="X590" s="10"/>
      <c r="Y590" s="10"/>
      <c r="Z590" s="10"/>
    </row>
    <row r="591" spans="1:26" ht="17.25" customHeight="1" x14ac:dyDescent="0.3">
      <c r="A591" s="10" t="s">
        <v>721</v>
      </c>
      <c r="B591" s="10">
        <f t="shared" si="0"/>
        <v>27</v>
      </c>
      <c r="C591" s="8" t="str">
        <f t="shared" si="1"/>
        <v xml:space="preserve">Gouveia, L. e Gouveia, F. </v>
      </c>
      <c r="D591" s="8" t="str">
        <f t="shared" si="2"/>
        <v>2006</v>
      </c>
      <c r="E591" s="10">
        <f t="shared" si="3"/>
        <v>32</v>
      </c>
      <c r="F591" s="10">
        <f t="shared" si="4"/>
        <v>87</v>
      </c>
      <c r="G591" s="8" t="str">
        <f t="shared" si="5"/>
        <v xml:space="preserve"> UFP-UV: plano de acção do terceiro ano de actividade. </v>
      </c>
      <c r="H591" s="10" t="str">
        <f t="shared" si="6"/>
        <v xml:space="preserve">Gouveia, L. e Gouveia, F. </v>
      </c>
      <c r="I591" s="10" t="str">
        <f t="shared" si="7"/>
        <v xml:space="preserve">Gouveia, L. e Gouveia, F. </v>
      </c>
      <c r="J591" s="10" t="str">
        <f t="shared" si="8"/>
        <v xml:space="preserve">Gouveia, L.;Gouveia, F. </v>
      </c>
      <c r="K591" s="11" t="str">
        <f ca="1">IFERROR(__xludf.DUMMYFUNCTION("SPLIT(J591,"";"")"),"Gouveia, L.")</f>
        <v>Gouveia, L.</v>
      </c>
      <c r="L591" s="10" t="str">
        <f ca="1">IFERROR(__xludf.DUMMYFUNCTION("""COMPUTED_VALUE"""),"Gouveia, F. ")</f>
        <v xml:space="preserve">Gouveia, F. </v>
      </c>
      <c r="M591" s="10"/>
      <c r="N591" s="10"/>
      <c r="O591" s="10"/>
      <c r="P591" s="10"/>
      <c r="Q591" s="10"/>
      <c r="R591" s="10"/>
      <c r="S591" s="10"/>
      <c r="T591" s="10"/>
      <c r="U591" s="10"/>
      <c r="V591" s="10"/>
      <c r="W591" s="10"/>
      <c r="X591" s="10"/>
      <c r="Y591" s="10"/>
      <c r="Z591" s="10"/>
    </row>
    <row r="592" spans="1:26" ht="17.25" customHeight="1" x14ac:dyDescent="0.3">
      <c r="A592" s="10" t="s">
        <v>722</v>
      </c>
      <c r="B592" s="10">
        <f t="shared" si="0"/>
        <v>13</v>
      </c>
      <c r="C592" s="8" t="str">
        <f t="shared" si="1"/>
        <v xml:space="preserve">Gouveia, L. </v>
      </c>
      <c r="D592" s="8" t="str">
        <f t="shared" si="2"/>
        <v>2006</v>
      </c>
      <c r="E592" s="10">
        <f t="shared" si="3"/>
        <v>18</v>
      </c>
      <c r="F592" s="10">
        <f t="shared" si="4"/>
        <v>70</v>
      </c>
      <c r="G592" s="8" t="str">
        <f t="shared" si="5"/>
        <v xml:space="preserve"> Gestão da Informação: oportunidade ou necessidade. </v>
      </c>
      <c r="H592" s="10" t="str">
        <f t="shared" si="6"/>
        <v xml:space="preserve">Gouveia, L. </v>
      </c>
      <c r="I592" s="10" t="str">
        <f t="shared" si="7"/>
        <v xml:space="preserve">Gouveia, L. </v>
      </c>
      <c r="J592" s="10" t="str">
        <f t="shared" si="8"/>
        <v xml:space="preserve">Gouveia, L. </v>
      </c>
      <c r="K592" s="11" t="str">
        <f ca="1">IFERROR(__xludf.DUMMYFUNCTION("SPLIT(J592,"";"")"),"Gouveia, L. ")</f>
        <v xml:space="preserve">Gouveia, L. </v>
      </c>
      <c r="L592" s="10"/>
      <c r="M592" s="10"/>
      <c r="N592" s="10"/>
      <c r="O592" s="10"/>
      <c r="P592" s="10"/>
      <c r="Q592" s="10"/>
      <c r="R592" s="10"/>
      <c r="S592" s="10"/>
      <c r="T592" s="10"/>
      <c r="U592" s="10"/>
      <c r="V592" s="10"/>
      <c r="W592" s="10"/>
      <c r="X592" s="10"/>
      <c r="Y592" s="10"/>
      <c r="Z592" s="10"/>
    </row>
    <row r="593" spans="1:26" ht="17.25" customHeight="1" x14ac:dyDescent="0.3">
      <c r="A593" s="10" t="s">
        <v>723</v>
      </c>
      <c r="B593" s="10">
        <f t="shared" si="0"/>
        <v>13</v>
      </c>
      <c r="C593" s="8" t="str">
        <f t="shared" si="1"/>
        <v xml:space="preserve">Gouveia, L. </v>
      </c>
      <c r="D593" s="8" t="str">
        <f t="shared" si="2"/>
        <v>2006</v>
      </c>
      <c r="E593" s="10">
        <f t="shared" si="3"/>
        <v>18</v>
      </c>
      <c r="F593" s="10">
        <f t="shared" si="4"/>
        <v>64</v>
      </c>
      <c r="G593" s="8" t="str">
        <f t="shared" si="5"/>
        <v xml:space="preserve"> IT Governance - uma janela de oportunidades. </v>
      </c>
      <c r="H593" s="10" t="str">
        <f t="shared" si="6"/>
        <v xml:space="preserve">Gouveia, L. </v>
      </c>
      <c r="I593" s="10" t="str">
        <f t="shared" si="7"/>
        <v xml:space="preserve">Gouveia, L. </v>
      </c>
      <c r="J593" s="10" t="str">
        <f t="shared" si="8"/>
        <v xml:space="preserve">Gouveia, L. </v>
      </c>
      <c r="K593" s="11" t="str">
        <f ca="1">IFERROR(__xludf.DUMMYFUNCTION("SPLIT(J593,"";"")"),"Gouveia, L. ")</f>
        <v xml:space="preserve">Gouveia, L. </v>
      </c>
      <c r="L593" s="10"/>
      <c r="M593" s="10"/>
      <c r="N593" s="10"/>
      <c r="O593" s="10"/>
      <c r="P593" s="10"/>
      <c r="Q593" s="10"/>
      <c r="R593" s="10"/>
      <c r="S593" s="10"/>
      <c r="T593" s="10"/>
      <c r="U593" s="10"/>
      <c r="V593" s="10"/>
      <c r="W593" s="10"/>
      <c r="X593" s="10"/>
      <c r="Y593" s="10"/>
      <c r="Z593" s="10"/>
    </row>
    <row r="594" spans="1:26" ht="17.25" customHeight="1" x14ac:dyDescent="0.3">
      <c r="A594" s="10" t="s">
        <v>724</v>
      </c>
      <c r="B594" s="10">
        <f t="shared" si="0"/>
        <v>13</v>
      </c>
      <c r="C594" s="8" t="str">
        <f t="shared" si="1"/>
        <v xml:space="preserve">Gouveia, L. </v>
      </c>
      <c r="D594" s="8" t="str">
        <f t="shared" si="2"/>
        <v>2006</v>
      </c>
      <c r="E594" s="10">
        <f t="shared" si="3"/>
        <v>18</v>
      </c>
      <c r="F594" s="10">
        <f t="shared" si="4"/>
        <v>51</v>
      </c>
      <c r="G594" s="8" t="str">
        <f t="shared" si="5"/>
        <v xml:space="preserve"> Gestão de Projectos Multimédia. </v>
      </c>
      <c r="H594" s="10" t="str">
        <f t="shared" si="6"/>
        <v xml:space="preserve">Gouveia, L. </v>
      </c>
      <c r="I594" s="10" t="str">
        <f t="shared" si="7"/>
        <v xml:space="preserve">Gouveia, L. </v>
      </c>
      <c r="J594" s="10" t="str">
        <f t="shared" si="8"/>
        <v xml:space="preserve">Gouveia, L. </v>
      </c>
      <c r="K594" s="11" t="str">
        <f ca="1">IFERROR(__xludf.DUMMYFUNCTION("SPLIT(J594,"";"")"),"Gouveia, L. ")</f>
        <v xml:space="preserve">Gouveia, L. </v>
      </c>
      <c r="L594" s="10"/>
      <c r="M594" s="10"/>
      <c r="N594" s="10"/>
      <c r="O594" s="10"/>
      <c r="P594" s="10"/>
      <c r="Q594" s="10"/>
      <c r="R594" s="10"/>
      <c r="S594" s="10"/>
      <c r="T594" s="10"/>
      <c r="U594" s="10"/>
      <c r="V594" s="10"/>
      <c r="W594" s="10"/>
      <c r="X594" s="10"/>
      <c r="Y594" s="10"/>
      <c r="Z594" s="10"/>
    </row>
    <row r="595" spans="1:26" ht="17.25" customHeight="1" x14ac:dyDescent="0.3">
      <c r="A595" s="10" t="s">
        <v>725</v>
      </c>
      <c r="B595" s="10">
        <f t="shared" si="0"/>
        <v>13</v>
      </c>
      <c r="C595" s="8" t="str">
        <f t="shared" si="1"/>
        <v xml:space="preserve">Gouveia, L. </v>
      </c>
      <c r="D595" s="8" t="str">
        <f t="shared" si="2"/>
        <v>2005</v>
      </c>
      <c r="E595" s="10">
        <f t="shared" si="3"/>
        <v>18</v>
      </c>
      <c r="F595" s="10">
        <f t="shared" si="4"/>
        <v>66</v>
      </c>
      <c r="G595" s="8" t="str">
        <f t="shared" si="5"/>
        <v xml:space="preserve"> Uma oportunidade para reinventar o território. </v>
      </c>
      <c r="H595" s="10" t="str">
        <f t="shared" si="6"/>
        <v xml:space="preserve">Gouveia, L. </v>
      </c>
      <c r="I595" s="10" t="str">
        <f t="shared" si="7"/>
        <v xml:space="preserve">Gouveia, L. </v>
      </c>
      <c r="J595" s="10" t="str">
        <f t="shared" si="8"/>
        <v xml:space="preserve">Gouveia, L. </v>
      </c>
      <c r="K595" s="11" t="str">
        <f ca="1">IFERROR(__xludf.DUMMYFUNCTION("SPLIT(J595,"";"")"),"Gouveia, L. ")</f>
        <v xml:space="preserve">Gouveia, L. </v>
      </c>
      <c r="L595" s="10"/>
      <c r="M595" s="10"/>
      <c r="N595" s="10"/>
      <c r="O595" s="10"/>
      <c r="P595" s="10"/>
      <c r="Q595" s="10"/>
      <c r="R595" s="10"/>
      <c r="S595" s="10"/>
      <c r="T595" s="10"/>
      <c r="U595" s="10"/>
      <c r="V595" s="10"/>
      <c r="W595" s="10"/>
      <c r="X595" s="10"/>
      <c r="Y595" s="10"/>
      <c r="Z595" s="10"/>
    </row>
    <row r="596" spans="1:26" ht="17.25" customHeight="1" x14ac:dyDescent="0.3">
      <c r="A596" s="10" t="s">
        <v>726</v>
      </c>
      <c r="B596" s="10">
        <f t="shared" si="0"/>
        <v>27</v>
      </c>
      <c r="C596" s="8" t="str">
        <f t="shared" si="1"/>
        <v xml:space="preserve">Gouveia, F. e Gouveia, L. </v>
      </c>
      <c r="D596" s="8" t="str">
        <f t="shared" si="2"/>
        <v>2005</v>
      </c>
      <c r="E596" s="10">
        <f t="shared" si="3"/>
        <v>32</v>
      </c>
      <c r="F596" s="10">
        <f t="shared" si="4"/>
        <v>82</v>
      </c>
      <c r="G596" s="8" t="str">
        <f t="shared" si="5"/>
        <v xml:space="preserve"> Apresentação da Plataforma de e-learning da UFP. </v>
      </c>
      <c r="H596" s="10" t="str">
        <f t="shared" si="6"/>
        <v xml:space="preserve">Gouveia, F. e Gouveia, L. </v>
      </c>
      <c r="I596" s="10" t="str">
        <f t="shared" si="7"/>
        <v xml:space="preserve">Gouveia, F. e Gouveia, L. </v>
      </c>
      <c r="J596" s="10" t="str">
        <f t="shared" si="8"/>
        <v xml:space="preserve">Gouveia, F.;Gouveia, L. </v>
      </c>
      <c r="K596" s="11" t="str">
        <f ca="1">IFERROR(__xludf.DUMMYFUNCTION("SPLIT(J596,"";"")"),"Gouveia, F.")</f>
        <v>Gouveia, F.</v>
      </c>
      <c r="L596" s="10" t="str">
        <f ca="1">IFERROR(__xludf.DUMMYFUNCTION("""COMPUTED_VALUE"""),"Gouveia, L. ")</f>
        <v xml:space="preserve">Gouveia, L. </v>
      </c>
      <c r="M596" s="10"/>
      <c r="N596" s="10"/>
      <c r="O596" s="10"/>
      <c r="P596" s="10"/>
      <c r="Q596" s="10"/>
      <c r="R596" s="10"/>
      <c r="S596" s="10"/>
      <c r="T596" s="10"/>
      <c r="U596" s="10"/>
      <c r="V596" s="10"/>
      <c r="W596" s="10"/>
      <c r="X596" s="10"/>
      <c r="Y596" s="10"/>
      <c r="Z596" s="10"/>
    </row>
    <row r="597" spans="1:26" ht="17.25" customHeight="1" x14ac:dyDescent="0.3">
      <c r="A597" s="10" t="s">
        <v>727</v>
      </c>
      <c r="B597" s="10">
        <f t="shared" si="0"/>
        <v>13</v>
      </c>
      <c r="C597" s="8" t="str">
        <f t="shared" si="1"/>
        <v xml:space="preserve">Gouveia, L. </v>
      </c>
      <c r="D597" s="8" t="str">
        <f t="shared" si="2"/>
        <v>2005</v>
      </c>
      <c r="E597" s="10">
        <f t="shared" si="3"/>
        <v>18</v>
      </c>
      <c r="F597" s="10">
        <f t="shared" si="4"/>
        <v>96</v>
      </c>
      <c r="G597" s="8" t="str">
        <f t="shared" si="5"/>
        <v xml:space="preserve"> Ensino Virtual  e e-learning: a experiência da Universidade Fernando Pessoa. </v>
      </c>
      <c r="H597" s="10" t="str">
        <f t="shared" si="6"/>
        <v xml:space="preserve">Gouveia, L. </v>
      </c>
      <c r="I597" s="10" t="str">
        <f t="shared" si="7"/>
        <v xml:space="preserve">Gouveia, L. </v>
      </c>
      <c r="J597" s="10" t="str">
        <f t="shared" si="8"/>
        <v xml:space="preserve">Gouveia, L. </v>
      </c>
      <c r="K597" s="11" t="str">
        <f ca="1">IFERROR(__xludf.DUMMYFUNCTION("SPLIT(J597,"";"")"),"Gouveia, L. ")</f>
        <v xml:space="preserve">Gouveia, L. </v>
      </c>
      <c r="L597" s="10"/>
      <c r="M597" s="10"/>
      <c r="N597" s="10"/>
      <c r="O597" s="10"/>
      <c r="P597" s="10"/>
      <c r="Q597" s="10"/>
      <c r="R597" s="10"/>
      <c r="S597" s="10"/>
      <c r="T597" s="10"/>
      <c r="U597" s="10"/>
      <c r="V597" s="10"/>
      <c r="W597" s="10"/>
      <c r="X597" s="10"/>
      <c r="Y597" s="10"/>
      <c r="Z597" s="10"/>
    </row>
    <row r="598" spans="1:26" ht="17.25" customHeight="1" x14ac:dyDescent="0.3">
      <c r="A598" s="10" t="s">
        <v>728</v>
      </c>
      <c r="B598" s="10">
        <f t="shared" si="0"/>
        <v>13</v>
      </c>
      <c r="C598" s="8" t="str">
        <f t="shared" si="1"/>
        <v xml:space="preserve">Gouveia, L. </v>
      </c>
      <c r="D598" s="8" t="str">
        <f t="shared" si="2"/>
        <v>2005</v>
      </c>
      <c r="E598" s="10">
        <f t="shared" si="3"/>
        <v>18</v>
      </c>
      <c r="F598" s="10">
        <f t="shared" si="4"/>
        <v>114</v>
      </c>
      <c r="G598" s="8" t="str">
        <f t="shared" si="5"/>
        <v xml:space="preserve"> Sociedade da Informação: a quanto obrigas! 12a Jornadas Licenciatura em Informática de Gestão. </v>
      </c>
      <c r="H598" s="10" t="str">
        <f t="shared" si="6"/>
        <v xml:space="preserve">Gouveia, L. </v>
      </c>
      <c r="I598" s="10" t="str">
        <f t="shared" si="7"/>
        <v xml:space="preserve">Gouveia, L. </v>
      </c>
      <c r="J598" s="10" t="str">
        <f t="shared" si="8"/>
        <v xml:space="preserve">Gouveia, L. </v>
      </c>
      <c r="K598" s="11" t="str">
        <f ca="1">IFERROR(__xludf.DUMMYFUNCTION("SPLIT(J598,"";"")"),"Gouveia, L. ")</f>
        <v xml:space="preserve">Gouveia, L. </v>
      </c>
      <c r="L598" s="10"/>
      <c r="M598" s="10"/>
      <c r="N598" s="10"/>
      <c r="O598" s="10"/>
      <c r="P598" s="10"/>
      <c r="Q598" s="10"/>
      <c r="R598" s="10"/>
      <c r="S598" s="10"/>
      <c r="T598" s="10"/>
      <c r="U598" s="10"/>
      <c r="V598" s="10"/>
      <c r="W598" s="10"/>
      <c r="X598" s="10"/>
      <c r="Y598" s="10"/>
      <c r="Z598" s="10"/>
    </row>
    <row r="599" spans="1:26" ht="17.25" customHeight="1" x14ac:dyDescent="0.3">
      <c r="A599" s="10" t="s">
        <v>729</v>
      </c>
      <c r="B599" s="10">
        <f t="shared" si="0"/>
        <v>13</v>
      </c>
      <c r="C599" s="8" t="str">
        <f t="shared" si="1"/>
        <v xml:space="preserve">Gouveia, L. </v>
      </c>
      <c r="D599" s="8" t="str">
        <f t="shared" si="2"/>
        <v>2005</v>
      </c>
      <c r="E599" s="10">
        <f t="shared" si="3"/>
        <v>18</v>
      </c>
      <c r="F599" s="10">
        <f t="shared" si="4"/>
        <v>48</v>
      </c>
      <c r="G599" s="8" t="str">
        <f t="shared" si="5"/>
        <v xml:space="preserve">  Cidades e Regiões Digitais. </v>
      </c>
      <c r="H599" s="10" t="str">
        <f t="shared" si="6"/>
        <v xml:space="preserve">Gouveia, L. </v>
      </c>
      <c r="I599" s="10" t="str">
        <f t="shared" si="7"/>
        <v xml:space="preserve">Gouveia, L. </v>
      </c>
      <c r="J599" s="10" t="str">
        <f t="shared" si="8"/>
        <v xml:space="preserve">Gouveia, L. </v>
      </c>
      <c r="K599" s="11" t="str">
        <f ca="1">IFERROR(__xludf.DUMMYFUNCTION("SPLIT(J599,"";"")"),"Gouveia, L. ")</f>
        <v xml:space="preserve">Gouveia, L. </v>
      </c>
      <c r="L599" s="10"/>
      <c r="M599" s="10"/>
      <c r="N599" s="10"/>
      <c r="O599" s="10"/>
      <c r="P599" s="10"/>
      <c r="Q599" s="10"/>
      <c r="R599" s="10"/>
      <c r="S599" s="10"/>
      <c r="T599" s="10"/>
      <c r="U599" s="10"/>
      <c r="V599" s="10"/>
      <c r="W599" s="10"/>
      <c r="X599" s="10"/>
      <c r="Y599" s="10"/>
      <c r="Z599" s="10"/>
    </row>
    <row r="600" spans="1:26" ht="17.25" customHeight="1" x14ac:dyDescent="0.3">
      <c r="A600" s="10" t="s">
        <v>730</v>
      </c>
      <c r="B600" s="10">
        <f t="shared" si="0"/>
        <v>13</v>
      </c>
      <c r="C600" s="8" t="str">
        <f t="shared" si="1"/>
        <v xml:space="preserve">Gouveia, L. </v>
      </c>
      <c r="D600" s="8" t="str">
        <f t="shared" si="2"/>
        <v>2004</v>
      </c>
      <c r="E600" s="10">
        <f t="shared" si="3"/>
        <v>18</v>
      </c>
      <c r="F600" s="10">
        <f t="shared" si="4"/>
        <v>58</v>
      </c>
      <c r="G600" s="8" t="str">
        <f t="shared" si="5"/>
        <v xml:space="preserve"> O digital, a logística e o território. </v>
      </c>
      <c r="H600" s="10" t="str">
        <f t="shared" si="6"/>
        <v xml:space="preserve">Gouveia, L. </v>
      </c>
      <c r="I600" s="10" t="str">
        <f t="shared" si="7"/>
        <v xml:space="preserve">Gouveia, L. </v>
      </c>
      <c r="J600" s="10" t="str">
        <f t="shared" si="8"/>
        <v xml:space="preserve">Gouveia, L. </v>
      </c>
      <c r="K600" s="11" t="str">
        <f ca="1">IFERROR(__xludf.DUMMYFUNCTION("SPLIT(J600,"";"")"),"Gouveia, L. ")</f>
        <v xml:space="preserve">Gouveia, L. </v>
      </c>
      <c r="L600" s="10"/>
      <c r="M600" s="10"/>
      <c r="N600" s="10"/>
      <c r="O600" s="10"/>
      <c r="P600" s="10"/>
      <c r="Q600" s="10"/>
      <c r="R600" s="10"/>
      <c r="S600" s="10"/>
      <c r="T600" s="10"/>
      <c r="U600" s="10"/>
      <c r="V600" s="10"/>
      <c r="W600" s="10"/>
      <c r="X600" s="10"/>
      <c r="Y600" s="10"/>
      <c r="Z600" s="10"/>
    </row>
    <row r="601" spans="1:26" ht="17.25" customHeight="1" x14ac:dyDescent="0.3">
      <c r="A601" s="10" t="s">
        <v>731</v>
      </c>
      <c r="B601" s="10">
        <f t="shared" si="0"/>
        <v>13</v>
      </c>
      <c r="C601" s="8" t="str">
        <f t="shared" si="1"/>
        <v xml:space="preserve">Gouveia, L. </v>
      </c>
      <c r="D601" s="8" t="str">
        <f t="shared" si="2"/>
        <v>2004</v>
      </c>
      <c r="E601" s="10">
        <f t="shared" si="3"/>
        <v>18</v>
      </c>
      <c r="F601" s="10">
        <f t="shared" si="4"/>
        <v>58</v>
      </c>
      <c r="G601" s="8" t="str">
        <f t="shared" si="5"/>
        <v xml:space="preserve"> O Gaia Global e o serviço ao munícipe. </v>
      </c>
      <c r="H601" s="10" t="str">
        <f t="shared" si="6"/>
        <v xml:space="preserve">Gouveia, L. </v>
      </c>
      <c r="I601" s="10" t="str">
        <f t="shared" si="7"/>
        <v xml:space="preserve">Gouveia, L. </v>
      </c>
      <c r="J601" s="10" t="str">
        <f t="shared" si="8"/>
        <v xml:space="preserve">Gouveia, L. </v>
      </c>
      <c r="K601" s="11" t="str">
        <f ca="1">IFERROR(__xludf.DUMMYFUNCTION("SPLIT(J601,"";"")"),"Gouveia, L. ")</f>
        <v xml:space="preserve">Gouveia, L. </v>
      </c>
      <c r="L601" s="10"/>
      <c r="M601" s="10"/>
      <c r="N601" s="10"/>
      <c r="O601" s="10"/>
      <c r="P601" s="10"/>
      <c r="Q601" s="10"/>
      <c r="R601" s="10"/>
      <c r="S601" s="10"/>
      <c r="T601" s="10"/>
      <c r="U601" s="10"/>
      <c r="V601" s="10"/>
      <c r="W601" s="10"/>
      <c r="X601" s="10"/>
      <c r="Y601" s="10"/>
      <c r="Z601" s="10"/>
    </row>
    <row r="602" spans="1:26" ht="17.25" customHeight="1" x14ac:dyDescent="0.3">
      <c r="A602" s="10" t="s">
        <v>732</v>
      </c>
      <c r="B602" s="10">
        <f t="shared" si="0"/>
        <v>13</v>
      </c>
      <c r="C602" s="8" t="str">
        <f t="shared" si="1"/>
        <v xml:space="preserve">Gouveia, L. </v>
      </c>
      <c r="D602" s="8" t="str">
        <f t="shared" si="2"/>
        <v>2004</v>
      </c>
      <c r="E602" s="10">
        <f t="shared" si="3"/>
        <v>18</v>
      </c>
      <c r="F602" s="10">
        <f t="shared" si="4"/>
        <v>84</v>
      </c>
      <c r="G602" s="8" t="str">
        <f t="shared" si="5"/>
        <v xml:space="preserve"> O Projecto Gaia Global como integrador de serviços da autarquia. </v>
      </c>
      <c r="H602" s="10" t="str">
        <f t="shared" si="6"/>
        <v xml:space="preserve">Gouveia, L. </v>
      </c>
      <c r="I602" s="10" t="str">
        <f t="shared" si="7"/>
        <v xml:space="preserve">Gouveia, L. </v>
      </c>
      <c r="J602" s="10" t="str">
        <f t="shared" si="8"/>
        <v xml:space="preserve">Gouveia, L. </v>
      </c>
      <c r="K602" s="11" t="str">
        <f ca="1">IFERROR(__xludf.DUMMYFUNCTION("SPLIT(J602,"";"")"),"Gouveia, L. ")</f>
        <v xml:space="preserve">Gouveia, L. </v>
      </c>
      <c r="L602" s="10"/>
      <c r="M602" s="10"/>
      <c r="N602" s="10"/>
      <c r="O602" s="10"/>
      <c r="P602" s="10"/>
      <c r="Q602" s="10"/>
      <c r="R602" s="10"/>
      <c r="S602" s="10"/>
      <c r="T602" s="10"/>
      <c r="U602" s="10"/>
      <c r="V602" s="10"/>
      <c r="W602" s="10"/>
      <c r="X602" s="10"/>
      <c r="Y602" s="10"/>
      <c r="Z602" s="10"/>
    </row>
    <row r="603" spans="1:26" ht="17.25" customHeight="1" x14ac:dyDescent="0.3">
      <c r="A603" s="10" t="s">
        <v>733</v>
      </c>
      <c r="B603" s="10">
        <f t="shared" si="0"/>
        <v>13</v>
      </c>
      <c r="C603" s="8" t="str">
        <f t="shared" si="1"/>
        <v xml:space="preserve">Gouveia, L. </v>
      </c>
      <c r="D603" s="8" t="str">
        <f t="shared" si="2"/>
        <v>2003</v>
      </c>
      <c r="E603" s="10">
        <f t="shared" si="3"/>
        <v>18</v>
      </c>
      <c r="F603" s="10">
        <f t="shared" si="4"/>
        <v>43</v>
      </c>
      <c r="G603" s="8" t="str">
        <f t="shared" si="5"/>
        <v xml:space="preserve"> O projecto Gaia Global. </v>
      </c>
      <c r="H603" s="10" t="str">
        <f t="shared" si="6"/>
        <v xml:space="preserve">Gouveia, L. </v>
      </c>
      <c r="I603" s="10" t="str">
        <f t="shared" si="7"/>
        <v xml:space="preserve">Gouveia, L. </v>
      </c>
      <c r="J603" s="10" t="str">
        <f t="shared" si="8"/>
        <v xml:space="preserve">Gouveia, L. </v>
      </c>
      <c r="K603" s="11" t="str">
        <f ca="1">IFERROR(__xludf.DUMMYFUNCTION("SPLIT(J603,"";"")"),"Gouveia, L. ")</f>
        <v xml:space="preserve">Gouveia, L. </v>
      </c>
      <c r="L603" s="10"/>
      <c r="M603" s="10"/>
      <c r="N603" s="10"/>
      <c r="O603" s="10"/>
      <c r="P603" s="10"/>
      <c r="Q603" s="10"/>
      <c r="R603" s="10"/>
      <c r="S603" s="10"/>
      <c r="T603" s="10"/>
      <c r="U603" s="10"/>
      <c r="V603" s="10"/>
      <c r="W603" s="10"/>
      <c r="X603" s="10"/>
      <c r="Y603" s="10"/>
      <c r="Z603" s="10"/>
    </row>
    <row r="604" spans="1:26" ht="17.25" customHeight="1" x14ac:dyDescent="0.3">
      <c r="A604" s="10" t="s">
        <v>734</v>
      </c>
      <c r="B604" s="10">
        <f t="shared" si="0"/>
        <v>13</v>
      </c>
      <c r="C604" s="8" t="str">
        <f t="shared" si="1"/>
        <v xml:space="preserve">Gouveia, L. </v>
      </c>
      <c r="D604" s="8" t="str">
        <f t="shared" si="2"/>
        <v>2003</v>
      </c>
      <c r="E604" s="10">
        <f t="shared" si="3"/>
        <v>18</v>
      </c>
      <c r="F604" s="10">
        <f t="shared" si="4"/>
        <v>32</v>
      </c>
      <c r="G604" s="8" t="str">
        <f t="shared" si="5"/>
        <v xml:space="preserve"> Gaia Global. </v>
      </c>
      <c r="H604" s="10" t="str">
        <f t="shared" si="6"/>
        <v xml:space="preserve">Gouveia, L. </v>
      </c>
      <c r="I604" s="10" t="str">
        <f t="shared" si="7"/>
        <v xml:space="preserve">Gouveia, L. </v>
      </c>
      <c r="J604" s="10" t="str">
        <f t="shared" si="8"/>
        <v xml:space="preserve">Gouveia, L. </v>
      </c>
      <c r="K604" s="11" t="str">
        <f ca="1">IFERROR(__xludf.DUMMYFUNCTION("SPLIT(J604,"";"")"),"Gouveia, L. ")</f>
        <v xml:space="preserve">Gouveia, L. </v>
      </c>
      <c r="L604" s="10"/>
      <c r="M604" s="10"/>
      <c r="N604" s="10"/>
      <c r="O604" s="10"/>
      <c r="P604" s="10"/>
      <c r="Q604" s="10"/>
      <c r="R604" s="10"/>
      <c r="S604" s="10"/>
      <c r="T604" s="10"/>
      <c r="U604" s="10"/>
      <c r="V604" s="10"/>
      <c r="W604" s="10"/>
      <c r="X604" s="10"/>
      <c r="Y604" s="10"/>
      <c r="Z604" s="10"/>
    </row>
    <row r="605" spans="1:26" ht="17.25" customHeight="1" x14ac:dyDescent="0.3">
      <c r="A605" s="10" t="s">
        <v>735</v>
      </c>
      <c r="B605" s="10">
        <f t="shared" si="0"/>
        <v>13</v>
      </c>
      <c r="C605" s="8" t="str">
        <f t="shared" si="1"/>
        <v xml:space="preserve">Gouveia, L. </v>
      </c>
      <c r="D605" s="8" t="str">
        <f t="shared" si="2"/>
        <v>2003</v>
      </c>
      <c r="E605" s="10">
        <f t="shared" si="3"/>
        <v>18</v>
      </c>
      <c r="F605" s="10">
        <f t="shared" si="4"/>
        <v>44</v>
      </c>
      <c r="G605" s="8" t="str">
        <f t="shared" si="5"/>
        <v xml:space="preserve"> e-munícipe: Gaia Global. </v>
      </c>
      <c r="H605" s="10" t="str">
        <f t="shared" si="6"/>
        <v xml:space="preserve">Gouveia, L. </v>
      </c>
      <c r="I605" s="10" t="str">
        <f t="shared" si="7"/>
        <v xml:space="preserve">Gouveia, L. </v>
      </c>
      <c r="J605" s="10" t="str">
        <f t="shared" si="8"/>
        <v xml:space="preserve">Gouveia, L. </v>
      </c>
      <c r="K605" s="11" t="str">
        <f ca="1">IFERROR(__xludf.DUMMYFUNCTION("SPLIT(J605,"";"")"),"Gouveia, L. ")</f>
        <v xml:space="preserve">Gouveia, L. </v>
      </c>
      <c r="L605" s="10"/>
      <c r="M605" s="10"/>
      <c r="N605" s="10"/>
      <c r="O605" s="10"/>
      <c r="P605" s="10"/>
      <c r="Q605" s="10"/>
      <c r="R605" s="10"/>
      <c r="S605" s="10"/>
      <c r="T605" s="10"/>
      <c r="U605" s="10"/>
      <c r="V605" s="10"/>
      <c r="W605" s="10"/>
      <c r="X605" s="10"/>
      <c r="Y605" s="10"/>
      <c r="Z605" s="10"/>
    </row>
    <row r="606" spans="1:26" ht="17.25" customHeight="1" x14ac:dyDescent="0.3">
      <c r="A606" s="10" t="s">
        <v>736</v>
      </c>
      <c r="B606" s="10">
        <f t="shared" si="0"/>
        <v>13</v>
      </c>
      <c r="C606" s="8" t="str">
        <f t="shared" si="1"/>
        <v xml:space="preserve">Gouveia, L. </v>
      </c>
      <c r="D606" s="8" t="str">
        <f t="shared" si="2"/>
        <v>2003</v>
      </c>
      <c r="E606" s="10">
        <f t="shared" si="3"/>
        <v>18</v>
      </c>
      <c r="F606" s="10">
        <f t="shared" si="4"/>
        <v>71</v>
      </c>
      <c r="G606" s="8" t="str">
        <f t="shared" si="5"/>
        <v xml:space="preserve"> Gaia Global: informação e serviços para o munícipe. </v>
      </c>
      <c r="H606" s="10" t="str">
        <f t="shared" si="6"/>
        <v xml:space="preserve">Gouveia, L. </v>
      </c>
      <c r="I606" s="10" t="str">
        <f t="shared" si="7"/>
        <v xml:space="preserve">Gouveia, L. </v>
      </c>
      <c r="J606" s="10" t="str">
        <f t="shared" si="8"/>
        <v xml:space="preserve">Gouveia, L. </v>
      </c>
      <c r="K606" s="11" t="str">
        <f ca="1">IFERROR(__xludf.DUMMYFUNCTION("SPLIT(J606,"";"")"),"Gouveia, L. ")</f>
        <v xml:space="preserve">Gouveia, L. </v>
      </c>
      <c r="L606" s="10"/>
      <c r="M606" s="10"/>
      <c r="N606" s="10"/>
      <c r="O606" s="10"/>
      <c r="P606" s="10"/>
      <c r="Q606" s="10"/>
      <c r="R606" s="10"/>
      <c r="S606" s="10"/>
      <c r="T606" s="10"/>
      <c r="U606" s="10"/>
      <c r="V606" s="10"/>
      <c r="W606" s="10"/>
      <c r="X606" s="10"/>
      <c r="Y606" s="10"/>
      <c r="Z606" s="10"/>
    </row>
    <row r="607" spans="1:26" ht="17.25" customHeight="1" x14ac:dyDescent="0.3">
      <c r="A607" s="10" t="s">
        <v>737</v>
      </c>
      <c r="B607" s="10">
        <f t="shared" si="0"/>
        <v>13</v>
      </c>
      <c r="C607" s="8" t="str">
        <f t="shared" si="1"/>
        <v xml:space="preserve">Gouveia, L. </v>
      </c>
      <c r="D607" s="8" t="str">
        <f t="shared" si="2"/>
        <v>2003</v>
      </c>
      <c r="E607" s="10">
        <f t="shared" si="3"/>
        <v>18</v>
      </c>
      <c r="F607" s="10">
        <f t="shared" si="4"/>
        <v>62</v>
      </c>
      <c r="G607" s="8" t="str">
        <f t="shared" si="5"/>
        <v xml:space="preserve"> Autarquias Digitais: promessas e desafios. </v>
      </c>
      <c r="H607" s="10" t="str">
        <f t="shared" si="6"/>
        <v xml:space="preserve">Gouveia, L. </v>
      </c>
      <c r="I607" s="10" t="str">
        <f t="shared" si="7"/>
        <v xml:space="preserve">Gouveia, L. </v>
      </c>
      <c r="J607" s="10" t="str">
        <f t="shared" si="8"/>
        <v xml:space="preserve">Gouveia, L. </v>
      </c>
      <c r="K607" s="11" t="str">
        <f ca="1">IFERROR(__xludf.DUMMYFUNCTION("SPLIT(J607,"";"")"),"Gouveia, L. ")</f>
        <v xml:space="preserve">Gouveia, L. </v>
      </c>
      <c r="L607" s="10"/>
      <c r="M607" s="10"/>
      <c r="N607" s="10"/>
      <c r="O607" s="10"/>
      <c r="P607" s="10"/>
      <c r="Q607" s="10"/>
      <c r="R607" s="10"/>
      <c r="S607" s="10"/>
      <c r="T607" s="10"/>
      <c r="U607" s="10"/>
      <c r="V607" s="10"/>
      <c r="W607" s="10"/>
      <c r="X607" s="10"/>
      <c r="Y607" s="10"/>
      <c r="Z607" s="10"/>
    </row>
    <row r="608" spans="1:26" ht="17.25" customHeight="1" x14ac:dyDescent="0.3">
      <c r="A608" s="10" t="s">
        <v>738</v>
      </c>
      <c r="B608" s="10">
        <f t="shared" si="0"/>
        <v>13</v>
      </c>
      <c r="C608" s="8" t="str">
        <f t="shared" si="1"/>
        <v xml:space="preserve">Gouveia, L. </v>
      </c>
      <c r="D608" s="8" t="str">
        <f t="shared" si="2"/>
        <v>2003</v>
      </c>
      <c r="E608" s="10">
        <f t="shared" si="3"/>
        <v>18</v>
      </c>
      <c r="F608" s="10">
        <f t="shared" si="4"/>
        <v>80</v>
      </c>
      <c r="G608" s="8" t="str">
        <f t="shared" si="5"/>
        <v xml:space="preserve"> E-learning: Oportunidades e Desafios para o Ensino Superior.S</v>
      </c>
      <c r="H608" s="10" t="str">
        <f t="shared" si="6"/>
        <v xml:space="preserve">Gouveia, L. </v>
      </c>
      <c r="I608" s="10" t="str">
        <f t="shared" si="7"/>
        <v xml:space="preserve">Gouveia, L. </v>
      </c>
      <c r="J608" s="10" t="str">
        <f t="shared" si="8"/>
        <v xml:space="preserve">Gouveia, L. </v>
      </c>
      <c r="K608" s="11" t="str">
        <f ca="1">IFERROR(__xludf.DUMMYFUNCTION("SPLIT(J608,"";"")"),"Gouveia, L. ")</f>
        <v xml:space="preserve">Gouveia, L. </v>
      </c>
      <c r="L608" s="10"/>
      <c r="M608" s="10"/>
      <c r="N608" s="10"/>
      <c r="O608" s="10"/>
      <c r="P608" s="10"/>
      <c r="Q608" s="10"/>
      <c r="R608" s="10"/>
      <c r="S608" s="10"/>
      <c r="T608" s="10"/>
      <c r="U608" s="10"/>
      <c r="V608" s="10"/>
      <c r="W608" s="10"/>
      <c r="X608" s="10"/>
      <c r="Y608" s="10"/>
      <c r="Z608" s="10"/>
    </row>
    <row r="609" spans="1:26" ht="17.25" customHeight="1" x14ac:dyDescent="0.3">
      <c r="A609" s="10" t="s">
        <v>739</v>
      </c>
      <c r="B609" s="10">
        <f t="shared" si="0"/>
        <v>13</v>
      </c>
      <c r="C609" s="8" t="str">
        <f t="shared" si="1"/>
        <v xml:space="preserve">Gouveia, L. </v>
      </c>
      <c r="D609" s="8" t="str">
        <f t="shared" si="2"/>
        <v>2003</v>
      </c>
      <c r="E609" s="10">
        <f t="shared" si="3"/>
        <v>18</v>
      </c>
      <c r="F609" s="10">
        <f t="shared" si="4"/>
        <v>79</v>
      </c>
      <c r="G609" s="8" t="str">
        <f t="shared" si="5"/>
        <v xml:space="preserve"> Cidades e Regiões Digitais: questões e desafios no Digital. </v>
      </c>
      <c r="H609" s="10" t="str">
        <f t="shared" si="6"/>
        <v xml:space="preserve">Gouveia, L. </v>
      </c>
      <c r="I609" s="10" t="str">
        <f t="shared" si="7"/>
        <v xml:space="preserve">Gouveia, L. </v>
      </c>
      <c r="J609" s="10" t="str">
        <f t="shared" si="8"/>
        <v xml:space="preserve">Gouveia, L. </v>
      </c>
      <c r="K609" s="11" t="str">
        <f ca="1">IFERROR(__xludf.DUMMYFUNCTION("SPLIT(J609,"";"")"),"Gouveia, L. ")</f>
        <v xml:space="preserve">Gouveia, L. </v>
      </c>
      <c r="L609" s="10"/>
      <c r="M609" s="10"/>
      <c r="N609" s="10"/>
      <c r="O609" s="10"/>
      <c r="P609" s="10"/>
      <c r="Q609" s="10"/>
      <c r="R609" s="10"/>
      <c r="S609" s="10"/>
      <c r="T609" s="10"/>
      <c r="U609" s="10"/>
      <c r="V609" s="10"/>
      <c r="W609" s="10"/>
      <c r="X609" s="10"/>
      <c r="Y609" s="10"/>
      <c r="Z609" s="10"/>
    </row>
    <row r="610" spans="1:26" ht="17.25" customHeight="1" x14ac:dyDescent="0.3">
      <c r="A610" s="10" t="s">
        <v>740</v>
      </c>
      <c r="B610" s="10">
        <f t="shared" si="0"/>
        <v>13</v>
      </c>
      <c r="C610" s="8" t="str">
        <f t="shared" si="1"/>
        <v xml:space="preserve">Gouveia, L. </v>
      </c>
      <c r="D610" s="8" t="str">
        <f t="shared" si="2"/>
        <v>2003</v>
      </c>
      <c r="E610" s="10">
        <f t="shared" si="3"/>
        <v>18</v>
      </c>
      <c r="F610" s="10">
        <f t="shared" si="4"/>
        <v>71</v>
      </c>
      <c r="G610" s="8" t="str">
        <f t="shared" si="5"/>
        <v xml:space="preserve"> As cidades digitais e o Gaia Global: o método NVAT. </v>
      </c>
      <c r="H610" s="10" t="str">
        <f t="shared" si="6"/>
        <v xml:space="preserve">Gouveia, L. </v>
      </c>
      <c r="I610" s="10" t="str">
        <f t="shared" si="7"/>
        <v xml:space="preserve">Gouveia, L. </v>
      </c>
      <c r="J610" s="10" t="str">
        <f t="shared" si="8"/>
        <v xml:space="preserve">Gouveia, L. </v>
      </c>
      <c r="K610" s="11" t="str">
        <f ca="1">IFERROR(__xludf.DUMMYFUNCTION("SPLIT(J610,"";"")"),"Gouveia, L. ")</f>
        <v xml:space="preserve">Gouveia, L. </v>
      </c>
      <c r="L610" s="10"/>
      <c r="M610" s="10"/>
      <c r="N610" s="10"/>
      <c r="O610" s="10"/>
      <c r="P610" s="10"/>
      <c r="Q610" s="10"/>
      <c r="R610" s="10"/>
      <c r="S610" s="10"/>
      <c r="T610" s="10"/>
      <c r="U610" s="10"/>
      <c r="V610" s="10"/>
      <c r="W610" s="10"/>
      <c r="X610" s="10"/>
      <c r="Y610" s="10"/>
      <c r="Z610" s="10"/>
    </row>
    <row r="611" spans="1:26" ht="17.25" customHeight="1" x14ac:dyDescent="0.3">
      <c r="A611" s="10" t="s">
        <v>741</v>
      </c>
      <c r="B611" s="10">
        <f t="shared" si="0"/>
        <v>13</v>
      </c>
      <c r="C611" s="8" t="str">
        <f t="shared" si="1"/>
        <v xml:space="preserve">Gouveia, L. </v>
      </c>
      <c r="D611" s="8" t="str">
        <f t="shared" si="2"/>
        <v>2003</v>
      </c>
      <c r="E611" s="10">
        <f t="shared" si="3"/>
        <v>18</v>
      </c>
      <c r="F611" s="10">
        <f t="shared" si="4"/>
        <v>56</v>
      </c>
      <c r="G611" s="8" t="str">
        <f t="shared" si="5"/>
        <v xml:space="preserve"> As cidades digitais e o Gaia Global. </v>
      </c>
      <c r="H611" s="10" t="str">
        <f t="shared" si="6"/>
        <v xml:space="preserve">Gouveia, L. </v>
      </c>
      <c r="I611" s="10" t="str">
        <f t="shared" si="7"/>
        <v xml:space="preserve">Gouveia, L. </v>
      </c>
      <c r="J611" s="10" t="str">
        <f t="shared" si="8"/>
        <v xml:space="preserve">Gouveia, L. </v>
      </c>
      <c r="K611" s="11" t="str">
        <f ca="1">IFERROR(__xludf.DUMMYFUNCTION("SPLIT(J611,"";"")"),"Gouveia, L. ")</f>
        <v xml:space="preserve">Gouveia, L. </v>
      </c>
      <c r="L611" s="10"/>
      <c r="M611" s="10"/>
      <c r="N611" s="10"/>
      <c r="O611" s="10"/>
      <c r="P611" s="10"/>
      <c r="Q611" s="10"/>
      <c r="R611" s="10"/>
      <c r="S611" s="10"/>
      <c r="T611" s="10"/>
      <c r="U611" s="10"/>
      <c r="V611" s="10"/>
      <c r="W611" s="10"/>
      <c r="X611" s="10"/>
      <c r="Y611" s="10"/>
      <c r="Z611" s="10"/>
    </row>
    <row r="612" spans="1:26" ht="17.25" customHeight="1" x14ac:dyDescent="0.3">
      <c r="A612" s="10" t="s">
        <v>742</v>
      </c>
      <c r="B612" s="10">
        <f t="shared" si="0"/>
        <v>13</v>
      </c>
      <c r="C612" s="8" t="str">
        <f t="shared" si="1"/>
        <v xml:space="preserve">Gouveia, L. </v>
      </c>
      <c r="D612" s="8" t="str">
        <f t="shared" si="2"/>
        <v>2003</v>
      </c>
      <c r="E612" s="10">
        <f t="shared" si="3"/>
        <v>18</v>
      </c>
      <c r="F612" s="10">
        <f t="shared" si="4"/>
        <v>61</v>
      </c>
      <c r="G612" s="8" t="str">
        <f t="shared" si="5"/>
        <v xml:space="preserve"> O Gaia Global: conceitos e diferenciação. </v>
      </c>
      <c r="H612" s="10" t="str">
        <f t="shared" si="6"/>
        <v xml:space="preserve">Gouveia, L. </v>
      </c>
      <c r="I612" s="10" t="str">
        <f t="shared" si="7"/>
        <v xml:space="preserve">Gouveia, L. </v>
      </c>
      <c r="J612" s="10" t="str">
        <f t="shared" si="8"/>
        <v xml:space="preserve">Gouveia, L. </v>
      </c>
      <c r="K612" s="11" t="str">
        <f ca="1">IFERROR(__xludf.DUMMYFUNCTION("SPLIT(J612,"";"")"),"Gouveia, L. ")</f>
        <v xml:space="preserve">Gouveia, L. </v>
      </c>
      <c r="L612" s="10"/>
      <c r="M612" s="10"/>
      <c r="N612" s="10"/>
      <c r="O612" s="10"/>
      <c r="P612" s="10"/>
      <c r="Q612" s="10"/>
      <c r="R612" s="10"/>
      <c r="S612" s="10"/>
      <c r="T612" s="10"/>
      <c r="U612" s="10"/>
      <c r="V612" s="10"/>
      <c r="W612" s="10"/>
      <c r="X612" s="10"/>
      <c r="Y612" s="10"/>
      <c r="Z612" s="10"/>
    </row>
    <row r="613" spans="1:26" ht="17.25" customHeight="1" x14ac:dyDescent="0.3">
      <c r="A613" s="10" t="s">
        <v>743</v>
      </c>
      <c r="B613" s="10">
        <f t="shared" si="0"/>
        <v>13</v>
      </c>
      <c r="C613" s="8" t="str">
        <f t="shared" si="1"/>
        <v xml:space="preserve">Gouveia, L. </v>
      </c>
      <c r="D613" s="8" t="str">
        <f t="shared" si="2"/>
        <v>2003</v>
      </c>
      <c r="E613" s="10">
        <f t="shared" si="3"/>
        <v>18</v>
      </c>
      <c r="F613" s="10">
        <f t="shared" si="4"/>
        <v>61</v>
      </c>
      <c r="G613" s="8" t="str">
        <f t="shared" si="5"/>
        <v xml:space="preserve"> Gaia Digital, Ligar o real com o virtual. </v>
      </c>
      <c r="H613" s="10" t="str">
        <f t="shared" si="6"/>
        <v xml:space="preserve">Gouveia, L. </v>
      </c>
      <c r="I613" s="10" t="str">
        <f t="shared" si="7"/>
        <v xml:space="preserve">Gouveia, L. </v>
      </c>
      <c r="J613" s="10" t="str">
        <f t="shared" si="8"/>
        <v xml:space="preserve">Gouveia, L. </v>
      </c>
      <c r="K613" s="11" t="str">
        <f ca="1">IFERROR(__xludf.DUMMYFUNCTION("SPLIT(J613,"";"")"),"Gouveia, L. ")</f>
        <v xml:space="preserve">Gouveia, L. </v>
      </c>
      <c r="L613" s="10"/>
      <c r="M613" s="10"/>
      <c r="N613" s="10"/>
      <c r="O613" s="10"/>
      <c r="P613" s="10"/>
      <c r="Q613" s="10"/>
      <c r="R613" s="10"/>
      <c r="S613" s="10"/>
      <c r="T613" s="10"/>
      <c r="U613" s="10"/>
      <c r="V613" s="10"/>
      <c r="W613" s="10"/>
      <c r="X613" s="10"/>
      <c r="Y613" s="10"/>
      <c r="Z613" s="10"/>
    </row>
    <row r="614" spans="1:26" ht="17.25" customHeight="1" x14ac:dyDescent="0.3">
      <c r="A614" s="10" t="s">
        <v>744</v>
      </c>
      <c r="B614" s="10">
        <f t="shared" si="0"/>
        <v>13</v>
      </c>
      <c r="C614" s="8" t="str">
        <f t="shared" si="1"/>
        <v xml:space="preserve">Gouveia, L. </v>
      </c>
      <c r="D614" s="8" t="str">
        <f t="shared" si="2"/>
        <v>2003</v>
      </c>
      <c r="E614" s="10">
        <f t="shared" si="3"/>
        <v>18</v>
      </c>
      <c r="F614" s="10">
        <f t="shared" si="4"/>
        <v>61</v>
      </c>
      <c r="G614" s="8" t="str">
        <f t="shared" si="5"/>
        <v xml:space="preserve"> Cidades Digitais: o caso do Gaia Digital. </v>
      </c>
      <c r="H614" s="10" t="str">
        <f t="shared" si="6"/>
        <v xml:space="preserve">Gouveia, L. </v>
      </c>
      <c r="I614" s="10" t="str">
        <f t="shared" si="7"/>
        <v xml:space="preserve">Gouveia, L. </v>
      </c>
      <c r="J614" s="10" t="str">
        <f t="shared" si="8"/>
        <v xml:space="preserve">Gouveia, L. </v>
      </c>
      <c r="K614" s="11" t="str">
        <f ca="1">IFERROR(__xludf.DUMMYFUNCTION("SPLIT(J614,"";"")"),"Gouveia, L. ")</f>
        <v xml:space="preserve">Gouveia, L. </v>
      </c>
      <c r="L614" s="10"/>
      <c r="M614" s="10"/>
      <c r="N614" s="10"/>
      <c r="O614" s="10"/>
      <c r="P614" s="10"/>
      <c r="Q614" s="10"/>
      <c r="R614" s="10"/>
      <c r="S614" s="10"/>
      <c r="T614" s="10"/>
      <c r="U614" s="10"/>
      <c r="V614" s="10"/>
      <c r="W614" s="10"/>
      <c r="X614" s="10"/>
      <c r="Y614" s="10"/>
      <c r="Z614" s="10"/>
    </row>
    <row r="615" spans="1:26" ht="17.25" customHeight="1" x14ac:dyDescent="0.3">
      <c r="A615" s="10" t="s">
        <v>745</v>
      </c>
      <c r="B615" s="10">
        <f t="shared" si="0"/>
        <v>13</v>
      </c>
      <c r="C615" s="8" t="str">
        <f t="shared" si="1"/>
        <v xml:space="preserve">Gouveia, L. </v>
      </c>
      <c r="D615" s="8" t="str">
        <f t="shared" si="2"/>
        <v>2003</v>
      </c>
      <c r="E615" s="10">
        <f t="shared" si="3"/>
        <v>18</v>
      </c>
      <c r="F615" s="10">
        <f t="shared" si="4"/>
        <v>51</v>
      </c>
      <c r="G615" s="8" t="str">
        <f t="shared" si="5"/>
        <v xml:space="preserve"> Do Gaia Digital ao Gaia Global. </v>
      </c>
      <c r="H615" s="10" t="str">
        <f t="shared" si="6"/>
        <v xml:space="preserve">Gouveia, L. </v>
      </c>
      <c r="I615" s="10" t="str">
        <f t="shared" si="7"/>
        <v xml:space="preserve">Gouveia, L. </v>
      </c>
      <c r="J615" s="10" t="str">
        <f t="shared" si="8"/>
        <v xml:space="preserve">Gouveia, L. </v>
      </c>
      <c r="K615" s="11" t="str">
        <f ca="1">IFERROR(__xludf.DUMMYFUNCTION("SPLIT(J615,"";"")"),"Gouveia, L. ")</f>
        <v xml:space="preserve">Gouveia, L. </v>
      </c>
      <c r="L615" s="10"/>
      <c r="M615" s="10"/>
      <c r="N615" s="10"/>
      <c r="O615" s="10"/>
      <c r="P615" s="10"/>
      <c r="Q615" s="10"/>
      <c r="R615" s="10"/>
      <c r="S615" s="10"/>
      <c r="T615" s="10"/>
      <c r="U615" s="10"/>
      <c r="V615" s="10"/>
      <c r="W615" s="10"/>
      <c r="X615" s="10"/>
      <c r="Y615" s="10"/>
      <c r="Z615" s="10"/>
    </row>
    <row r="616" spans="1:26" ht="17.25" customHeight="1" x14ac:dyDescent="0.3">
      <c r="A616" s="10" t="s">
        <v>746</v>
      </c>
      <c r="B616" s="10">
        <f t="shared" si="0"/>
        <v>13</v>
      </c>
      <c r="C616" s="8" t="str">
        <f t="shared" si="1"/>
        <v xml:space="preserve">Gouveia, L. </v>
      </c>
      <c r="D616" s="8" t="str">
        <f t="shared" si="2"/>
        <v>2002</v>
      </c>
      <c r="E616" s="10">
        <f t="shared" si="3"/>
        <v>18</v>
      </c>
      <c r="F616" s="10">
        <f t="shared" si="4"/>
        <v>75</v>
      </c>
      <c r="G616" s="8" t="str">
        <f t="shared" si="5"/>
        <v xml:space="preserve"> Projecto Gaia Digital, do modelo ao método de trabalho. </v>
      </c>
      <c r="H616" s="10" t="str">
        <f t="shared" si="6"/>
        <v xml:space="preserve">Gouveia, L. </v>
      </c>
      <c r="I616" s="10" t="str">
        <f t="shared" si="7"/>
        <v xml:space="preserve">Gouveia, L. </v>
      </c>
      <c r="J616" s="10" t="str">
        <f t="shared" si="8"/>
        <v xml:space="preserve">Gouveia, L. </v>
      </c>
      <c r="K616" s="11" t="str">
        <f ca="1">IFERROR(__xludf.DUMMYFUNCTION("SPLIT(J616,"";"")"),"Gouveia, L. ")</f>
        <v xml:space="preserve">Gouveia, L. </v>
      </c>
      <c r="L616" s="10"/>
      <c r="M616" s="10"/>
      <c r="N616" s="10"/>
      <c r="O616" s="10"/>
      <c r="P616" s="10"/>
      <c r="Q616" s="10"/>
      <c r="R616" s="10"/>
      <c r="S616" s="10"/>
      <c r="T616" s="10"/>
      <c r="U616" s="10"/>
      <c r="V616" s="10"/>
      <c r="W616" s="10"/>
      <c r="X616" s="10"/>
      <c r="Y616" s="10"/>
      <c r="Z616" s="10"/>
    </row>
    <row r="617" spans="1:26" ht="17.25" customHeight="1" x14ac:dyDescent="0.3">
      <c r="A617" s="10" t="s">
        <v>747</v>
      </c>
      <c r="B617" s="10">
        <f t="shared" si="0"/>
        <v>13</v>
      </c>
      <c r="C617" s="8" t="str">
        <f t="shared" si="1"/>
        <v xml:space="preserve">Gouveia, L. </v>
      </c>
      <c r="D617" s="8" t="str">
        <f t="shared" si="2"/>
        <v>2002</v>
      </c>
      <c r="E617" s="10">
        <f t="shared" si="3"/>
        <v>18</v>
      </c>
      <c r="F617" s="10">
        <f t="shared" si="4"/>
        <v>80</v>
      </c>
      <c r="G617" s="8" t="str">
        <f t="shared" si="5"/>
        <v xml:space="preserve"> Projecto Gaia Digital, o concelho de Gaia no espaço digital. </v>
      </c>
      <c r="H617" s="10" t="str">
        <f t="shared" si="6"/>
        <v xml:space="preserve">Gouveia, L. </v>
      </c>
      <c r="I617" s="10" t="str">
        <f t="shared" si="7"/>
        <v xml:space="preserve">Gouveia, L. </v>
      </c>
      <c r="J617" s="10" t="str">
        <f t="shared" si="8"/>
        <v xml:space="preserve">Gouveia, L. </v>
      </c>
      <c r="K617" s="11" t="str">
        <f ca="1">IFERROR(__xludf.DUMMYFUNCTION("SPLIT(J617,"";"")"),"Gouveia, L. ")</f>
        <v xml:space="preserve">Gouveia, L. </v>
      </c>
      <c r="L617" s="10"/>
      <c r="M617" s="10"/>
      <c r="N617" s="10"/>
      <c r="O617" s="10"/>
      <c r="P617" s="10"/>
      <c r="Q617" s="10"/>
      <c r="R617" s="10"/>
      <c r="S617" s="10"/>
      <c r="T617" s="10"/>
      <c r="U617" s="10"/>
      <c r="V617" s="10"/>
      <c r="W617" s="10"/>
      <c r="X617" s="10"/>
      <c r="Y617" s="10"/>
      <c r="Z617" s="10"/>
    </row>
    <row r="618" spans="1:26" ht="17.25" customHeight="1" x14ac:dyDescent="0.3">
      <c r="A618" s="10" t="s">
        <v>748</v>
      </c>
      <c r="B618" s="10">
        <f t="shared" si="0"/>
        <v>13</v>
      </c>
      <c r="C618" s="8" t="str">
        <f t="shared" si="1"/>
        <v xml:space="preserve">Gouveia, L. </v>
      </c>
      <c r="D618" s="8" t="str">
        <f t="shared" si="2"/>
        <v>2002</v>
      </c>
      <c r="E618" s="10">
        <f t="shared" si="3"/>
        <v>18</v>
      </c>
      <c r="F618" s="10">
        <f t="shared" si="4"/>
        <v>54</v>
      </c>
      <c r="G618" s="8" t="str">
        <f t="shared" si="5"/>
        <v xml:space="preserve"> Gaia Digital: um cálice de ideias. </v>
      </c>
      <c r="H618" s="10" t="str">
        <f t="shared" si="6"/>
        <v xml:space="preserve">Gouveia, L. </v>
      </c>
      <c r="I618" s="10" t="str">
        <f t="shared" si="7"/>
        <v xml:space="preserve">Gouveia, L. </v>
      </c>
      <c r="J618" s="10" t="str">
        <f t="shared" si="8"/>
        <v xml:space="preserve">Gouveia, L. </v>
      </c>
      <c r="K618" s="11" t="str">
        <f ca="1">IFERROR(__xludf.DUMMYFUNCTION("SPLIT(J618,"";"")"),"Gouveia, L. ")</f>
        <v xml:space="preserve">Gouveia, L. </v>
      </c>
      <c r="L618" s="10"/>
      <c r="M618" s="10"/>
      <c r="N618" s="10"/>
      <c r="O618" s="10"/>
      <c r="P618" s="10"/>
      <c r="Q618" s="10"/>
      <c r="R618" s="10"/>
      <c r="S618" s="10"/>
      <c r="T618" s="10"/>
      <c r="U618" s="10"/>
      <c r="V618" s="10"/>
      <c r="W618" s="10"/>
      <c r="X618" s="10"/>
      <c r="Y618" s="10"/>
      <c r="Z618" s="10"/>
    </row>
    <row r="619" spans="1:26" ht="17.25" customHeight="1" x14ac:dyDescent="0.3">
      <c r="A619" s="10" t="s">
        <v>749</v>
      </c>
      <c r="B619" s="10">
        <f t="shared" si="0"/>
        <v>13</v>
      </c>
      <c r="C619" s="8" t="str">
        <f t="shared" si="1"/>
        <v xml:space="preserve">Gouveia, L. </v>
      </c>
      <c r="D619" s="8" t="str">
        <f t="shared" si="2"/>
        <v>2002</v>
      </c>
      <c r="E619" s="10">
        <f t="shared" si="3"/>
        <v>18</v>
      </c>
      <c r="F619" s="10">
        <f t="shared" si="4"/>
        <v>89</v>
      </c>
      <c r="G619" s="8" t="str">
        <f t="shared" si="5"/>
        <v xml:space="preserve"> Sociedade da informação: desafios e oportunidades para as autarquias. </v>
      </c>
      <c r="H619" s="10" t="str">
        <f t="shared" si="6"/>
        <v xml:space="preserve">Gouveia, L. </v>
      </c>
      <c r="I619" s="10" t="str">
        <f t="shared" si="7"/>
        <v xml:space="preserve">Gouveia, L. </v>
      </c>
      <c r="J619" s="10" t="str">
        <f t="shared" si="8"/>
        <v xml:space="preserve">Gouveia, L. </v>
      </c>
      <c r="K619" s="11" t="str">
        <f ca="1">IFERROR(__xludf.DUMMYFUNCTION("SPLIT(J619,"";"")"),"Gouveia, L. ")</f>
        <v xml:space="preserve">Gouveia, L. </v>
      </c>
      <c r="L619" s="10"/>
      <c r="M619" s="10"/>
      <c r="N619" s="10"/>
      <c r="O619" s="10"/>
      <c r="P619" s="10"/>
      <c r="Q619" s="10"/>
      <c r="R619" s="10"/>
      <c r="S619" s="10"/>
      <c r="T619" s="10"/>
      <c r="U619" s="10"/>
      <c r="V619" s="10"/>
      <c r="W619" s="10"/>
      <c r="X619" s="10"/>
      <c r="Y619" s="10"/>
      <c r="Z619" s="10"/>
    </row>
    <row r="620" spans="1:26" ht="17.25" customHeight="1" x14ac:dyDescent="0.3">
      <c r="A620" s="10" t="s">
        <v>750</v>
      </c>
      <c r="B620" s="10">
        <f t="shared" si="0"/>
        <v>13</v>
      </c>
      <c r="C620" s="8" t="str">
        <f t="shared" si="1"/>
        <v xml:space="preserve">Gouveia, L. </v>
      </c>
      <c r="D620" s="8" t="str">
        <f t="shared" si="2"/>
        <v>2002</v>
      </c>
      <c r="E620" s="10">
        <f t="shared" si="3"/>
        <v>18</v>
      </c>
      <c r="F620" s="10">
        <f t="shared" si="4"/>
        <v>59</v>
      </c>
      <c r="G620" s="8" t="str">
        <f t="shared" si="5"/>
        <v xml:space="preserve"> Ensinar a aprender, ensinar e aprender. </v>
      </c>
      <c r="H620" s="10" t="str">
        <f t="shared" si="6"/>
        <v xml:space="preserve">Gouveia, L. </v>
      </c>
      <c r="I620" s="10" t="str">
        <f t="shared" si="7"/>
        <v xml:space="preserve">Gouveia, L. </v>
      </c>
      <c r="J620" s="10" t="str">
        <f t="shared" si="8"/>
        <v xml:space="preserve">Gouveia, L. </v>
      </c>
      <c r="K620" s="11" t="str">
        <f ca="1">IFERROR(__xludf.DUMMYFUNCTION("SPLIT(J620,"";"")"),"Gouveia, L. ")</f>
        <v xml:space="preserve">Gouveia, L. </v>
      </c>
      <c r="L620" s="10"/>
      <c r="M620" s="10"/>
      <c r="N620" s="10"/>
      <c r="O620" s="10"/>
      <c r="P620" s="10"/>
      <c r="Q620" s="10"/>
      <c r="R620" s="10"/>
      <c r="S620" s="10"/>
      <c r="T620" s="10"/>
      <c r="U620" s="10"/>
      <c r="V620" s="10"/>
      <c r="W620" s="10"/>
      <c r="X620" s="10"/>
      <c r="Y620" s="10"/>
      <c r="Z620" s="10"/>
    </row>
    <row r="621" spans="1:26" ht="17.25" customHeight="1" x14ac:dyDescent="0.3">
      <c r="A621" s="10" t="s">
        <v>751</v>
      </c>
      <c r="B621" s="10">
        <f t="shared" si="0"/>
        <v>13</v>
      </c>
      <c r="C621" s="8" t="str">
        <f t="shared" si="1"/>
        <v xml:space="preserve">Gouveia, L. </v>
      </c>
      <c r="D621" s="8" t="str">
        <f t="shared" si="2"/>
        <v>2002</v>
      </c>
      <c r="E621" s="10">
        <f t="shared" si="3"/>
        <v>18</v>
      </c>
      <c r="F621" s="10">
        <f t="shared" si="4"/>
        <v>42</v>
      </c>
      <c r="G621" s="8" t="str">
        <f t="shared" si="5"/>
        <v xml:space="preserve"> Projecto Gaia Digital. </v>
      </c>
      <c r="H621" s="10" t="str">
        <f t="shared" si="6"/>
        <v xml:space="preserve">Gouveia, L. </v>
      </c>
      <c r="I621" s="10" t="str">
        <f t="shared" si="7"/>
        <v xml:space="preserve">Gouveia, L. </v>
      </c>
      <c r="J621" s="10" t="str">
        <f t="shared" si="8"/>
        <v xml:space="preserve">Gouveia, L. </v>
      </c>
      <c r="K621" s="11" t="str">
        <f ca="1">IFERROR(__xludf.DUMMYFUNCTION("SPLIT(J621,"";"")"),"Gouveia, L. ")</f>
        <v xml:space="preserve">Gouveia, L. </v>
      </c>
      <c r="L621" s="10"/>
      <c r="M621" s="10"/>
      <c r="N621" s="10"/>
      <c r="O621" s="10"/>
      <c r="P621" s="10"/>
      <c r="Q621" s="10"/>
      <c r="R621" s="10"/>
      <c r="S621" s="10"/>
      <c r="T621" s="10"/>
      <c r="U621" s="10"/>
      <c r="V621" s="10"/>
      <c r="W621" s="10"/>
      <c r="X621" s="10"/>
      <c r="Y621" s="10"/>
      <c r="Z621" s="10"/>
    </row>
    <row r="622" spans="1:26" ht="17.25" customHeight="1" x14ac:dyDescent="0.3">
      <c r="A622" s="10" t="s">
        <v>749</v>
      </c>
      <c r="B622" s="10">
        <f t="shared" si="0"/>
        <v>13</v>
      </c>
      <c r="C622" s="8" t="str">
        <f t="shared" si="1"/>
        <v xml:space="preserve">Gouveia, L. </v>
      </c>
      <c r="D622" s="8" t="str">
        <f t="shared" si="2"/>
        <v>2002</v>
      </c>
      <c r="E622" s="10">
        <f t="shared" si="3"/>
        <v>18</v>
      </c>
      <c r="F622" s="10">
        <f t="shared" si="4"/>
        <v>89</v>
      </c>
      <c r="G622" s="8" t="str">
        <f t="shared" si="5"/>
        <v xml:space="preserve"> Sociedade da informação: desafios e oportunidades para as autarquias. </v>
      </c>
      <c r="H622" s="10" t="str">
        <f t="shared" si="6"/>
        <v xml:space="preserve">Gouveia, L. </v>
      </c>
      <c r="I622" s="10" t="str">
        <f t="shared" si="7"/>
        <v xml:space="preserve">Gouveia, L. </v>
      </c>
      <c r="J622" s="10" t="str">
        <f t="shared" si="8"/>
        <v xml:space="preserve">Gouveia, L. </v>
      </c>
      <c r="K622" s="11" t="str">
        <f ca="1">IFERROR(__xludf.DUMMYFUNCTION("SPLIT(J622,"";"")"),"Gouveia, L. ")</f>
        <v xml:space="preserve">Gouveia, L. </v>
      </c>
      <c r="L622" s="10"/>
      <c r="M622" s="10"/>
      <c r="N622" s="10"/>
      <c r="O622" s="10"/>
      <c r="P622" s="10"/>
      <c r="Q622" s="10"/>
      <c r="R622" s="10"/>
      <c r="S622" s="10"/>
      <c r="T622" s="10"/>
      <c r="U622" s="10"/>
      <c r="V622" s="10"/>
      <c r="W622" s="10"/>
      <c r="X622" s="10"/>
      <c r="Y622" s="10"/>
      <c r="Z622" s="10"/>
    </row>
    <row r="623" spans="1:26" ht="17.25" customHeight="1" x14ac:dyDescent="0.3">
      <c r="A623" s="10" t="s">
        <v>752</v>
      </c>
      <c r="B623" s="10">
        <f t="shared" si="0"/>
        <v>13</v>
      </c>
      <c r="C623" s="8" t="str">
        <f t="shared" si="1"/>
        <v xml:space="preserve">Gouveia, L. </v>
      </c>
      <c r="D623" s="8" t="str">
        <f t="shared" si="2"/>
        <v>1999</v>
      </c>
      <c r="E623" s="10">
        <f t="shared" si="3"/>
        <v>18</v>
      </c>
      <c r="F623" s="10">
        <f t="shared" si="4"/>
        <v>99</v>
      </c>
      <c r="G623" s="8" t="str">
        <f t="shared" si="5"/>
        <v xml:space="preserve"> CELTIC - Collaborative Electronic Language Translation for Information Control. </v>
      </c>
      <c r="H623" s="10" t="str">
        <f t="shared" si="6"/>
        <v xml:space="preserve">Gouveia, L. </v>
      </c>
      <c r="I623" s="10" t="str">
        <f t="shared" si="7"/>
        <v xml:space="preserve">Gouveia, L. </v>
      </c>
      <c r="J623" s="10" t="str">
        <f t="shared" si="8"/>
        <v xml:space="preserve">Gouveia, L. </v>
      </c>
      <c r="K623" s="11" t="str">
        <f ca="1">IFERROR(__xludf.DUMMYFUNCTION("SPLIT(J623,"";"")"),"Gouveia, L. ")</f>
        <v xml:space="preserve">Gouveia, L. </v>
      </c>
      <c r="L623" s="10"/>
      <c r="M623" s="10"/>
      <c r="N623" s="10"/>
      <c r="O623" s="10"/>
      <c r="P623" s="10"/>
      <c r="Q623" s="10"/>
      <c r="R623" s="10"/>
      <c r="S623" s="10"/>
      <c r="T623" s="10"/>
      <c r="U623" s="10"/>
      <c r="V623" s="10"/>
      <c r="W623" s="10"/>
      <c r="X623" s="10"/>
      <c r="Y623" s="10"/>
      <c r="Z623" s="10"/>
    </row>
    <row r="624" spans="1:26" ht="17.25" customHeight="1" x14ac:dyDescent="0.3">
      <c r="A624" s="10" t="s">
        <v>753</v>
      </c>
      <c r="B624" s="10">
        <f t="shared" si="0"/>
        <v>13</v>
      </c>
      <c r="C624" s="8" t="str">
        <f t="shared" si="1"/>
        <v xml:space="preserve">Gouveia, L. </v>
      </c>
      <c r="D624" s="8" t="str">
        <f t="shared" si="2"/>
        <v>1999</v>
      </c>
      <c r="E624" s="10">
        <f t="shared" si="3"/>
        <v>18</v>
      </c>
      <c r="F624" s="10">
        <f t="shared" si="4"/>
        <v>44</v>
      </c>
      <c r="G624" s="8" t="str">
        <f t="shared" si="5"/>
        <v xml:space="preserve"> Internet e Teletrabalho. </v>
      </c>
      <c r="H624" s="10" t="str">
        <f t="shared" si="6"/>
        <v xml:space="preserve">Gouveia, L. </v>
      </c>
      <c r="I624" s="10" t="str">
        <f t="shared" si="7"/>
        <v xml:space="preserve">Gouveia, L. </v>
      </c>
      <c r="J624" s="10" t="str">
        <f t="shared" si="8"/>
        <v xml:space="preserve">Gouveia, L. </v>
      </c>
      <c r="K624" s="11" t="str">
        <f ca="1">IFERROR(__xludf.DUMMYFUNCTION("SPLIT(J624,"";"")"),"Gouveia, L. ")</f>
        <v xml:space="preserve">Gouveia, L. </v>
      </c>
      <c r="L624" s="10"/>
      <c r="M624" s="10"/>
      <c r="N624" s="10"/>
      <c r="O624" s="10"/>
      <c r="P624" s="10"/>
      <c r="Q624" s="10"/>
      <c r="R624" s="10"/>
      <c r="S624" s="10"/>
      <c r="T624" s="10"/>
      <c r="U624" s="10"/>
      <c r="V624" s="10"/>
      <c r="W624" s="10"/>
      <c r="X624" s="10"/>
      <c r="Y624" s="10"/>
      <c r="Z624" s="10"/>
    </row>
    <row r="625" spans="1:26" ht="17.25" customHeight="1" x14ac:dyDescent="0.3">
      <c r="A625" s="10" t="s">
        <v>754</v>
      </c>
      <c r="B625" s="10">
        <f t="shared" si="0"/>
        <v>13</v>
      </c>
      <c r="C625" s="8" t="str">
        <f t="shared" si="1"/>
        <v xml:space="preserve">Gouveia, L. </v>
      </c>
      <c r="D625" s="8" t="str">
        <f t="shared" si="2"/>
        <v>1999</v>
      </c>
      <c r="E625" s="10">
        <f t="shared" si="3"/>
        <v>18</v>
      </c>
      <c r="F625" s="10">
        <f t="shared" si="4"/>
        <v>63</v>
      </c>
      <c r="G625" s="8" t="str">
        <f t="shared" si="5"/>
        <v xml:space="preserve"> As tecnologias de informação e comunicação. </v>
      </c>
      <c r="H625" s="10" t="str">
        <f t="shared" si="6"/>
        <v xml:space="preserve">Gouveia, L. </v>
      </c>
      <c r="I625" s="10" t="str">
        <f t="shared" si="7"/>
        <v xml:space="preserve">Gouveia, L. </v>
      </c>
      <c r="J625" s="10" t="str">
        <f t="shared" si="8"/>
        <v xml:space="preserve">Gouveia, L. </v>
      </c>
      <c r="K625" s="11" t="str">
        <f ca="1">IFERROR(__xludf.DUMMYFUNCTION("SPLIT(J625,"";"")"),"Gouveia, L. ")</f>
        <v xml:space="preserve">Gouveia, L. </v>
      </c>
      <c r="L625" s="10"/>
      <c r="M625" s="10"/>
      <c r="N625" s="10"/>
      <c r="O625" s="10"/>
      <c r="P625" s="10"/>
      <c r="Q625" s="10"/>
      <c r="R625" s="10"/>
      <c r="S625" s="10"/>
      <c r="T625" s="10"/>
      <c r="U625" s="10"/>
      <c r="V625" s="10"/>
      <c r="W625" s="10"/>
      <c r="X625" s="10"/>
      <c r="Y625" s="10"/>
      <c r="Z625" s="10"/>
    </row>
    <row r="626" spans="1:26" ht="17.25" customHeight="1" x14ac:dyDescent="0.3">
      <c r="A626" s="10" t="s">
        <v>755</v>
      </c>
      <c r="B626" s="10">
        <f t="shared" si="0"/>
        <v>13</v>
      </c>
      <c r="C626" s="8" t="str">
        <f t="shared" si="1"/>
        <v xml:space="preserve">Gouveia, L. </v>
      </c>
      <c r="D626" s="8" t="str">
        <f t="shared" si="2"/>
        <v>1998</v>
      </c>
      <c r="E626" s="10">
        <f t="shared" si="3"/>
        <v>18</v>
      </c>
      <c r="F626" s="10">
        <f t="shared" si="4"/>
        <v>180</v>
      </c>
      <c r="G626" s="8" t="str">
        <f t="shared" si="5"/>
        <v xml:space="preserve"> Actividade desenvolvida no âmbito do projecto dos portáteis
Departamento de Informática da Universidade do Minho, Polo de Guimarães, (apresentação por convite). </v>
      </c>
      <c r="H626" s="10" t="str">
        <f t="shared" si="6"/>
        <v xml:space="preserve">Gouveia, L. </v>
      </c>
      <c r="I626" s="10" t="str">
        <f t="shared" si="7"/>
        <v xml:space="preserve">Gouveia, L. </v>
      </c>
      <c r="J626" s="10" t="str">
        <f t="shared" si="8"/>
        <v xml:space="preserve">Gouveia, L. </v>
      </c>
      <c r="K626" s="11" t="str">
        <f ca="1">IFERROR(__xludf.DUMMYFUNCTION("SPLIT(J626,"";"")"),"Gouveia, L. ")</f>
        <v xml:space="preserve">Gouveia, L. </v>
      </c>
      <c r="L626" s="10"/>
      <c r="M626" s="10"/>
      <c r="N626" s="10"/>
      <c r="O626" s="10"/>
      <c r="P626" s="10"/>
      <c r="Q626" s="10"/>
      <c r="R626" s="10"/>
      <c r="S626" s="10"/>
      <c r="T626" s="10"/>
      <c r="U626" s="10"/>
      <c r="V626" s="10"/>
      <c r="W626" s="10"/>
      <c r="X626" s="10"/>
      <c r="Y626" s="10"/>
      <c r="Z626" s="10"/>
    </row>
    <row r="627" spans="1:26" ht="17.25" customHeight="1" x14ac:dyDescent="0.3">
      <c r="A627" s="10" t="s">
        <v>756</v>
      </c>
      <c r="B627" s="10">
        <f t="shared" si="0"/>
        <v>13</v>
      </c>
      <c r="C627" s="8" t="str">
        <f t="shared" si="1"/>
        <v xml:space="preserve">Gouveia, L. </v>
      </c>
      <c r="D627" s="8" t="str">
        <f t="shared" si="2"/>
        <v>1998</v>
      </c>
      <c r="E627" s="10">
        <f t="shared" si="3"/>
        <v>18</v>
      </c>
      <c r="F627" s="10">
        <f t="shared" si="4"/>
        <v>95</v>
      </c>
      <c r="G627" s="8" t="str">
        <f t="shared" si="5"/>
        <v xml:space="preserve"> A Internet como aliado do professor, uma experiência de uso de páginas Web. </v>
      </c>
      <c r="H627" s="10" t="str">
        <f t="shared" si="6"/>
        <v xml:space="preserve">Gouveia, L. </v>
      </c>
      <c r="I627" s="10" t="str">
        <f t="shared" si="7"/>
        <v xml:space="preserve">Gouveia, L. </v>
      </c>
      <c r="J627" s="10" t="str">
        <f t="shared" si="8"/>
        <v xml:space="preserve">Gouveia, L. </v>
      </c>
      <c r="K627" s="11" t="str">
        <f ca="1">IFERROR(__xludf.DUMMYFUNCTION("SPLIT(J627,"";"")"),"Gouveia, L. ")</f>
        <v xml:space="preserve">Gouveia, L. </v>
      </c>
      <c r="L627" s="10"/>
      <c r="M627" s="10"/>
      <c r="N627" s="10"/>
      <c r="O627" s="10"/>
      <c r="P627" s="10"/>
      <c r="Q627" s="10"/>
      <c r="R627" s="10"/>
      <c r="S627" s="10"/>
      <c r="T627" s="10"/>
      <c r="U627" s="10"/>
      <c r="V627" s="10"/>
      <c r="W627" s="10"/>
      <c r="X627" s="10"/>
      <c r="Y627" s="10"/>
      <c r="Z627" s="10"/>
    </row>
    <row r="628" spans="1:26" ht="17.25" customHeight="1" x14ac:dyDescent="0.3">
      <c r="A628" s="10" t="s">
        <v>757</v>
      </c>
      <c r="B628" s="10">
        <f t="shared" si="0"/>
        <v>13</v>
      </c>
      <c r="C628" s="8" t="str">
        <f t="shared" si="1"/>
        <v xml:space="preserve">Gouveia, L. </v>
      </c>
      <c r="D628" s="8" t="str">
        <f t="shared" si="2"/>
        <v>1998</v>
      </c>
      <c r="E628" s="10">
        <f t="shared" si="3"/>
        <v>18</v>
      </c>
      <c r="F628" s="10">
        <f t="shared" si="4"/>
        <v>50</v>
      </c>
      <c r="G628" s="8" t="str">
        <f t="shared" si="5"/>
        <v xml:space="preserve"> Internet, Publicidade e Ética. </v>
      </c>
      <c r="H628" s="10" t="str">
        <f t="shared" si="6"/>
        <v xml:space="preserve">Gouveia, L. </v>
      </c>
      <c r="I628" s="10" t="str">
        <f t="shared" si="7"/>
        <v xml:space="preserve">Gouveia, L. </v>
      </c>
      <c r="J628" s="10" t="str">
        <f t="shared" si="8"/>
        <v xml:space="preserve">Gouveia, L. </v>
      </c>
      <c r="K628" s="11" t="str">
        <f ca="1">IFERROR(__xludf.DUMMYFUNCTION("SPLIT(J628,"";"")"),"Gouveia, L. ")</f>
        <v xml:space="preserve">Gouveia, L. </v>
      </c>
      <c r="L628" s="10"/>
      <c r="M628" s="10"/>
      <c r="N628" s="10"/>
      <c r="O628" s="10"/>
      <c r="P628" s="10"/>
      <c r="Q628" s="10"/>
      <c r="R628" s="10"/>
      <c r="S628" s="10"/>
      <c r="T628" s="10"/>
      <c r="U628" s="10"/>
      <c r="V628" s="10"/>
      <c r="W628" s="10"/>
      <c r="X628" s="10"/>
      <c r="Y628" s="10"/>
      <c r="Z628" s="10"/>
    </row>
    <row r="629" spans="1:26" ht="17.25" customHeight="1" x14ac:dyDescent="0.3">
      <c r="A629" s="10" t="s">
        <v>758</v>
      </c>
      <c r="B629" s="10">
        <f t="shared" si="0"/>
        <v>13</v>
      </c>
      <c r="C629" s="8" t="str">
        <f t="shared" si="1"/>
        <v xml:space="preserve">Gouveia, L. </v>
      </c>
      <c r="D629" s="8" t="str">
        <f t="shared" si="2"/>
        <v>1997</v>
      </c>
      <c r="E629" s="10">
        <f t="shared" si="3"/>
        <v>18</v>
      </c>
      <c r="F629" s="10">
        <f t="shared" si="4"/>
        <v>52</v>
      </c>
      <c r="G629" s="8" t="str">
        <f t="shared" si="5"/>
        <v xml:space="preserve"> NetLab, work at Fernando Pessoa. </v>
      </c>
      <c r="H629" s="10" t="str">
        <f t="shared" si="6"/>
        <v xml:space="preserve">Gouveia, L. </v>
      </c>
      <c r="I629" s="10" t="str">
        <f t="shared" si="7"/>
        <v xml:space="preserve">Gouveia, L. </v>
      </c>
      <c r="J629" s="10" t="str">
        <f t="shared" si="8"/>
        <v xml:space="preserve">Gouveia, L. </v>
      </c>
      <c r="K629" s="11" t="str">
        <f ca="1">IFERROR(__xludf.DUMMYFUNCTION("SPLIT(J629,"";"")"),"Gouveia, L. ")</f>
        <v xml:space="preserve">Gouveia, L. </v>
      </c>
      <c r="L629" s="10"/>
      <c r="M629" s="10"/>
      <c r="N629" s="10"/>
      <c r="O629" s="10"/>
      <c r="P629" s="10"/>
      <c r="Q629" s="10"/>
      <c r="R629" s="10"/>
      <c r="S629" s="10"/>
      <c r="T629" s="10"/>
      <c r="U629" s="10"/>
      <c r="V629" s="10"/>
      <c r="W629" s="10"/>
      <c r="X629" s="10"/>
      <c r="Y629" s="10"/>
      <c r="Z629" s="10"/>
    </row>
    <row r="630" spans="1:26" ht="17.25" customHeight="1" x14ac:dyDescent="0.3">
      <c r="A630" s="10" t="s">
        <v>759</v>
      </c>
      <c r="B630" s="10">
        <f t="shared" si="0"/>
        <v>27</v>
      </c>
      <c r="C630" s="8" t="str">
        <f t="shared" si="1"/>
        <v xml:space="preserve">Gouveia, F. e Gouveia, L. </v>
      </c>
      <c r="D630" s="8" t="str">
        <f t="shared" si="2"/>
        <v>1996</v>
      </c>
      <c r="E630" s="10">
        <f t="shared" si="3"/>
        <v>32</v>
      </c>
      <c r="F630" s="10">
        <f t="shared" si="4"/>
        <v>89</v>
      </c>
      <c r="G630" s="8" t="str">
        <f t="shared" si="5"/>
        <v xml:space="preserve"> Educação activa: manifesto para uma atitude pedagógica. </v>
      </c>
      <c r="H630" s="10" t="str">
        <f t="shared" si="6"/>
        <v xml:space="preserve">Gouveia, F. e Gouveia, L. </v>
      </c>
      <c r="I630" s="10" t="str">
        <f t="shared" si="7"/>
        <v xml:space="preserve">Gouveia, F. e Gouveia, L. </v>
      </c>
      <c r="J630" s="10" t="str">
        <f t="shared" si="8"/>
        <v xml:space="preserve">Gouveia, F.;Gouveia, L. </v>
      </c>
      <c r="K630" s="11" t="str">
        <f ca="1">IFERROR(__xludf.DUMMYFUNCTION("SPLIT(J630,"";"")"),"Gouveia, F.")</f>
        <v>Gouveia, F.</v>
      </c>
      <c r="L630" s="10" t="str">
        <f ca="1">IFERROR(__xludf.DUMMYFUNCTION("""COMPUTED_VALUE"""),"Gouveia, L. ")</f>
        <v xml:space="preserve">Gouveia, L. </v>
      </c>
      <c r="M630" s="10"/>
      <c r="N630" s="10"/>
      <c r="O630" s="10"/>
      <c r="P630" s="10"/>
      <c r="Q630" s="10"/>
      <c r="R630" s="10"/>
      <c r="S630" s="10"/>
      <c r="T630" s="10"/>
      <c r="U630" s="10"/>
      <c r="V630" s="10"/>
      <c r="W630" s="10"/>
      <c r="X630" s="10"/>
      <c r="Y630" s="10"/>
      <c r="Z630" s="10"/>
    </row>
    <row r="631" spans="1:26" ht="17.25" customHeight="1" x14ac:dyDescent="0.3">
      <c r="A631" s="10" t="s">
        <v>760</v>
      </c>
      <c r="B631" s="10">
        <f t="shared" si="0"/>
        <v>13</v>
      </c>
      <c r="C631" s="8" t="str">
        <f t="shared" si="1"/>
        <v xml:space="preserve">Gouveia, L. </v>
      </c>
      <c r="D631" s="8" t="str">
        <f t="shared" si="2"/>
        <v>1996</v>
      </c>
      <c r="E631" s="10">
        <f t="shared" si="3"/>
        <v>18</v>
      </c>
      <c r="F631" s="10">
        <f t="shared" si="4"/>
        <v>57</v>
      </c>
      <c r="G631" s="8" t="str">
        <f t="shared" si="5"/>
        <v xml:space="preserve"> O Centro de Recursos Multimediáticos. </v>
      </c>
      <c r="H631" s="10" t="str">
        <f t="shared" si="6"/>
        <v xml:space="preserve">Gouveia, L. </v>
      </c>
      <c r="I631" s="10" t="str">
        <f t="shared" si="7"/>
        <v xml:space="preserve">Gouveia, L. </v>
      </c>
      <c r="J631" s="10" t="str">
        <f t="shared" si="8"/>
        <v xml:space="preserve">Gouveia, L. </v>
      </c>
      <c r="K631" s="11" t="str">
        <f ca="1">IFERROR(__xludf.DUMMYFUNCTION("SPLIT(J631,"";"")"),"Gouveia, L. ")</f>
        <v xml:space="preserve">Gouveia, L. </v>
      </c>
      <c r="L631" s="10"/>
      <c r="M631" s="10"/>
      <c r="N631" s="10"/>
      <c r="O631" s="10"/>
      <c r="P631" s="10"/>
      <c r="Q631" s="10"/>
      <c r="R631" s="10"/>
      <c r="S631" s="10"/>
      <c r="T631" s="10"/>
      <c r="U631" s="10"/>
      <c r="V631" s="10"/>
      <c r="W631" s="10"/>
      <c r="X631" s="10"/>
      <c r="Y631" s="10"/>
      <c r="Z631" s="10"/>
    </row>
    <row r="632" spans="1:26" ht="17.25" customHeight="1" x14ac:dyDescent="0.3">
      <c r="A632" s="10" t="s">
        <v>761</v>
      </c>
      <c r="B632" s="10">
        <f t="shared" si="0"/>
        <v>13</v>
      </c>
      <c r="C632" s="8" t="str">
        <f t="shared" si="1"/>
        <v xml:space="preserve">Gouveia, L. </v>
      </c>
      <c r="D632" s="8" t="str">
        <f t="shared" si="2"/>
        <v>1996</v>
      </c>
      <c r="E632" s="10">
        <f t="shared" si="3"/>
        <v>18</v>
      </c>
      <c r="F632" s="10">
        <f t="shared" si="4"/>
        <v>71</v>
      </c>
      <c r="G632" s="8" t="str">
        <f t="shared" si="5"/>
        <v xml:space="preserve"> NetLab, explorar o potencial da rede universitária. </v>
      </c>
      <c r="H632" s="10" t="str">
        <f t="shared" si="6"/>
        <v xml:space="preserve">Gouveia, L. </v>
      </c>
      <c r="I632" s="10" t="str">
        <f t="shared" si="7"/>
        <v xml:space="preserve">Gouveia, L. </v>
      </c>
      <c r="J632" s="10" t="str">
        <f t="shared" si="8"/>
        <v xml:space="preserve">Gouveia, L. </v>
      </c>
      <c r="K632" s="11" t="str">
        <f ca="1">IFERROR(__xludf.DUMMYFUNCTION("SPLIT(J632,"";"")"),"Gouveia, L. ")</f>
        <v xml:space="preserve">Gouveia, L. </v>
      </c>
      <c r="L632" s="10"/>
      <c r="M632" s="10"/>
      <c r="N632" s="10"/>
      <c r="O632" s="10"/>
      <c r="P632" s="10"/>
      <c r="Q632" s="10"/>
      <c r="R632" s="10"/>
      <c r="S632" s="10"/>
      <c r="T632" s="10"/>
      <c r="U632" s="10"/>
      <c r="V632" s="10"/>
      <c r="W632" s="10"/>
      <c r="X632" s="10"/>
      <c r="Y632" s="10"/>
      <c r="Z632" s="10"/>
    </row>
    <row r="633" spans="1:26" ht="17.25" customHeight="1" x14ac:dyDescent="0.3">
      <c r="A633" s="10" t="s">
        <v>762</v>
      </c>
      <c r="B633" s="10">
        <f t="shared" si="0"/>
        <v>13</v>
      </c>
      <c r="C633" s="8" t="str">
        <f t="shared" si="1"/>
        <v xml:space="preserve">Gouveia, L. </v>
      </c>
      <c r="D633" s="8" t="str">
        <f t="shared" si="2"/>
        <v>1996</v>
      </c>
      <c r="E633" s="10">
        <f t="shared" si="3"/>
        <v>18</v>
      </c>
      <c r="F633" s="10">
        <f t="shared" si="4"/>
        <v>73</v>
      </c>
      <c r="G633" s="8" t="str">
        <f t="shared" si="5"/>
        <v xml:space="preserve"> Realidade Virtual: novo mundo ou mundos alternativos. </v>
      </c>
      <c r="H633" s="10" t="str">
        <f t="shared" si="6"/>
        <v xml:space="preserve">Gouveia, L. </v>
      </c>
      <c r="I633" s="10" t="str">
        <f t="shared" si="7"/>
        <v xml:space="preserve">Gouveia, L. </v>
      </c>
      <c r="J633" s="10" t="str">
        <f t="shared" si="8"/>
        <v xml:space="preserve">Gouveia, L. </v>
      </c>
      <c r="K633" s="11" t="str">
        <f ca="1">IFERROR(__xludf.DUMMYFUNCTION("SPLIT(J633,"";"")"),"Gouveia, L. ")</f>
        <v xml:space="preserve">Gouveia, L. </v>
      </c>
      <c r="L633" s="10"/>
      <c r="M633" s="10"/>
      <c r="N633" s="10"/>
      <c r="O633" s="10"/>
      <c r="P633" s="10"/>
      <c r="Q633" s="10"/>
      <c r="R633" s="10"/>
      <c r="S633" s="10"/>
      <c r="T633" s="10"/>
      <c r="U633" s="10"/>
      <c r="V633" s="10"/>
      <c r="W633" s="10"/>
      <c r="X633" s="10"/>
      <c r="Y633" s="10"/>
      <c r="Z633" s="10"/>
    </row>
    <row r="634" spans="1:26" ht="17.25" customHeight="1" x14ac:dyDescent="0.3">
      <c r="A634" s="10" t="s">
        <v>763</v>
      </c>
      <c r="B634" s="10">
        <f t="shared" si="0"/>
        <v>13</v>
      </c>
      <c r="C634" s="8" t="str">
        <f t="shared" si="1"/>
        <v xml:space="preserve">Gouveia, L. </v>
      </c>
      <c r="D634" s="8" t="str">
        <f t="shared" si="2"/>
        <v>1996</v>
      </c>
      <c r="E634" s="10">
        <f t="shared" si="3"/>
        <v>18</v>
      </c>
      <c r="F634" s="10">
        <f t="shared" si="4"/>
        <v>41</v>
      </c>
      <c r="G634" s="8" t="str">
        <f t="shared" si="5"/>
        <v xml:space="preserve"> A rede universitária. </v>
      </c>
      <c r="H634" s="10" t="str">
        <f t="shared" si="6"/>
        <v xml:space="preserve">Gouveia, L. </v>
      </c>
      <c r="I634" s="10" t="str">
        <f t="shared" si="7"/>
        <v xml:space="preserve">Gouveia, L. </v>
      </c>
      <c r="J634" s="10" t="str">
        <f t="shared" si="8"/>
        <v xml:space="preserve">Gouveia, L. </v>
      </c>
      <c r="K634" s="11" t="str">
        <f ca="1">IFERROR(__xludf.DUMMYFUNCTION("SPLIT(J634,"";"")"),"Gouveia, L. ")</f>
        <v xml:space="preserve">Gouveia, L. </v>
      </c>
      <c r="L634" s="10"/>
      <c r="M634" s="10"/>
      <c r="N634" s="10"/>
      <c r="O634" s="10"/>
      <c r="P634" s="10"/>
      <c r="Q634" s="10"/>
      <c r="R634" s="10"/>
      <c r="S634" s="10"/>
      <c r="T634" s="10"/>
      <c r="U634" s="10"/>
      <c r="V634" s="10"/>
      <c r="W634" s="10"/>
      <c r="X634" s="10"/>
      <c r="Y634" s="10"/>
      <c r="Z634" s="10"/>
    </row>
    <row r="635" spans="1:26" ht="17.25" customHeight="1" x14ac:dyDescent="0.3">
      <c r="A635" s="10" t="s">
        <v>764</v>
      </c>
      <c r="B635" s="10">
        <f t="shared" si="0"/>
        <v>13</v>
      </c>
      <c r="C635" s="8" t="str">
        <f t="shared" si="1"/>
        <v xml:space="preserve">Gouveia, L. </v>
      </c>
      <c r="D635" s="8" t="str">
        <f t="shared" si="2"/>
        <v>1994</v>
      </c>
      <c r="E635" s="10">
        <f t="shared" si="3"/>
        <v>18</v>
      </c>
      <c r="F635" s="10">
        <f t="shared" si="4"/>
        <v>44</v>
      </c>
      <c r="G635" s="8" t="str">
        <f t="shared" si="5"/>
        <v xml:space="preserve"> Aprendizagem Multimédia. </v>
      </c>
      <c r="H635" s="10" t="str">
        <f t="shared" si="6"/>
        <v xml:space="preserve">Gouveia, L. </v>
      </c>
      <c r="I635" s="10" t="str">
        <f t="shared" si="7"/>
        <v xml:space="preserve">Gouveia, L. </v>
      </c>
      <c r="J635" s="10" t="str">
        <f t="shared" si="8"/>
        <v xml:space="preserve">Gouveia, L. </v>
      </c>
      <c r="K635" s="11" t="str">
        <f ca="1">IFERROR(__xludf.DUMMYFUNCTION("SPLIT(J635,"";"")"),"Gouveia, L. ")</f>
        <v xml:space="preserve">Gouveia, L. </v>
      </c>
      <c r="L635" s="10"/>
      <c r="M635" s="10"/>
      <c r="N635" s="10"/>
      <c r="O635" s="10"/>
      <c r="P635" s="10"/>
      <c r="Q635" s="10"/>
      <c r="R635" s="10"/>
      <c r="S635" s="10"/>
      <c r="T635" s="10"/>
      <c r="U635" s="10"/>
      <c r="V635" s="10"/>
      <c r="W635" s="10"/>
      <c r="X635" s="10"/>
      <c r="Y635" s="10"/>
      <c r="Z635" s="10"/>
    </row>
    <row r="636" spans="1:26" ht="17.25" customHeight="1" x14ac:dyDescent="0.3">
      <c r="A636" s="10" t="s">
        <v>765</v>
      </c>
      <c r="B636" s="10">
        <f t="shared" si="0"/>
        <v>13</v>
      </c>
      <c r="C636" s="8" t="str">
        <f t="shared" si="1"/>
        <v xml:space="preserve">Gouveia, L. </v>
      </c>
      <c r="D636" s="8" t="str">
        <f t="shared" si="2"/>
        <v>1991</v>
      </c>
      <c r="E636" s="10">
        <f t="shared" si="3"/>
        <v>18</v>
      </c>
      <c r="F636" s="10">
        <f t="shared" si="4"/>
        <v>71</v>
      </c>
      <c r="G636" s="8" t="str">
        <f t="shared" si="5"/>
        <v xml:space="preserve"> Soluções Videotex: da oportunidade à implementação. </v>
      </c>
      <c r="H636" s="10" t="str">
        <f t="shared" si="6"/>
        <v xml:space="preserve">Gouveia, L. </v>
      </c>
      <c r="I636" s="10" t="str">
        <f t="shared" si="7"/>
        <v xml:space="preserve">Gouveia, L. </v>
      </c>
      <c r="J636" s="10" t="str">
        <f t="shared" si="8"/>
        <v xml:space="preserve">Gouveia, L. </v>
      </c>
      <c r="K636" s="11" t="str">
        <f ca="1">IFERROR(__xludf.DUMMYFUNCTION("SPLIT(J636,"";"")"),"Gouveia, L. ")</f>
        <v xml:space="preserve">Gouveia, L. </v>
      </c>
      <c r="L636" s="10"/>
      <c r="M636" s="10"/>
      <c r="N636" s="10"/>
      <c r="O636" s="10"/>
      <c r="P636" s="10"/>
      <c r="Q636" s="10"/>
      <c r="R636" s="10"/>
      <c r="S636" s="10"/>
      <c r="T636" s="10"/>
      <c r="U636" s="10"/>
      <c r="V636" s="10"/>
      <c r="W636" s="10"/>
      <c r="X636" s="10"/>
      <c r="Y636" s="10"/>
      <c r="Z636" s="10"/>
    </row>
    <row r="637" spans="1:26" ht="17.25" customHeight="1" x14ac:dyDescent="0.3">
      <c r="A637" s="10" t="s">
        <v>766</v>
      </c>
      <c r="B637" s="10">
        <f t="shared" si="0"/>
        <v>13</v>
      </c>
      <c r="C637" s="8" t="str">
        <f t="shared" si="1"/>
        <v xml:space="preserve">Gouveia, L. </v>
      </c>
      <c r="D637" s="8" t="str">
        <f t="shared" si="2"/>
        <v>1990</v>
      </c>
      <c r="E637" s="10">
        <f t="shared" si="3"/>
        <v>18</v>
      </c>
      <c r="F637" s="10">
        <f t="shared" si="4"/>
        <v>53</v>
      </c>
      <c r="G637" s="8" t="str">
        <f t="shared" si="5"/>
        <v xml:space="preserve"> Soluções com recurso ao videotex. </v>
      </c>
      <c r="H637" s="10" t="str">
        <f t="shared" si="6"/>
        <v xml:space="preserve">Gouveia, L. </v>
      </c>
      <c r="I637" s="10" t="str">
        <f t="shared" si="7"/>
        <v xml:space="preserve">Gouveia, L. </v>
      </c>
      <c r="J637" s="10" t="str">
        <f t="shared" si="8"/>
        <v xml:space="preserve">Gouveia, L. </v>
      </c>
      <c r="K637" s="11" t="str">
        <f ca="1">IFERROR(__xludf.DUMMYFUNCTION("SPLIT(J637,"";"")"),"Gouveia, L. ")</f>
        <v xml:space="preserve">Gouveia, L. </v>
      </c>
      <c r="L637" s="10"/>
      <c r="M637" s="10"/>
      <c r="N637" s="10"/>
      <c r="O637" s="10"/>
      <c r="P637" s="10"/>
      <c r="Q637" s="10"/>
      <c r="R637" s="10"/>
      <c r="S637" s="10"/>
      <c r="T637" s="10"/>
      <c r="U637" s="10"/>
      <c r="V637" s="10"/>
      <c r="W637" s="10"/>
      <c r="X637" s="10"/>
      <c r="Y637" s="10"/>
      <c r="Z637" s="10"/>
    </row>
    <row r="638" spans="1:26" ht="17.25" customHeight="1" x14ac:dyDescent="0.3">
      <c r="A638" s="10" t="s">
        <v>563</v>
      </c>
      <c r="B638" s="10" t="e">
        <f t="shared" si="0"/>
        <v>#VALUE!</v>
      </c>
      <c r="C638" s="8" t="e">
        <f t="shared" si="1"/>
        <v>#VALUE!</v>
      </c>
      <c r="D638" s="8" t="e">
        <f t="shared" si="2"/>
        <v>#VALUE!</v>
      </c>
      <c r="E638" s="10" t="e">
        <f t="shared" si="3"/>
        <v>#VALUE!</v>
      </c>
      <c r="F638" s="10" t="e">
        <f t="shared" si="4"/>
        <v>#VALUE!</v>
      </c>
      <c r="G638" s="8" t="e">
        <f t="shared" si="5"/>
        <v>#VALUE!</v>
      </c>
      <c r="H638" s="10" t="e">
        <f t="shared" si="6"/>
        <v>#VALUE!</v>
      </c>
      <c r="I638" s="10" t="e">
        <f t="shared" si="7"/>
        <v>#VALUE!</v>
      </c>
      <c r="J638" s="10" t="e">
        <f t="shared" si="8"/>
        <v>#VALUE!</v>
      </c>
      <c r="K638" s="11" t="str">
        <f ca="1">IFERROR(__xludf.DUMMYFUNCTION("SPLIT(J638,"";"")"),"#VALUE!")</f>
        <v>#VALUE!</v>
      </c>
      <c r="L638" s="10"/>
      <c r="M638" s="10"/>
      <c r="N638" s="10"/>
      <c r="O638" s="10"/>
      <c r="P638" s="10"/>
      <c r="Q638" s="10"/>
      <c r="R638" s="10"/>
      <c r="S638" s="10"/>
      <c r="T638" s="10"/>
      <c r="U638" s="10"/>
      <c r="V638" s="10"/>
      <c r="W638" s="10"/>
      <c r="X638" s="10"/>
      <c r="Y638" s="10"/>
      <c r="Z638" s="10"/>
    </row>
    <row r="639" spans="1:26" ht="17.25" customHeight="1" x14ac:dyDescent="0.3">
      <c r="A639" s="10" t="s">
        <v>767</v>
      </c>
      <c r="B639" s="10">
        <f t="shared" si="0"/>
        <v>20</v>
      </c>
      <c r="C639" s="8" t="str">
        <f t="shared" si="1"/>
        <v xml:space="preserve">Gouveia, L. et al. </v>
      </c>
      <c r="D639" s="8" t="str">
        <f t="shared" si="2"/>
        <v>2020</v>
      </c>
      <c r="E639" s="10">
        <f t="shared" si="3"/>
        <v>25</v>
      </c>
      <c r="F639" s="10">
        <f t="shared" si="4"/>
        <v>85</v>
      </c>
      <c r="G639" s="8" t="str">
        <f t="shared" si="5"/>
        <v xml:space="preserve"> Participação em painel Smart Cities - Repensar as cidades..</v>
      </c>
      <c r="H639" s="10" t="str">
        <f t="shared" si="6"/>
        <v xml:space="preserve">Gouveia, L. et al. </v>
      </c>
      <c r="I639" s="10" t="str">
        <f t="shared" si="7"/>
        <v xml:space="preserve">Gouveia, L. et al. </v>
      </c>
      <c r="J639" s="10" t="str">
        <f t="shared" si="8"/>
        <v xml:space="preserve">Gouveia, L. et al. </v>
      </c>
      <c r="K639" s="11" t="str">
        <f ca="1">IFERROR(__xludf.DUMMYFUNCTION("SPLIT(J639,"";"")"),"Gouveia, L. et al. ")</f>
        <v xml:space="preserve">Gouveia, L. et al. </v>
      </c>
      <c r="L639" s="10"/>
      <c r="M639" s="10"/>
      <c r="N639" s="10"/>
      <c r="O639" s="10"/>
      <c r="P639" s="10"/>
      <c r="Q639" s="10"/>
      <c r="R639" s="10"/>
      <c r="S639" s="10"/>
      <c r="T639" s="10"/>
      <c r="U639" s="10"/>
      <c r="V639" s="10"/>
      <c r="W639" s="10"/>
      <c r="X639" s="10"/>
      <c r="Y639" s="10"/>
      <c r="Z639" s="10"/>
    </row>
    <row r="640" spans="1:26" ht="17.25" customHeight="1" x14ac:dyDescent="0.3">
      <c r="A640" s="10" t="s">
        <v>768</v>
      </c>
      <c r="B640" s="10">
        <f t="shared" si="0"/>
        <v>13</v>
      </c>
      <c r="C640" s="8" t="str">
        <f t="shared" si="1"/>
        <v xml:space="preserve">Gouveia, L. </v>
      </c>
      <c r="D640" s="8" t="str">
        <f t="shared" si="2"/>
        <v>2015</v>
      </c>
      <c r="E640" s="10">
        <f t="shared" si="3"/>
        <v>18</v>
      </c>
      <c r="F640" s="10">
        <f t="shared" si="4"/>
        <v>74</v>
      </c>
      <c r="G640" s="8" t="str">
        <f t="shared" si="5"/>
        <v xml:space="preserve"> O papel da Universidade para o Engenheiro Informático. </v>
      </c>
      <c r="H640" s="10" t="str">
        <f t="shared" si="6"/>
        <v xml:space="preserve">Gouveia, L. </v>
      </c>
      <c r="I640" s="10" t="str">
        <f t="shared" si="7"/>
        <v xml:space="preserve">Gouveia, L. </v>
      </c>
      <c r="J640" s="10" t="str">
        <f t="shared" si="8"/>
        <v xml:space="preserve">Gouveia, L. </v>
      </c>
      <c r="K640" s="11" t="str">
        <f ca="1">IFERROR(__xludf.DUMMYFUNCTION("SPLIT(J640,"";"")"),"Gouveia, L. ")</f>
        <v xml:space="preserve">Gouveia, L. </v>
      </c>
      <c r="L640" s="10"/>
      <c r="M640" s="10"/>
      <c r="N640" s="10"/>
      <c r="O640" s="10"/>
      <c r="P640" s="10"/>
      <c r="Q640" s="10"/>
      <c r="R640" s="10"/>
      <c r="S640" s="10"/>
      <c r="T640" s="10"/>
      <c r="U640" s="10"/>
      <c r="V640" s="10"/>
      <c r="W640" s="10"/>
      <c r="X640" s="10"/>
      <c r="Y640" s="10"/>
      <c r="Z640" s="10"/>
    </row>
    <row r="641" spans="1:26" ht="17.25" customHeight="1" x14ac:dyDescent="0.3">
      <c r="A641" s="10" t="s">
        <v>769</v>
      </c>
      <c r="B641" s="10">
        <f t="shared" si="0"/>
        <v>13</v>
      </c>
      <c r="C641" s="8" t="str">
        <f t="shared" si="1"/>
        <v xml:space="preserve">Gouveia, L. </v>
      </c>
      <c r="D641" s="8" t="str">
        <f t="shared" si="2"/>
        <v>2014</v>
      </c>
      <c r="E641" s="10">
        <f t="shared" si="3"/>
        <v>18</v>
      </c>
      <c r="F641" s="10">
        <f t="shared" si="4"/>
        <v>140</v>
      </c>
      <c r="G641" s="8" t="str">
        <f t="shared" si="5"/>
        <v xml:space="preserve"> Segurança Informática ou Segurança da Informação? Moderação da Mesa Redonda promovida pelo Núcleo de Informática da UFP. </v>
      </c>
      <c r="H641" s="10" t="str">
        <f t="shared" si="6"/>
        <v xml:space="preserve">Gouveia, L. </v>
      </c>
      <c r="I641" s="10" t="str">
        <f t="shared" si="7"/>
        <v xml:space="preserve">Gouveia, L. </v>
      </c>
      <c r="J641" s="10" t="str">
        <f t="shared" si="8"/>
        <v xml:space="preserve">Gouveia, L. </v>
      </c>
      <c r="K641" s="11" t="str">
        <f ca="1">IFERROR(__xludf.DUMMYFUNCTION("SPLIT(J641,"";"")"),"Gouveia, L. ")</f>
        <v xml:space="preserve">Gouveia, L. </v>
      </c>
      <c r="L641" s="10"/>
      <c r="M641" s="10"/>
      <c r="N641" s="10"/>
      <c r="O641" s="10"/>
      <c r="P641" s="10"/>
      <c r="Q641" s="10"/>
      <c r="R641" s="10"/>
      <c r="S641" s="10"/>
      <c r="T641" s="10"/>
      <c r="U641" s="10"/>
      <c r="V641" s="10"/>
      <c r="W641" s="10"/>
      <c r="X641" s="10"/>
      <c r="Y641" s="10"/>
      <c r="Z641" s="10"/>
    </row>
    <row r="642" spans="1:26" ht="17.25" customHeight="1" x14ac:dyDescent="0.3">
      <c r="A642" s="10" t="s">
        <v>770</v>
      </c>
      <c r="B642" s="10">
        <f t="shared" si="0"/>
        <v>13</v>
      </c>
      <c r="C642" s="8" t="str">
        <f t="shared" si="1"/>
        <v xml:space="preserve">Gouveia, L. </v>
      </c>
      <c r="D642" s="8" t="str">
        <f t="shared" si="2"/>
        <v>2013</v>
      </c>
      <c r="E642" s="10">
        <f t="shared" si="3"/>
        <v>18</v>
      </c>
      <c r="F642" s="10">
        <f t="shared" si="4"/>
        <v>80</v>
      </c>
      <c r="G642" s="8" t="str">
        <f t="shared" si="5"/>
        <v xml:space="preserve"> Desafios para as Bibliotecas de Ensino Superior em Portugal. </v>
      </c>
      <c r="H642" s="10" t="str">
        <f t="shared" si="6"/>
        <v xml:space="preserve">Gouveia, L. </v>
      </c>
      <c r="I642" s="10" t="str">
        <f t="shared" si="7"/>
        <v xml:space="preserve">Gouveia, L. </v>
      </c>
      <c r="J642" s="10" t="str">
        <f t="shared" si="8"/>
        <v xml:space="preserve">Gouveia, L. </v>
      </c>
      <c r="K642" s="11" t="str">
        <f ca="1">IFERROR(__xludf.DUMMYFUNCTION("SPLIT(J642,"";"")"),"Gouveia, L. ")</f>
        <v xml:space="preserve">Gouveia, L. </v>
      </c>
      <c r="L642" s="10"/>
      <c r="M642" s="10"/>
      <c r="N642" s="10"/>
      <c r="O642" s="10"/>
      <c r="P642" s="10"/>
      <c r="Q642" s="10"/>
      <c r="R642" s="10"/>
      <c r="S642" s="10"/>
      <c r="T642" s="10"/>
      <c r="U642" s="10"/>
      <c r="V642" s="10"/>
      <c r="W642" s="10"/>
      <c r="X642" s="10"/>
      <c r="Y642" s="10"/>
      <c r="Z642" s="10"/>
    </row>
    <row r="643" spans="1:26" ht="17.25" customHeight="1" x14ac:dyDescent="0.3">
      <c r="A643" s="10" t="s">
        <v>771</v>
      </c>
      <c r="B643" s="10">
        <f t="shared" si="0"/>
        <v>13</v>
      </c>
      <c r="C643" s="8" t="str">
        <f t="shared" si="1"/>
        <v xml:space="preserve">Gouveia, L. </v>
      </c>
      <c r="D643" s="8" t="str">
        <f t="shared" si="2"/>
        <v>2013</v>
      </c>
      <c r="E643" s="10">
        <f t="shared" si="3"/>
        <v>18</v>
      </c>
      <c r="F643" s="10">
        <f t="shared" si="4"/>
        <v>40</v>
      </c>
      <c r="G643" s="8" t="str">
        <f t="shared" si="5"/>
        <v xml:space="preserve"> Redes e Territórios. </v>
      </c>
      <c r="H643" s="10" t="str">
        <f t="shared" si="6"/>
        <v xml:space="preserve">Gouveia, L. </v>
      </c>
      <c r="I643" s="10" t="str">
        <f t="shared" si="7"/>
        <v xml:space="preserve">Gouveia, L. </v>
      </c>
      <c r="J643" s="10" t="str">
        <f t="shared" si="8"/>
        <v xml:space="preserve">Gouveia, L. </v>
      </c>
      <c r="K643" s="11" t="str">
        <f ca="1">IFERROR(__xludf.DUMMYFUNCTION("SPLIT(J643,"";"")"),"Gouveia, L. ")</f>
        <v xml:space="preserve">Gouveia, L. </v>
      </c>
      <c r="L643" s="10"/>
      <c r="M643" s="10"/>
      <c r="N643" s="10"/>
      <c r="O643" s="10"/>
      <c r="P643" s="10"/>
      <c r="Q643" s="10"/>
      <c r="R643" s="10"/>
      <c r="S643" s="10"/>
      <c r="T643" s="10"/>
      <c r="U643" s="10"/>
      <c r="V643" s="10"/>
      <c r="W643" s="10"/>
      <c r="X643" s="10"/>
      <c r="Y643" s="10"/>
      <c r="Z643" s="10"/>
    </row>
    <row r="644" spans="1:26" ht="17.25" customHeight="1" x14ac:dyDescent="0.3">
      <c r="A644" s="10" t="s">
        <v>772</v>
      </c>
      <c r="B644" s="10">
        <f t="shared" si="0"/>
        <v>13</v>
      </c>
      <c r="C644" s="8" t="str">
        <f t="shared" si="1"/>
        <v xml:space="preserve">Gouveia, L. </v>
      </c>
      <c r="D644" s="8" t="str">
        <f t="shared" si="2"/>
        <v>2012</v>
      </c>
      <c r="E644" s="10">
        <f t="shared" si="3"/>
        <v>18</v>
      </c>
      <c r="F644" s="10">
        <f t="shared" si="4"/>
        <v>70</v>
      </c>
      <c r="G644" s="8" t="str">
        <f t="shared" si="5"/>
        <v xml:space="preserve"> Debate Teaching informatics: Teach what? To whom?. </v>
      </c>
      <c r="H644" s="10" t="str">
        <f t="shared" si="6"/>
        <v xml:space="preserve">Gouveia, L. </v>
      </c>
      <c r="I644" s="10" t="str">
        <f t="shared" si="7"/>
        <v xml:space="preserve">Gouveia, L. </v>
      </c>
      <c r="J644" s="10" t="str">
        <f t="shared" si="8"/>
        <v xml:space="preserve">Gouveia, L. </v>
      </c>
      <c r="K644" s="11" t="str">
        <f ca="1">IFERROR(__xludf.DUMMYFUNCTION("SPLIT(J644,"";"")"),"Gouveia, L. ")</f>
        <v xml:space="preserve">Gouveia, L. </v>
      </c>
      <c r="L644" s="10"/>
      <c r="M644" s="10"/>
      <c r="N644" s="10"/>
      <c r="O644" s="10"/>
      <c r="P644" s="10"/>
      <c r="Q644" s="10"/>
      <c r="R644" s="10"/>
      <c r="S644" s="10"/>
      <c r="T644" s="10"/>
      <c r="U644" s="10"/>
      <c r="V644" s="10"/>
      <c r="W644" s="10"/>
      <c r="X644" s="10"/>
      <c r="Y644" s="10"/>
      <c r="Z644" s="10"/>
    </row>
    <row r="645" spans="1:26" ht="17.25" customHeight="1" x14ac:dyDescent="0.3">
      <c r="A645" s="10" t="s">
        <v>773</v>
      </c>
      <c r="B645" s="10">
        <f t="shared" si="0"/>
        <v>13</v>
      </c>
      <c r="C645" s="8" t="str">
        <f t="shared" si="1"/>
        <v xml:space="preserve">Gouveia, L. </v>
      </c>
      <c r="D645" s="8" t="str">
        <f t="shared" si="2"/>
        <v>2012</v>
      </c>
      <c r="E645" s="10">
        <f t="shared" si="3"/>
        <v>18</v>
      </c>
      <c r="F645" s="10">
        <f t="shared" si="4"/>
        <v>71</v>
      </c>
      <c r="G645" s="8" t="str">
        <f t="shared" si="5"/>
        <v xml:space="preserve"> Opacidade e transparência na administração pública. </v>
      </c>
      <c r="H645" s="10" t="str">
        <f t="shared" si="6"/>
        <v xml:space="preserve">Gouveia, L. </v>
      </c>
      <c r="I645" s="10" t="str">
        <f t="shared" si="7"/>
        <v xml:space="preserve">Gouveia, L. </v>
      </c>
      <c r="J645" s="10" t="str">
        <f t="shared" si="8"/>
        <v xml:space="preserve">Gouveia, L. </v>
      </c>
      <c r="K645" s="11" t="str">
        <f ca="1">IFERROR(__xludf.DUMMYFUNCTION("SPLIT(J645,"";"")"),"Gouveia, L. ")</f>
        <v xml:space="preserve">Gouveia, L. </v>
      </c>
      <c r="L645" s="10"/>
      <c r="M645" s="10"/>
      <c r="N645" s="10"/>
      <c r="O645" s="10"/>
      <c r="P645" s="10"/>
      <c r="Q645" s="10"/>
      <c r="R645" s="10"/>
      <c r="S645" s="10"/>
      <c r="T645" s="10"/>
      <c r="U645" s="10"/>
      <c r="V645" s="10"/>
      <c r="W645" s="10"/>
      <c r="X645" s="10"/>
      <c r="Y645" s="10"/>
      <c r="Z645" s="10"/>
    </row>
    <row r="646" spans="1:26" ht="17.25" customHeight="1" x14ac:dyDescent="0.3">
      <c r="A646" s="10" t="s">
        <v>774</v>
      </c>
      <c r="B646" s="10">
        <f t="shared" si="0"/>
        <v>13</v>
      </c>
      <c r="C646" s="8" t="str">
        <f t="shared" si="1"/>
        <v xml:space="preserve">Gouveia, L. </v>
      </c>
      <c r="D646" s="8" t="str">
        <f t="shared" si="2"/>
        <v>2010</v>
      </c>
      <c r="E646" s="10">
        <f t="shared" si="3"/>
        <v>18</v>
      </c>
      <c r="F646" s="10">
        <f t="shared" si="4"/>
        <v>173</v>
      </c>
      <c r="G646" s="8" t="str">
        <f t="shared" si="5"/>
        <v xml:space="preserve"> Desafios da Gestão da Informação e a questão da soberania no digital: da escola, do professor e onde o aluno fica em tudo isto… Encontro e-Learning@FEUP. </v>
      </c>
      <c r="H646" s="10" t="str">
        <f t="shared" si="6"/>
        <v xml:space="preserve">Gouveia, L. </v>
      </c>
      <c r="I646" s="10" t="str">
        <f t="shared" si="7"/>
        <v xml:space="preserve">Gouveia, L. </v>
      </c>
      <c r="J646" s="10" t="str">
        <f t="shared" si="8"/>
        <v xml:space="preserve">Gouveia, L. </v>
      </c>
      <c r="K646" s="11" t="str">
        <f ca="1">IFERROR(__xludf.DUMMYFUNCTION("SPLIT(J646,"";"")"),"Gouveia, L. ")</f>
        <v xml:space="preserve">Gouveia, L. </v>
      </c>
      <c r="L646" s="10"/>
      <c r="M646" s="10"/>
      <c r="N646" s="10"/>
      <c r="O646" s="10"/>
      <c r="P646" s="10"/>
      <c r="Q646" s="10"/>
      <c r="R646" s="10"/>
      <c r="S646" s="10"/>
      <c r="T646" s="10"/>
      <c r="U646" s="10"/>
      <c r="V646" s="10"/>
      <c r="W646" s="10"/>
      <c r="X646" s="10"/>
      <c r="Y646" s="10"/>
      <c r="Z646" s="10"/>
    </row>
    <row r="647" spans="1:26" ht="17.25" customHeight="1" x14ac:dyDescent="0.3">
      <c r="A647" s="10" t="s">
        <v>775</v>
      </c>
      <c r="B647" s="10">
        <f t="shared" si="0"/>
        <v>13</v>
      </c>
      <c r="C647" s="8" t="str">
        <f t="shared" si="1"/>
        <v xml:space="preserve">Gouveia, L. </v>
      </c>
      <c r="D647" s="8" t="str">
        <f t="shared" si="2"/>
        <v>2010</v>
      </c>
      <c r="E647" s="10">
        <f t="shared" si="3"/>
        <v>18</v>
      </c>
      <c r="F647" s="10">
        <f t="shared" si="4"/>
        <v>48</v>
      </c>
      <c r="G647" s="8" t="str">
        <f t="shared" si="5"/>
        <v xml:space="preserve"> O digital e o espaço físico. </v>
      </c>
      <c r="H647" s="10" t="str">
        <f t="shared" si="6"/>
        <v xml:space="preserve">Gouveia, L. </v>
      </c>
      <c r="I647" s="10" t="str">
        <f t="shared" si="7"/>
        <v xml:space="preserve">Gouveia, L. </v>
      </c>
      <c r="J647" s="10" t="str">
        <f t="shared" si="8"/>
        <v xml:space="preserve">Gouveia, L. </v>
      </c>
      <c r="K647" s="11" t="str">
        <f ca="1">IFERROR(__xludf.DUMMYFUNCTION("SPLIT(J647,"";"")"),"Gouveia, L. ")</f>
        <v xml:space="preserve">Gouveia, L. </v>
      </c>
      <c r="L647" s="10"/>
      <c r="M647" s="10"/>
      <c r="N647" s="10"/>
      <c r="O647" s="10"/>
      <c r="P647" s="10"/>
      <c r="Q647" s="10"/>
      <c r="R647" s="10"/>
      <c r="S647" s="10"/>
      <c r="T647" s="10"/>
      <c r="U647" s="10"/>
      <c r="V647" s="10"/>
      <c r="W647" s="10"/>
      <c r="X647" s="10"/>
      <c r="Y647" s="10"/>
      <c r="Z647" s="10"/>
    </row>
    <row r="648" spans="1:26" ht="17.25" customHeight="1" x14ac:dyDescent="0.3">
      <c r="A648" s="10" t="s">
        <v>776</v>
      </c>
      <c r="B648" s="10">
        <f t="shared" si="0"/>
        <v>13</v>
      </c>
      <c r="C648" s="8" t="str">
        <f t="shared" si="1"/>
        <v xml:space="preserve">Gouveia, L. </v>
      </c>
      <c r="D648" s="8" t="str">
        <f t="shared" si="2"/>
        <v>2009</v>
      </c>
      <c r="E648" s="10">
        <f t="shared" si="3"/>
        <v>18</v>
      </c>
      <c r="F648" s="10">
        <f t="shared" si="4"/>
        <v>96</v>
      </c>
      <c r="G648" s="8" t="str">
        <f t="shared" si="5"/>
        <v xml:space="preserve"> Depois dos 15 primeiros anos, quais os desafios para os próximos 5? Edubits. </v>
      </c>
      <c r="H648" s="10" t="str">
        <f t="shared" si="6"/>
        <v xml:space="preserve">Gouveia, L. </v>
      </c>
      <c r="I648" s="10" t="str">
        <f t="shared" si="7"/>
        <v xml:space="preserve">Gouveia, L. </v>
      </c>
      <c r="J648" s="10" t="str">
        <f t="shared" si="8"/>
        <v xml:space="preserve">Gouveia, L. </v>
      </c>
      <c r="K648" s="11" t="str">
        <f ca="1">IFERROR(__xludf.DUMMYFUNCTION("SPLIT(J648,"";"")"),"Gouveia, L. ")</f>
        <v xml:space="preserve">Gouveia, L. </v>
      </c>
      <c r="L648" s="10"/>
      <c r="M648" s="10"/>
      <c r="N648" s="10"/>
      <c r="O648" s="10"/>
      <c r="P648" s="10"/>
      <c r="Q648" s="10"/>
      <c r="R648" s="10"/>
      <c r="S648" s="10"/>
      <c r="T648" s="10"/>
      <c r="U648" s="10"/>
      <c r="V648" s="10"/>
      <c r="W648" s="10"/>
      <c r="X648" s="10"/>
      <c r="Y648" s="10"/>
      <c r="Z648" s="10"/>
    </row>
    <row r="649" spans="1:26" ht="17.25" customHeight="1" x14ac:dyDescent="0.3">
      <c r="A649" s="10" t="s">
        <v>777</v>
      </c>
      <c r="B649" s="10">
        <f t="shared" si="0"/>
        <v>13</v>
      </c>
      <c r="C649" s="8" t="str">
        <f t="shared" si="1"/>
        <v xml:space="preserve">Gouveia, L. </v>
      </c>
      <c r="D649" s="8" t="str">
        <f t="shared" si="2"/>
        <v>2007</v>
      </c>
      <c r="E649" s="10">
        <f t="shared" si="3"/>
        <v>18</v>
      </c>
      <c r="F649" s="10">
        <f t="shared" si="4"/>
        <v>63</v>
      </c>
      <c r="G649" s="8" t="str">
        <f t="shared" si="5"/>
        <v xml:space="preserve"> Biblioteca para quem, biblioteca para quê?. </v>
      </c>
      <c r="H649" s="10" t="str">
        <f t="shared" si="6"/>
        <v xml:space="preserve">Gouveia, L. </v>
      </c>
      <c r="I649" s="10" t="str">
        <f t="shared" si="7"/>
        <v xml:space="preserve">Gouveia, L. </v>
      </c>
      <c r="J649" s="10" t="str">
        <f t="shared" si="8"/>
        <v xml:space="preserve">Gouveia, L. </v>
      </c>
      <c r="K649" s="11" t="str">
        <f ca="1">IFERROR(__xludf.DUMMYFUNCTION("SPLIT(J649,"";"")"),"Gouveia, L. ")</f>
        <v xml:space="preserve">Gouveia, L. </v>
      </c>
      <c r="L649" s="10"/>
      <c r="M649" s="10"/>
      <c r="N649" s="10"/>
      <c r="O649" s="10"/>
      <c r="P649" s="10"/>
      <c r="Q649" s="10"/>
      <c r="R649" s="10"/>
      <c r="S649" s="10"/>
      <c r="T649" s="10"/>
      <c r="U649" s="10"/>
      <c r="V649" s="10"/>
      <c r="W649" s="10"/>
      <c r="X649" s="10"/>
      <c r="Y649" s="10"/>
      <c r="Z649" s="10"/>
    </row>
    <row r="650" spans="1:26" ht="17.25" customHeight="1" x14ac:dyDescent="0.3">
      <c r="A650" s="10" t="s">
        <v>778</v>
      </c>
      <c r="B650" s="10">
        <f t="shared" si="0"/>
        <v>13</v>
      </c>
      <c r="C650" s="8" t="str">
        <f t="shared" si="1"/>
        <v xml:space="preserve">Gouveia, L. </v>
      </c>
      <c r="D650" s="8" t="str">
        <f t="shared" si="2"/>
        <v>2007</v>
      </c>
      <c r="E650" s="10">
        <f t="shared" si="3"/>
        <v>18</v>
      </c>
      <c r="F650" s="10">
        <f t="shared" si="4"/>
        <v>48</v>
      </c>
      <c r="G650" s="8" t="str">
        <f t="shared" si="5"/>
        <v xml:space="preserve"> e-espaço para e-actividades. </v>
      </c>
      <c r="H650" s="10" t="str">
        <f t="shared" si="6"/>
        <v xml:space="preserve">Gouveia, L. </v>
      </c>
      <c r="I650" s="10" t="str">
        <f t="shared" si="7"/>
        <v xml:space="preserve">Gouveia, L. </v>
      </c>
      <c r="J650" s="10" t="str">
        <f t="shared" si="8"/>
        <v xml:space="preserve">Gouveia, L. </v>
      </c>
      <c r="K650" s="11" t="str">
        <f ca="1">IFERROR(__xludf.DUMMYFUNCTION("SPLIT(J650,"";"")"),"Gouveia, L. ")</f>
        <v xml:space="preserve">Gouveia, L. </v>
      </c>
      <c r="L650" s="10"/>
      <c r="M650" s="10"/>
      <c r="N650" s="10"/>
      <c r="O650" s="10"/>
      <c r="P650" s="10"/>
      <c r="Q650" s="10"/>
      <c r="R650" s="10"/>
      <c r="S650" s="10"/>
      <c r="T650" s="10"/>
      <c r="U650" s="10"/>
      <c r="V650" s="10"/>
      <c r="W650" s="10"/>
      <c r="X650" s="10"/>
      <c r="Y650" s="10"/>
      <c r="Z650" s="10"/>
    </row>
    <row r="651" spans="1:26" ht="17.25" customHeight="1" x14ac:dyDescent="0.3">
      <c r="A651" s="10" t="s">
        <v>779</v>
      </c>
      <c r="B651" s="10">
        <f t="shared" si="0"/>
        <v>13</v>
      </c>
      <c r="C651" s="8" t="str">
        <f t="shared" si="1"/>
        <v xml:space="preserve">Gouveia, L. </v>
      </c>
      <c r="D651" s="8" t="str">
        <f t="shared" si="2"/>
        <v>2007</v>
      </c>
      <c r="E651" s="10">
        <f t="shared" si="3"/>
        <v>18</v>
      </c>
      <c r="F651" s="10">
        <f t="shared" si="4"/>
        <v>93</v>
      </c>
      <c r="G651" s="8" t="str">
        <f t="shared" si="5"/>
        <v xml:space="preserve"> Territórios Inteligentes: o digital, a rede, as pessoas e o conhecimento. </v>
      </c>
      <c r="H651" s="10" t="str">
        <f t="shared" si="6"/>
        <v xml:space="preserve">Gouveia, L. </v>
      </c>
      <c r="I651" s="10" t="str">
        <f t="shared" si="7"/>
        <v xml:space="preserve">Gouveia, L. </v>
      </c>
      <c r="J651" s="10" t="str">
        <f t="shared" si="8"/>
        <v xml:space="preserve">Gouveia, L. </v>
      </c>
      <c r="K651" s="11" t="str">
        <f ca="1">IFERROR(__xludf.DUMMYFUNCTION("SPLIT(J651,"";"")"),"Gouveia, L. ")</f>
        <v xml:space="preserve">Gouveia, L. </v>
      </c>
      <c r="L651" s="10"/>
      <c r="M651" s="10"/>
      <c r="N651" s="10"/>
      <c r="O651" s="10"/>
      <c r="P651" s="10"/>
      <c r="Q651" s="10"/>
      <c r="R651" s="10"/>
      <c r="S651" s="10"/>
      <c r="T651" s="10"/>
      <c r="U651" s="10"/>
      <c r="V651" s="10"/>
      <c r="W651" s="10"/>
      <c r="X651" s="10"/>
      <c r="Y651" s="10"/>
      <c r="Z651" s="10"/>
    </row>
    <row r="652" spans="1:26" ht="17.25" customHeight="1" x14ac:dyDescent="0.3">
      <c r="A652" s="10" t="s">
        <v>780</v>
      </c>
      <c r="B652" s="10">
        <f t="shared" si="0"/>
        <v>19</v>
      </c>
      <c r="C652" s="8" t="str">
        <f t="shared" si="1"/>
        <v xml:space="preserve">Coelho, D. et al. </v>
      </c>
      <c r="D652" s="8" t="str">
        <f t="shared" si="2"/>
        <v>2006</v>
      </c>
      <c r="E652" s="10">
        <f t="shared" si="3"/>
        <v>24</v>
      </c>
      <c r="F652" s="10">
        <f t="shared" si="4"/>
        <v>70</v>
      </c>
      <c r="G652" s="8" t="str">
        <f t="shared" si="5"/>
        <v xml:space="preserve">Repensar o Futuro da Sociedade da Informação. </v>
      </c>
      <c r="H652" s="10" t="str">
        <f t="shared" si="6"/>
        <v xml:space="preserve">Coelho, D. et al. </v>
      </c>
      <c r="I652" s="10" t="str">
        <f t="shared" si="7"/>
        <v xml:space="preserve">Coelho, D. et al. </v>
      </c>
      <c r="J652" s="10" t="str">
        <f t="shared" si="8"/>
        <v xml:space="preserve">Coelho, D. et al. </v>
      </c>
      <c r="K652" s="11" t="str">
        <f ca="1">IFERROR(__xludf.DUMMYFUNCTION("SPLIT(J652,"";"")"),"Coelho, D. et al. ")</f>
        <v xml:space="preserve">Coelho, D. et al. </v>
      </c>
      <c r="L652" s="10"/>
      <c r="M652" s="10"/>
      <c r="N652" s="10"/>
      <c r="O652" s="10"/>
      <c r="P652" s="10"/>
      <c r="Q652" s="10"/>
      <c r="R652" s="10"/>
      <c r="S652" s="10"/>
      <c r="T652" s="10"/>
      <c r="U652" s="10"/>
      <c r="V652" s="10"/>
      <c r="W652" s="10"/>
      <c r="X652" s="10"/>
      <c r="Y652" s="10"/>
      <c r="Z652" s="10"/>
    </row>
    <row r="653" spans="1:26" ht="17.25" customHeight="1" x14ac:dyDescent="0.3">
      <c r="A653" s="10" t="s">
        <v>781</v>
      </c>
      <c r="B653" s="10">
        <f t="shared" si="0"/>
        <v>27</v>
      </c>
      <c r="C653" s="8" t="str">
        <f t="shared" si="1"/>
        <v xml:space="preserve">Gouveia, L. e Gouveia, F. </v>
      </c>
      <c r="D653" s="8" t="str">
        <f t="shared" si="2"/>
        <v>2006</v>
      </c>
      <c r="E653" s="10">
        <f t="shared" si="3"/>
        <v>32</v>
      </c>
      <c r="F653" s="10">
        <f t="shared" si="4"/>
        <v>78</v>
      </c>
      <c r="G653" s="8" t="str">
        <f t="shared" si="5"/>
        <v xml:space="preserve"> A preocupação com os Sistemas de Informação. </v>
      </c>
      <c r="H653" s="10" t="str">
        <f t="shared" si="6"/>
        <v xml:space="preserve">Gouveia, L. e Gouveia, F. </v>
      </c>
      <c r="I653" s="10" t="str">
        <f t="shared" si="7"/>
        <v xml:space="preserve">Gouveia, L. e Gouveia, F. </v>
      </c>
      <c r="J653" s="10" t="str">
        <f t="shared" si="8"/>
        <v xml:space="preserve">Gouveia, L.;Gouveia, F. </v>
      </c>
      <c r="K653" s="11" t="str">
        <f ca="1">IFERROR(__xludf.DUMMYFUNCTION("SPLIT(J653,"";"")"),"Gouveia, L.")</f>
        <v>Gouveia, L.</v>
      </c>
      <c r="L653" s="10" t="str">
        <f ca="1">IFERROR(__xludf.DUMMYFUNCTION("""COMPUTED_VALUE"""),"Gouveia, F. ")</f>
        <v xml:space="preserve">Gouveia, F. </v>
      </c>
      <c r="M653" s="10"/>
      <c r="N653" s="10"/>
      <c r="O653" s="10"/>
      <c r="P653" s="10"/>
      <c r="Q653" s="10"/>
      <c r="R653" s="10"/>
      <c r="S653" s="10"/>
      <c r="T653" s="10"/>
      <c r="U653" s="10"/>
      <c r="V653" s="10"/>
      <c r="W653" s="10"/>
      <c r="X653" s="10"/>
      <c r="Y653" s="10"/>
      <c r="Z653" s="10"/>
    </row>
    <row r="654" spans="1:26" ht="17.25" customHeight="1" x14ac:dyDescent="0.3">
      <c r="A654" s="10" t="s">
        <v>782</v>
      </c>
      <c r="B654" s="10">
        <f t="shared" si="0"/>
        <v>13</v>
      </c>
      <c r="C654" s="8" t="str">
        <f t="shared" si="1"/>
        <v xml:space="preserve">Gouveia, L. </v>
      </c>
      <c r="D654" s="8" t="str">
        <f t="shared" si="2"/>
        <v>2006</v>
      </c>
      <c r="E654" s="10">
        <f t="shared" si="3"/>
        <v>18</v>
      </c>
      <c r="F654" s="10">
        <f t="shared" si="4"/>
        <v>75</v>
      </c>
      <c r="G654" s="8" t="str">
        <f t="shared" si="5"/>
        <v xml:space="preserve"> A gestão da Informação: em busca do equilíbrio perdido. </v>
      </c>
      <c r="H654" s="10" t="str">
        <f t="shared" si="6"/>
        <v xml:space="preserve">Gouveia, L. </v>
      </c>
      <c r="I654" s="10" t="str">
        <f t="shared" si="7"/>
        <v xml:space="preserve">Gouveia, L. </v>
      </c>
      <c r="J654" s="10" t="str">
        <f t="shared" si="8"/>
        <v xml:space="preserve">Gouveia, L. </v>
      </c>
      <c r="K654" s="11" t="str">
        <f ca="1">IFERROR(__xludf.DUMMYFUNCTION("SPLIT(J654,"";"")"),"Gouveia, L. ")</f>
        <v xml:space="preserve">Gouveia, L. </v>
      </c>
      <c r="L654" s="10"/>
      <c r="M654" s="10"/>
      <c r="N654" s="10"/>
      <c r="O654" s="10"/>
      <c r="P654" s="10"/>
      <c r="Q654" s="10"/>
      <c r="R654" s="10"/>
      <c r="S654" s="10"/>
      <c r="T654" s="10"/>
      <c r="U654" s="10"/>
      <c r="V654" s="10"/>
      <c r="W654" s="10"/>
      <c r="X654" s="10"/>
      <c r="Y654" s="10"/>
      <c r="Z654" s="10"/>
    </row>
    <row r="655" spans="1:26" ht="17.25" customHeight="1" x14ac:dyDescent="0.3">
      <c r="A655" s="10" t="s">
        <v>783</v>
      </c>
      <c r="B655" s="10">
        <f t="shared" si="0"/>
        <v>13</v>
      </c>
      <c r="C655" s="8" t="str">
        <f t="shared" si="1"/>
        <v xml:space="preserve">Gouveia, L. </v>
      </c>
      <c r="D655" s="8" t="str">
        <f t="shared" si="2"/>
        <v>2005</v>
      </c>
      <c r="E655" s="10">
        <f t="shared" si="3"/>
        <v>18</v>
      </c>
      <c r="F655" s="10">
        <f t="shared" si="4"/>
        <v>73</v>
      </c>
      <c r="G655" s="8" t="str">
        <f t="shared" si="5"/>
        <v xml:space="preserve"> Uso de meios digitais no contexto do ensino superior. </v>
      </c>
      <c r="H655" s="10" t="str">
        <f t="shared" si="6"/>
        <v xml:space="preserve">Gouveia, L. </v>
      </c>
      <c r="I655" s="10" t="str">
        <f t="shared" si="7"/>
        <v xml:space="preserve">Gouveia, L. </v>
      </c>
      <c r="J655" s="10" t="str">
        <f t="shared" si="8"/>
        <v xml:space="preserve">Gouveia, L. </v>
      </c>
      <c r="K655" s="11" t="str">
        <f ca="1">IFERROR(__xludf.DUMMYFUNCTION("SPLIT(J655,"";"")"),"Gouveia, L. ")</f>
        <v xml:space="preserve">Gouveia, L. </v>
      </c>
      <c r="L655" s="10"/>
      <c r="M655" s="10"/>
      <c r="N655" s="10"/>
      <c r="O655" s="10"/>
      <c r="P655" s="10"/>
      <c r="Q655" s="10"/>
      <c r="R655" s="10"/>
      <c r="S655" s="10"/>
      <c r="T655" s="10"/>
      <c r="U655" s="10"/>
      <c r="V655" s="10"/>
      <c r="W655" s="10"/>
      <c r="X655" s="10"/>
      <c r="Y655" s="10"/>
      <c r="Z655" s="10"/>
    </row>
    <row r="656" spans="1:26" ht="17.25" customHeight="1" x14ac:dyDescent="0.3">
      <c r="A656" s="10" t="s">
        <v>784</v>
      </c>
      <c r="B656" s="10">
        <f t="shared" si="0"/>
        <v>13</v>
      </c>
      <c r="C656" s="8" t="str">
        <f t="shared" si="1"/>
        <v xml:space="preserve">Gouveia, L. </v>
      </c>
      <c r="D656" s="8" t="str">
        <f t="shared" si="2"/>
        <v>2003</v>
      </c>
      <c r="E656" s="10">
        <f t="shared" si="3"/>
        <v>18</v>
      </c>
      <c r="F656" s="10">
        <f t="shared" si="4"/>
        <v>72</v>
      </c>
      <c r="G656" s="8" t="str">
        <f t="shared" si="5"/>
        <v xml:space="preserve"> A mobilidade no Gaia Global: conceitos e aplicações. </v>
      </c>
      <c r="H656" s="10" t="str">
        <f t="shared" si="6"/>
        <v xml:space="preserve">Gouveia, L. </v>
      </c>
      <c r="I656" s="10" t="str">
        <f t="shared" si="7"/>
        <v xml:space="preserve">Gouveia, L. </v>
      </c>
      <c r="J656" s="10" t="str">
        <f t="shared" si="8"/>
        <v xml:space="preserve">Gouveia, L. </v>
      </c>
      <c r="K656" s="11" t="str">
        <f ca="1">IFERROR(__xludf.DUMMYFUNCTION("SPLIT(J656,"";"")"),"Gouveia, L. ")</f>
        <v xml:space="preserve">Gouveia, L. </v>
      </c>
      <c r="L656" s="10"/>
      <c r="M656" s="10"/>
      <c r="N656" s="10"/>
      <c r="O656" s="10"/>
      <c r="P656" s="10"/>
      <c r="Q656" s="10"/>
      <c r="R656" s="10"/>
      <c r="S656" s="10"/>
      <c r="T656" s="10"/>
      <c r="U656" s="10"/>
      <c r="V656" s="10"/>
      <c r="W656" s="10"/>
      <c r="X656" s="10"/>
      <c r="Y656" s="10"/>
      <c r="Z656" s="10"/>
    </row>
    <row r="657" spans="1:26" ht="17.25" customHeight="1" x14ac:dyDescent="0.3">
      <c r="A657" s="10" t="s">
        <v>785</v>
      </c>
      <c r="B657" s="10">
        <f t="shared" si="0"/>
        <v>13</v>
      </c>
      <c r="C657" s="8" t="str">
        <f t="shared" si="1"/>
        <v xml:space="preserve">Gouveia, L. </v>
      </c>
      <c r="D657" s="8" t="str">
        <f t="shared" si="2"/>
        <v>2003</v>
      </c>
      <c r="E657" s="10">
        <f t="shared" si="3"/>
        <v>18</v>
      </c>
      <c r="F657" s="10">
        <f t="shared" si="4"/>
        <v>87</v>
      </c>
      <c r="G657" s="8" t="str">
        <f t="shared" si="5"/>
        <v xml:space="preserve"> Informáticos versus Documentalistas face à Sociedade da Informação. </v>
      </c>
      <c r="H657" s="10" t="str">
        <f t="shared" si="6"/>
        <v xml:space="preserve">Gouveia, L. </v>
      </c>
      <c r="I657" s="10" t="str">
        <f t="shared" si="7"/>
        <v xml:space="preserve">Gouveia, L. </v>
      </c>
      <c r="J657" s="10" t="str">
        <f t="shared" si="8"/>
        <v xml:space="preserve">Gouveia, L. </v>
      </c>
      <c r="K657" s="11" t="str">
        <f ca="1">IFERROR(__xludf.DUMMYFUNCTION("SPLIT(J657,"";"")"),"Gouveia, L. ")</f>
        <v xml:space="preserve">Gouveia, L. </v>
      </c>
      <c r="L657" s="10"/>
      <c r="M657" s="10"/>
      <c r="N657" s="10"/>
      <c r="O657" s="10"/>
      <c r="P657" s="10"/>
      <c r="Q657" s="10"/>
      <c r="R657" s="10"/>
      <c r="S657" s="10"/>
      <c r="T657" s="10"/>
      <c r="U657" s="10"/>
      <c r="V657" s="10"/>
      <c r="W657" s="10"/>
      <c r="X657" s="10"/>
      <c r="Y657" s="10"/>
      <c r="Z657" s="10"/>
    </row>
    <row r="658" spans="1:26" ht="17.25" customHeight="1" x14ac:dyDescent="0.3">
      <c r="A658" s="10" t="s">
        <v>786</v>
      </c>
      <c r="B658" s="10">
        <f t="shared" si="0"/>
        <v>13</v>
      </c>
      <c r="C658" s="8" t="str">
        <f t="shared" si="1"/>
        <v xml:space="preserve">Gouveia, L. </v>
      </c>
      <c r="D658" s="8" t="str">
        <f t="shared" si="2"/>
        <v>2001</v>
      </c>
      <c r="E658" s="10" t="e">
        <f t="shared" si="3"/>
        <v>#VALUE!</v>
      </c>
      <c r="F658" s="10" t="e">
        <f t="shared" si="4"/>
        <v>#VALUE!</v>
      </c>
      <c r="G658" s="8" t="e">
        <f t="shared" si="5"/>
        <v>#VALUE!</v>
      </c>
      <c r="H658" s="10" t="str">
        <f t="shared" si="6"/>
        <v xml:space="preserve">Gouveia, L. </v>
      </c>
      <c r="I658" s="10" t="str">
        <f t="shared" si="7"/>
        <v xml:space="preserve">Gouveia, L. </v>
      </c>
      <c r="J658" s="10" t="str">
        <f t="shared" si="8"/>
        <v xml:space="preserve">Gouveia, L. </v>
      </c>
      <c r="K658" s="11" t="str">
        <f ca="1">IFERROR(__xludf.DUMMYFUNCTION("SPLIT(J658,"";"")"),"Gouveia, L. ")</f>
        <v xml:space="preserve">Gouveia, L. </v>
      </c>
      <c r="L658" s="10"/>
      <c r="M658" s="10"/>
      <c r="N658" s="10"/>
      <c r="O658" s="10"/>
      <c r="P658" s="10"/>
      <c r="Q658" s="10"/>
      <c r="R658" s="10"/>
      <c r="S658" s="10"/>
      <c r="T658" s="10"/>
      <c r="U658" s="10"/>
      <c r="V658" s="10"/>
      <c r="W658" s="10"/>
      <c r="X658" s="10"/>
      <c r="Y658" s="10"/>
      <c r="Z658" s="10"/>
    </row>
    <row r="659" spans="1:26" ht="17.25" customHeight="1" x14ac:dyDescent="0.3">
      <c r="A659" s="10" t="s">
        <v>787</v>
      </c>
      <c r="B659" s="10" t="e">
        <f t="shared" si="0"/>
        <v>#VALUE!</v>
      </c>
      <c r="C659" s="8" t="e">
        <f t="shared" si="1"/>
        <v>#VALUE!</v>
      </c>
      <c r="D659" s="8" t="e">
        <f t="shared" si="2"/>
        <v>#VALUE!</v>
      </c>
      <c r="E659" s="10" t="e">
        <f t="shared" si="3"/>
        <v>#VALUE!</v>
      </c>
      <c r="F659" s="10" t="e">
        <f t="shared" si="4"/>
        <v>#VALUE!</v>
      </c>
      <c r="G659" s="8" t="e">
        <f t="shared" si="5"/>
        <v>#VALUE!</v>
      </c>
      <c r="H659" s="10" t="e">
        <f t="shared" si="6"/>
        <v>#VALUE!</v>
      </c>
      <c r="I659" s="10" t="e">
        <f t="shared" si="7"/>
        <v>#VALUE!</v>
      </c>
      <c r="J659" s="10" t="e">
        <f t="shared" si="8"/>
        <v>#VALUE!</v>
      </c>
      <c r="K659" s="11" t="str">
        <f ca="1">IFERROR(__xludf.DUMMYFUNCTION("SPLIT(J659,"";"")"),"#VALUE!")</f>
        <v>#VALUE!</v>
      </c>
      <c r="L659" s="10"/>
      <c r="M659" s="10"/>
      <c r="N659" s="10"/>
      <c r="O659" s="10"/>
      <c r="P659" s="10"/>
      <c r="Q659" s="10"/>
      <c r="R659" s="10"/>
      <c r="S659" s="10"/>
      <c r="T659" s="10"/>
      <c r="U659" s="10"/>
      <c r="V659" s="10"/>
      <c r="W659" s="10"/>
      <c r="X659" s="10"/>
      <c r="Y659" s="10"/>
      <c r="Z659" s="10"/>
    </row>
    <row r="660" spans="1:26" ht="17.25" customHeight="1" x14ac:dyDescent="0.3">
      <c r="A660" s="10" t="s">
        <v>788</v>
      </c>
      <c r="B660" s="10" t="e">
        <f t="shared" si="0"/>
        <v>#VALUE!</v>
      </c>
      <c r="C660" s="8" t="e">
        <f t="shared" si="1"/>
        <v>#VALUE!</v>
      </c>
      <c r="D660" s="8" t="e">
        <f t="shared" si="2"/>
        <v>#VALUE!</v>
      </c>
      <c r="E660" s="10" t="e">
        <f t="shared" si="3"/>
        <v>#VALUE!</v>
      </c>
      <c r="F660" s="10" t="e">
        <f t="shared" si="4"/>
        <v>#VALUE!</v>
      </c>
      <c r="G660" s="8" t="e">
        <f t="shared" si="5"/>
        <v>#VALUE!</v>
      </c>
      <c r="H660" s="10" t="e">
        <f t="shared" si="6"/>
        <v>#VALUE!</v>
      </c>
      <c r="I660" s="10" t="e">
        <f t="shared" si="7"/>
        <v>#VALUE!</v>
      </c>
      <c r="J660" s="10" t="e">
        <f t="shared" si="8"/>
        <v>#VALUE!</v>
      </c>
      <c r="K660" s="11" t="str">
        <f ca="1">IFERROR(__xludf.DUMMYFUNCTION("SPLIT(J660,"";"")"),"#VALUE!")</f>
        <v>#VALUE!</v>
      </c>
      <c r="L660" s="10"/>
      <c r="M660" s="10"/>
      <c r="N660" s="10"/>
      <c r="O660" s="10"/>
      <c r="P660" s="10"/>
      <c r="Q660" s="10"/>
      <c r="R660" s="10"/>
      <c r="S660" s="10"/>
      <c r="T660" s="10"/>
      <c r="U660" s="10"/>
      <c r="V660" s="10"/>
      <c r="W660" s="10"/>
      <c r="X660" s="10"/>
      <c r="Y660" s="10"/>
      <c r="Z660" s="10"/>
    </row>
    <row r="661" spans="1:26" ht="17.25" customHeight="1" x14ac:dyDescent="0.3">
      <c r="A661" s="10" t="s">
        <v>789</v>
      </c>
      <c r="B661" s="10">
        <f t="shared" si="0"/>
        <v>26</v>
      </c>
      <c r="C661" s="8" t="str">
        <f t="shared" si="1"/>
        <v xml:space="preserve">Barros, V. e Gouveia, L. </v>
      </c>
      <c r="D661" s="8" t="str">
        <f t="shared" si="2"/>
        <v>2019</v>
      </c>
      <c r="E661" s="10">
        <f t="shared" si="3"/>
        <v>31</v>
      </c>
      <c r="F661" s="10">
        <f t="shared" si="4"/>
        <v>129</v>
      </c>
      <c r="G661" s="8" t="str">
        <f t="shared" si="5"/>
        <v xml:space="preserve"> Por que mensuar os impactos sociais e ambientais dos pequenos negócios eleva a competitividade?. </v>
      </c>
      <c r="H661" s="10" t="str">
        <f t="shared" si="6"/>
        <v xml:space="preserve">Barros, V. e Gouveia, L. </v>
      </c>
      <c r="I661" s="10" t="str">
        <f t="shared" si="7"/>
        <v xml:space="preserve">Barros, V. e Gouveia, L. </v>
      </c>
      <c r="J661" s="10" t="str">
        <f t="shared" si="8"/>
        <v xml:space="preserve">Barros, V.;Gouveia, L. </v>
      </c>
      <c r="K661" s="11" t="str">
        <f ca="1">IFERROR(__xludf.DUMMYFUNCTION("SPLIT(J661,"";"")"),"Barros, V.")</f>
        <v>Barros, V.</v>
      </c>
      <c r="L661" s="10" t="str">
        <f ca="1">IFERROR(__xludf.DUMMYFUNCTION("""COMPUTED_VALUE"""),"Gouveia, L. ")</f>
        <v xml:space="preserve">Gouveia, L. </v>
      </c>
      <c r="M661" s="10"/>
      <c r="N661" s="10"/>
      <c r="O661" s="10"/>
      <c r="P661" s="10"/>
      <c r="Q661" s="10"/>
      <c r="R661" s="10"/>
      <c r="S661" s="10"/>
      <c r="T661" s="10"/>
      <c r="U661" s="10"/>
      <c r="V661" s="10"/>
      <c r="W661" s="10"/>
      <c r="X661" s="10"/>
      <c r="Y661" s="10"/>
      <c r="Z661" s="10"/>
    </row>
    <row r="662" spans="1:26" ht="17.25" customHeight="1" x14ac:dyDescent="0.3">
      <c r="A662" s="10" t="s">
        <v>790</v>
      </c>
      <c r="B662" s="10">
        <f t="shared" si="0"/>
        <v>25</v>
      </c>
      <c r="C662" s="8" t="str">
        <f t="shared" si="1"/>
        <v xml:space="preserve">Rocha, D. e Gouveia, L. </v>
      </c>
      <c r="D662" s="8" t="str">
        <f t="shared" si="2"/>
        <v>2020</v>
      </c>
      <c r="E662" s="10">
        <f t="shared" si="3"/>
        <v>30</v>
      </c>
      <c r="F662" s="10">
        <f t="shared" si="4"/>
        <v>109</v>
      </c>
      <c r="G662" s="8" t="str">
        <f t="shared" si="5"/>
        <v xml:space="preserve"> Luis Borges Gouveia: o que Brasil e Portugal têm em comum no ensino superior. </v>
      </c>
      <c r="H662" s="10" t="str">
        <f t="shared" si="6"/>
        <v xml:space="preserve">Rocha, D. e Gouveia, L. </v>
      </c>
      <c r="I662" s="10" t="str">
        <f t="shared" si="7"/>
        <v xml:space="preserve">Rocha, D. e Gouveia, L. </v>
      </c>
      <c r="J662" s="10" t="str">
        <f t="shared" si="8"/>
        <v xml:space="preserve">Rocha, D.;Gouveia, L. </v>
      </c>
      <c r="K662" s="11" t="str">
        <f ca="1">IFERROR(__xludf.DUMMYFUNCTION("SPLIT(J662,"";"")"),"Rocha, D.")</f>
        <v>Rocha, D.</v>
      </c>
      <c r="L662" s="10" t="str">
        <f ca="1">IFERROR(__xludf.DUMMYFUNCTION("""COMPUTED_VALUE"""),"Gouveia, L. ")</f>
        <v xml:space="preserve">Gouveia, L. </v>
      </c>
      <c r="M662" s="10"/>
      <c r="N662" s="10"/>
      <c r="O662" s="10"/>
      <c r="P662" s="10"/>
      <c r="Q662" s="10"/>
      <c r="R662" s="10"/>
      <c r="S662" s="10"/>
      <c r="T662" s="10"/>
      <c r="U662" s="10"/>
      <c r="V662" s="10"/>
      <c r="W662" s="10"/>
      <c r="X662" s="10"/>
      <c r="Y662" s="10"/>
      <c r="Z662" s="10"/>
    </row>
    <row r="663" spans="1:26" ht="17.25" customHeight="1" x14ac:dyDescent="0.3">
      <c r="A663" s="10" t="s">
        <v>791</v>
      </c>
      <c r="B663" s="10">
        <f t="shared" si="0"/>
        <v>25</v>
      </c>
      <c r="C663" s="8" t="str">
        <f t="shared" si="1"/>
        <v xml:space="preserve">Rocha, C. e Gouveia, L. </v>
      </c>
      <c r="D663" s="8" t="str">
        <f t="shared" si="2"/>
        <v>2019</v>
      </c>
      <c r="E663" s="10">
        <f t="shared" si="3"/>
        <v>30</v>
      </c>
      <c r="F663" s="10">
        <f t="shared" si="4"/>
        <v>99</v>
      </c>
      <c r="G663" s="8" t="str">
        <f t="shared" si="5"/>
        <v xml:space="preserve"> Uso de Live Stream em Ensino Superior Stricto Sensu no Brasil/UFPR. </v>
      </c>
      <c r="H663" s="10" t="str">
        <f t="shared" si="6"/>
        <v xml:space="preserve">Rocha, C. e Gouveia, L. </v>
      </c>
      <c r="I663" s="10" t="str">
        <f t="shared" si="7"/>
        <v xml:space="preserve">Rocha, C. e Gouveia, L. </v>
      </c>
      <c r="J663" s="10" t="str">
        <f t="shared" si="8"/>
        <v xml:space="preserve">Rocha, C.;Gouveia, L. </v>
      </c>
      <c r="K663" s="11" t="str">
        <f ca="1">IFERROR(__xludf.DUMMYFUNCTION("SPLIT(J663,"";"")"),"Rocha, C.")</f>
        <v>Rocha, C.</v>
      </c>
      <c r="L663" s="10" t="str">
        <f ca="1">IFERROR(__xludf.DUMMYFUNCTION("""COMPUTED_VALUE"""),"Gouveia, L. ")</f>
        <v xml:space="preserve">Gouveia, L. </v>
      </c>
      <c r="M663" s="10"/>
      <c r="N663" s="10"/>
      <c r="O663" s="10"/>
      <c r="P663" s="10"/>
      <c r="Q663" s="10"/>
      <c r="R663" s="10"/>
      <c r="S663" s="10"/>
      <c r="T663" s="10"/>
      <c r="U663" s="10"/>
      <c r="V663" s="10"/>
      <c r="W663" s="10"/>
      <c r="X663" s="10"/>
      <c r="Y663" s="10"/>
      <c r="Z663" s="10"/>
    </row>
    <row r="664" spans="1:26" ht="17.25" customHeight="1" x14ac:dyDescent="0.3">
      <c r="A664" s="10" t="s">
        <v>792</v>
      </c>
      <c r="B664" s="10">
        <f t="shared" si="0"/>
        <v>25</v>
      </c>
      <c r="C664" s="8" t="str">
        <f t="shared" si="1"/>
        <v xml:space="preserve">Rocha, D. e Gouveia, L. </v>
      </c>
      <c r="D664" s="8" t="str">
        <f t="shared" si="2"/>
        <v>2019</v>
      </c>
      <c r="E664" s="10">
        <f t="shared" si="3"/>
        <v>30</v>
      </c>
      <c r="F664" s="10">
        <f t="shared" si="4"/>
        <v>110</v>
      </c>
      <c r="G664" s="8" t="str">
        <f t="shared" si="5"/>
        <v xml:space="preserve"> Curadoria Digital de Conteúdo EaD para o Ensino Superior: proposta e desafios. </v>
      </c>
      <c r="H664" s="10" t="str">
        <f t="shared" si="6"/>
        <v xml:space="preserve">Rocha, D. e Gouveia, L. </v>
      </c>
      <c r="I664" s="10" t="str">
        <f t="shared" si="7"/>
        <v xml:space="preserve">Rocha, D. e Gouveia, L. </v>
      </c>
      <c r="J664" s="10" t="str">
        <f t="shared" si="8"/>
        <v xml:space="preserve">Rocha, D.;Gouveia, L. </v>
      </c>
      <c r="K664" s="11" t="str">
        <f ca="1">IFERROR(__xludf.DUMMYFUNCTION("SPLIT(J664,"";"")"),"Rocha, D.")</f>
        <v>Rocha, D.</v>
      </c>
      <c r="L664" s="10" t="str">
        <f ca="1">IFERROR(__xludf.DUMMYFUNCTION("""COMPUTED_VALUE"""),"Gouveia, L. ")</f>
        <v xml:space="preserve">Gouveia, L. </v>
      </c>
      <c r="M664" s="10"/>
      <c r="N664" s="10"/>
      <c r="O664" s="10"/>
      <c r="P664" s="10"/>
      <c r="Q664" s="10"/>
      <c r="R664" s="10"/>
      <c r="S664" s="10"/>
      <c r="T664" s="10"/>
      <c r="U664" s="10"/>
      <c r="V664" s="10"/>
      <c r="W664" s="10"/>
      <c r="X664" s="10"/>
      <c r="Y664" s="10"/>
      <c r="Z664" s="10"/>
    </row>
    <row r="665" spans="1:26" ht="17.25" customHeight="1" x14ac:dyDescent="0.3">
      <c r="A665" s="10" t="s">
        <v>793</v>
      </c>
      <c r="B665" s="10">
        <f t="shared" si="0"/>
        <v>25</v>
      </c>
      <c r="C665" s="8" t="str">
        <f t="shared" si="1"/>
        <v xml:space="preserve">Rocha, D. e Gouveia, L. </v>
      </c>
      <c r="D665" s="8" t="str">
        <f t="shared" si="2"/>
        <v>2019</v>
      </c>
      <c r="E665" s="10">
        <f t="shared" si="3"/>
        <v>30</v>
      </c>
      <c r="F665" s="10">
        <f t="shared" si="4"/>
        <v>147</v>
      </c>
      <c r="G665" s="8" t="str">
        <f t="shared" si="5"/>
        <v xml:space="preserve"> Gestão do Conhecimento e Produção de Conteúdo para a Educação a Distância: Estado da Arte em um período de 14 anos. </v>
      </c>
      <c r="H665" s="10" t="str">
        <f t="shared" si="6"/>
        <v xml:space="preserve">Rocha, D. e Gouveia, L. </v>
      </c>
      <c r="I665" s="10" t="str">
        <f t="shared" si="7"/>
        <v xml:space="preserve">Rocha, D. e Gouveia, L. </v>
      </c>
      <c r="J665" s="10" t="str">
        <f t="shared" si="8"/>
        <v xml:space="preserve">Rocha, D.;Gouveia, L. </v>
      </c>
      <c r="K665" s="11" t="str">
        <f ca="1">IFERROR(__xludf.DUMMYFUNCTION("SPLIT(J665,"";"")"),"Rocha, D.")</f>
        <v>Rocha, D.</v>
      </c>
      <c r="L665" s="10" t="str">
        <f ca="1">IFERROR(__xludf.DUMMYFUNCTION("""COMPUTED_VALUE"""),"Gouveia, L. ")</f>
        <v xml:space="preserve">Gouveia, L. </v>
      </c>
      <c r="M665" s="10"/>
      <c r="N665" s="10"/>
      <c r="O665" s="10"/>
      <c r="P665" s="10"/>
      <c r="Q665" s="10"/>
      <c r="R665" s="10"/>
      <c r="S665" s="10"/>
      <c r="T665" s="10"/>
      <c r="U665" s="10"/>
      <c r="V665" s="10"/>
      <c r="W665" s="10"/>
      <c r="X665" s="10"/>
      <c r="Y665" s="10"/>
      <c r="Z665" s="10"/>
    </row>
    <row r="666" spans="1:26" ht="17.25" customHeight="1" x14ac:dyDescent="0.3">
      <c r="A666" s="10" t="s">
        <v>794</v>
      </c>
      <c r="B666" s="10">
        <f t="shared" si="0"/>
        <v>39</v>
      </c>
      <c r="C666" s="8" t="str">
        <f t="shared" si="1"/>
        <v xml:space="preserve">Cavaignac, S.; Gouveia, L. e Reis, P. </v>
      </c>
      <c r="D666" s="8" t="str">
        <f t="shared" si="2"/>
        <v>2019</v>
      </c>
      <c r="E666" s="10">
        <f t="shared" si="3"/>
        <v>44</v>
      </c>
      <c r="F666" s="10">
        <f t="shared" si="4"/>
        <v>193</v>
      </c>
      <c r="G666" s="8" t="str">
        <f t="shared" si="5"/>
        <v xml:space="preserve"> Uso do Kahoot e de estratégia de Gamificação no Ensino Superior: relato de experiência da aplicação do peer instruction como metodologia de ensino. </v>
      </c>
      <c r="H666" s="10" t="str">
        <f t="shared" si="6"/>
        <v xml:space="preserve">Cavaignac, S.; Gouveia, L. e Reis, P. </v>
      </c>
      <c r="I666" s="10" t="str">
        <f t="shared" si="7"/>
        <v xml:space="preserve">Cavaignac, S.; Gouveia, L. e Reis, P. </v>
      </c>
      <c r="J666" s="10" t="str">
        <f t="shared" si="8"/>
        <v xml:space="preserve">Cavaignac, S.; Gouveia, L.;Reis, P. </v>
      </c>
      <c r="K666" s="11" t="str">
        <f ca="1">IFERROR(__xludf.DUMMYFUNCTION("SPLIT(J666,"";"")"),"Cavaignac, S.")</f>
        <v>Cavaignac, S.</v>
      </c>
      <c r="L666" s="10" t="str">
        <f ca="1">IFERROR(__xludf.DUMMYFUNCTION("""COMPUTED_VALUE""")," Gouveia, L.")</f>
        <v xml:space="preserve"> Gouveia, L.</v>
      </c>
      <c r="M666" s="10" t="str">
        <f ca="1">IFERROR(__xludf.DUMMYFUNCTION("""COMPUTED_VALUE"""),"Reis, P. ")</f>
        <v xml:space="preserve">Reis, P. </v>
      </c>
      <c r="N666" s="10"/>
      <c r="O666" s="10"/>
      <c r="P666" s="10"/>
      <c r="Q666" s="10"/>
      <c r="R666" s="10"/>
      <c r="S666" s="10"/>
      <c r="T666" s="10"/>
      <c r="U666" s="10"/>
      <c r="V666" s="10"/>
      <c r="W666" s="10"/>
      <c r="X666" s="10"/>
      <c r="Y666" s="10"/>
      <c r="Z666" s="10"/>
    </row>
    <row r="667" spans="1:26" ht="17.25" customHeight="1" x14ac:dyDescent="0.3">
      <c r="A667" s="10" t="s">
        <v>795</v>
      </c>
      <c r="B667" s="10">
        <f t="shared" si="0"/>
        <v>28</v>
      </c>
      <c r="C667" s="8" t="str">
        <f t="shared" si="1"/>
        <v xml:space="preserve">Oliveira, I. e Gouveia, L. </v>
      </c>
      <c r="D667" s="8" t="str">
        <f t="shared" si="2"/>
        <v>2019</v>
      </c>
      <c r="E667" s="10">
        <f t="shared" si="3"/>
        <v>33</v>
      </c>
      <c r="F667" s="10">
        <f t="shared" si="4"/>
        <v>74</v>
      </c>
      <c r="G667" s="8" t="str">
        <f t="shared" si="5"/>
        <v xml:space="preserve">  Uma Crítica ao Ensino em Sala de Aula. </v>
      </c>
      <c r="H667" s="10" t="str">
        <f t="shared" si="6"/>
        <v xml:space="preserve">Oliveira, I. e Gouveia, L. </v>
      </c>
      <c r="I667" s="10" t="str">
        <f t="shared" si="7"/>
        <v xml:space="preserve">Oliveira, I. e Gouveia, L. </v>
      </c>
      <c r="J667" s="10" t="str">
        <f t="shared" si="8"/>
        <v xml:space="preserve">Oliveira, I.;Gouveia, L. </v>
      </c>
      <c r="K667" s="11" t="str">
        <f ca="1">IFERROR(__xludf.DUMMYFUNCTION("SPLIT(J667,"";"")"),"Oliveira, I.")</f>
        <v>Oliveira, I.</v>
      </c>
      <c r="L667" s="10" t="str">
        <f ca="1">IFERROR(__xludf.DUMMYFUNCTION("""COMPUTED_VALUE"""),"Gouveia, L. ")</f>
        <v xml:space="preserve">Gouveia, L. </v>
      </c>
      <c r="M667" s="10"/>
      <c r="N667" s="10"/>
      <c r="O667" s="10"/>
      <c r="P667" s="10"/>
      <c r="Q667" s="10"/>
      <c r="R667" s="10"/>
      <c r="S667" s="10"/>
      <c r="T667" s="10"/>
      <c r="U667" s="10"/>
      <c r="V667" s="10"/>
      <c r="W667" s="10"/>
      <c r="X667" s="10"/>
      <c r="Y667" s="10"/>
      <c r="Z667" s="10"/>
    </row>
    <row r="668" spans="1:26" ht="17.25" customHeight="1" x14ac:dyDescent="0.3">
      <c r="A668" s="10" t="s">
        <v>796</v>
      </c>
      <c r="B668" s="10">
        <f t="shared" si="0"/>
        <v>28</v>
      </c>
      <c r="C668" s="8" t="str">
        <f t="shared" si="1"/>
        <v xml:space="preserve">Oliveira, I. e Gouveia, L. </v>
      </c>
      <c r="D668" s="8" t="str">
        <f t="shared" si="2"/>
        <v>2019</v>
      </c>
      <c r="E668" s="10">
        <f t="shared" si="3"/>
        <v>33</v>
      </c>
      <c r="F668" s="10">
        <f t="shared" si="4"/>
        <v>112</v>
      </c>
      <c r="G668" s="8" t="str">
        <f t="shared" si="5"/>
        <v xml:space="preserve"> Postulados para uma Educação a Distância: uma tese para um curso de Teologia. </v>
      </c>
      <c r="H668" s="10" t="str">
        <f t="shared" si="6"/>
        <v xml:space="preserve">Oliveira, I. e Gouveia, L. </v>
      </c>
      <c r="I668" s="10" t="str">
        <f t="shared" si="7"/>
        <v xml:space="preserve">Oliveira, I. e Gouveia, L. </v>
      </c>
      <c r="J668" s="10" t="str">
        <f t="shared" si="8"/>
        <v xml:space="preserve">Oliveira, I.;Gouveia, L. </v>
      </c>
      <c r="K668" s="11" t="str">
        <f ca="1">IFERROR(__xludf.DUMMYFUNCTION("SPLIT(J668,"";"")"),"Oliveira, I.")</f>
        <v>Oliveira, I.</v>
      </c>
      <c r="L668" s="10" t="str">
        <f ca="1">IFERROR(__xludf.DUMMYFUNCTION("""COMPUTED_VALUE"""),"Gouveia, L. ")</f>
        <v xml:space="preserve">Gouveia, L. </v>
      </c>
      <c r="M668" s="10"/>
      <c r="N668" s="10"/>
      <c r="O668" s="10"/>
      <c r="P668" s="10"/>
      <c r="Q668" s="10"/>
      <c r="R668" s="10"/>
      <c r="S668" s="10"/>
      <c r="T668" s="10"/>
      <c r="U668" s="10"/>
      <c r="V668" s="10"/>
      <c r="W668" s="10"/>
      <c r="X668" s="10"/>
      <c r="Y668" s="10"/>
      <c r="Z668" s="10"/>
    </row>
    <row r="669" spans="1:26" ht="17.25" customHeight="1" x14ac:dyDescent="0.3">
      <c r="A669" s="10" t="s">
        <v>797</v>
      </c>
      <c r="B669" s="10">
        <f t="shared" si="0"/>
        <v>28</v>
      </c>
      <c r="C669" s="8" t="str">
        <f t="shared" si="1"/>
        <v xml:space="preserve">Oliveira, I. e Gouveia, L. </v>
      </c>
      <c r="D669" s="8" t="str">
        <f t="shared" si="2"/>
        <v>2019</v>
      </c>
      <c r="E669" s="10">
        <f t="shared" si="3"/>
        <v>33</v>
      </c>
      <c r="F669" s="10">
        <f t="shared" si="4"/>
        <v>153</v>
      </c>
      <c r="G669" s="8" t="str">
        <f t="shared" si="5"/>
        <v xml:space="preserve"> Postulações para uma nova proposta em Educação á Distância: Uma nova Grade de Ensino e Tese para um Curso de Teologia. </v>
      </c>
      <c r="H669" s="10" t="str">
        <f t="shared" si="6"/>
        <v xml:space="preserve">Oliveira, I. e Gouveia, L. </v>
      </c>
      <c r="I669" s="10" t="str">
        <f t="shared" si="7"/>
        <v xml:space="preserve">Oliveira, I. e Gouveia, L. </v>
      </c>
      <c r="J669" s="10" t="str">
        <f t="shared" si="8"/>
        <v xml:space="preserve">Oliveira, I.;Gouveia, L. </v>
      </c>
      <c r="K669" s="11" t="str">
        <f ca="1">IFERROR(__xludf.DUMMYFUNCTION("SPLIT(J669,"";"")"),"Oliveira, I.")</f>
        <v>Oliveira, I.</v>
      </c>
      <c r="L669" s="10" t="str">
        <f ca="1">IFERROR(__xludf.DUMMYFUNCTION("""COMPUTED_VALUE"""),"Gouveia, L. ")</f>
        <v xml:space="preserve">Gouveia, L. </v>
      </c>
      <c r="M669" s="10"/>
      <c r="N669" s="10"/>
      <c r="O669" s="10"/>
      <c r="P669" s="10"/>
      <c r="Q669" s="10"/>
      <c r="R669" s="10"/>
      <c r="S669" s="10"/>
      <c r="T669" s="10"/>
      <c r="U669" s="10"/>
      <c r="V669" s="10"/>
      <c r="W669" s="10"/>
      <c r="X669" s="10"/>
      <c r="Y669" s="10"/>
      <c r="Z669" s="10"/>
    </row>
    <row r="670" spans="1:26" ht="17.25" customHeight="1" x14ac:dyDescent="0.3">
      <c r="A670" s="10" t="s">
        <v>798</v>
      </c>
      <c r="B670" s="10">
        <f t="shared" si="0"/>
        <v>28</v>
      </c>
      <c r="C670" s="8" t="str">
        <f t="shared" si="1"/>
        <v xml:space="preserve">Oliveira, I. e Gouveia, L. </v>
      </c>
      <c r="D670" s="8" t="str">
        <f t="shared" si="2"/>
        <v>2019</v>
      </c>
      <c r="E670" s="10">
        <f t="shared" si="3"/>
        <v>33</v>
      </c>
      <c r="F670" s="10">
        <f t="shared" si="4"/>
        <v>132</v>
      </c>
      <c r="G670" s="8" t="str">
        <f t="shared" si="5"/>
        <v xml:space="preserve"> Projeto Científico: Postulados para uma educação a distância: uma tese para um curso de Teologia. </v>
      </c>
      <c r="H670" s="10" t="str">
        <f t="shared" si="6"/>
        <v xml:space="preserve">Oliveira, I. e Gouveia, L. </v>
      </c>
      <c r="I670" s="10" t="str">
        <f t="shared" si="7"/>
        <v xml:space="preserve">Oliveira, I. e Gouveia, L. </v>
      </c>
      <c r="J670" s="10" t="str">
        <f t="shared" si="8"/>
        <v xml:space="preserve">Oliveira, I.;Gouveia, L. </v>
      </c>
      <c r="K670" s="11" t="str">
        <f ca="1">IFERROR(__xludf.DUMMYFUNCTION("SPLIT(J670,"";"")"),"Oliveira, I.")</f>
        <v>Oliveira, I.</v>
      </c>
      <c r="L670" s="10" t="str">
        <f ca="1">IFERROR(__xludf.DUMMYFUNCTION("""COMPUTED_VALUE"""),"Gouveia, L. ")</f>
        <v xml:space="preserve">Gouveia, L. </v>
      </c>
      <c r="M670" s="10"/>
      <c r="N670" s="10"/>
      <c r="O670" s="10"/>
      <c r="P670" s="10"/>
      <c r="Q670" s="10"/>
      <c r="R670" s="10"/>
      <c r="S670" s="10"/>
      <c r="T670" s="10"/>
      <c r="U670" s="10"/>
      <c r="V670" s="10"/>
      <c r="W670" s="10"/>
      <c r="X670" s="10"/>
      <c r="Y670" s="10"/>
      <c r="Z670" s="10"/>
    </row>
    <row r="671" spans="1:26" ht="17.25" customHeight="1" x14ac:dyDescent="0.3">
      <c r="A671" s="10" t="s">
        <v>799</v>
      </c>
      <c r="B671" s="10">
        <f t="shared" si="0"/>
        <v>26</v>
      </c>
      <c r="C671" s="8" t="str">
        <f t="shared" si="1"/>
        <v xml:space="preserve">Barros, V. e Gouveia, L. </v>
      </c>
      <c r="D671" s="8" t="str">
        <f t="shared" si="2"/>
        <v>2019</v>
      </c>
      <c r="E671" s="10">
        <f t="shared" si="3"/>
        <v>31</v>
      </c>
      <c r="F671" s="10">
        <f t="shared" si="4"/>
        <v>96</v>
      </c>
      <c r="G671" s="8" t="str">
        <f t="shared" si="5"/>
        <v xml:space="preserve"> Inovação Social, Impacto, Escala e Desenvolvimento Sustentável. </v>
      </c>
      <c r="H671" s="10" t="str">
        <f t="shared" si="6"/>
        <v xml:space="preserve">Barros, V. e Gouveia, L. </v>
      </c>
      <c r="I671" s="10" t="str">
        <f t="shared" si="7"/>
        <v xml:space="preserve">Barros, V. e Gouveia, L. </v>
      </c>
      <c r="J671" s="10" t="str">
        <f t="shared" si="8"/>
        <v xml:space="preserve">Barros, V.;Gouveia, L. </v>
      </c>
      <c r="K671" s="11" t="str">
        <f ca="1">IFERROR(__xludf.DUMMYFUNCTION("SPLIT(J671,"";"")"),"Barros, V.")</f>
        <v>Barros, V.</v>
      </c>
      <c r="L671" s="10" t="str">
        <f ca="1">IFERROR(__xludf.DUMMYFUNCTION("""COMPUTED_VALUE"""),"Gouveia, L. ")</f>
        <v xml:space="preserve">Gouveia, L. </v>
      </c>
      <c r="M671" s="10"/>
      <c r="N671" s="10"/>
      <c r="O671" s="10"/>
      <c r="P671" s="10"/>
      <c r="Q671" s="10"/>
      <c r="R671" s="10"/>
      <c r="S671" s="10"/>
      <c r="T671" s="10"/>
      <c r="U671" s="10"/>
      <c r="V671" s="10"/>
      <c r="W671" s="10"/>
      <c r="X671" s="10"/>
      <c r="Y671" s="10"/>
      <c r="Z671" s="10"/>
    </row>
    <row r="672" spans="1:26" ht="17.25" customHeight="1" x14ac:dyDescent="0.3">
      <c r="A672" s="10" t="s">
        <v>800</v>
      </c>
      <c r="B672" s="10">
        <f t="shared" si="0"/>
        <v>28</v>
      </c>
      <c r="C672" s="8" t="str">
        <f t="shared" si="1"/>
        <v xml:space="preserve">Cordeiro, S. e Gouveia, L. </v>
      </c>
      <c r="D672" s="8" t="str">
        <f t="shared" si="2"/>
        <v>2018</v>
      </c>
      <c r="E672" s="10">
        <f t="shared" si="3"/>
        <v>33</v>
      </c>
      <c r="F672" s="10">
        <f t="shared" si="4"/>
        <v>71</v>
      </c>
      <c r="G672" s="8" t="str">
        <f t="shared" si="5"/>
        <v xml:space="preserve"> RGPD: o novo pesadelo das empresas?. </v>
      </c>
      <c r="H672" s="10" t="str">
        <f t="shared" si="6"/>
        <v xml:space="preserve">Cordeiro, S. e Gouveia, L. </v>
      </c>
      <c r="I672" s="10" t="str">
        <f t="shared" si="7"/>
        <v xml:space="preserve">Cordeiro, S. e Gouveia, L. </v>
      </c>
      <c r="J672" s="10" t="str">
        <f t="shared" si="8"/>
        <v xml:space="preserve">Cordeiro, S.;Gouveia, L. </v>
      </c>
      <c r="K672" s="11" t="str">
        <f ca="1">IFERROR(__xludf.DUMMYFUNCTION("SPLIT(J672,"";"")"),"Cordeiro, S.")</f>
        <v>Cordeiro, S.</v>
      </c>
      <c r="L672" s="10" t="str">
        <f ca="1">IFERROR(__xludf.DUMMYFUNCTION("""COMPUTED_VALUE"""),"Gouveia, L. ")</f>
        <v xml:space="preserve">Gouveia, L. </v>
      </c>
      <c r="M672" s="10"/>
      <c r="N672" s="10"/>
      <c r="O672" s="10"/>
      <c r="P672" s="10"/>
      <c r="Q672" s="10"/>
      <c r="R672" s="10"/>
      <c r="S672" s="10"/>
      <c r="T672" s="10"/>
      <c r="U672" s="10"/>
      <c r="V672" s="10"/>
      <c r="W672" s="10"/>
      <c r="X672" s="10"/>
      <c r="Y672" s="10"/>
      <c r="Z672" s="10"/>
    </row>
    <row r="673" spans="1:26" ht="17.25" customHeight="1" x14ac:dyDescent="0.3">
      <c r="A673" s="10" t="s">
        <v>801</v>
      </c>
      <c r="B673" s="10">
        <f t="shared" si="0"/>
        <v>26</v>
      </c>
      <c r="C673" s="8" t="str">
        <f t="shared" si="1"/>
        <v xml:space="preserve">Araújo, A. e Gouveia, L. </v>
      </c>
      <c r="D673" s="8" t="str">
        <f t="shared" si="2"/>
        <v>2018</v>
      </c>
      <c r="E673" s="10">
        <f t="shared" si="3"/>
        <v>31</v>
      </c>
      <c r="F673" s="10">
        <f t="shared" si="4"/>
        <v>96</v>
      </c>
      <c r="G673" s="8" t="str">
        <f t="shared" si="5"/>
        <v xml:space="preserve"> As Tecnologias de Informação e Comunicação aplicadas ao ensino. </v>
      </c>
      <c r="H673" s="10" t="str">
        <f t="shared" si="6"/>
        <v xml:space="preserve">Araújo, A. e Gouveia, L. </v>
      </c>
      <c r="I673" s="10" t="str">
        <f t="shared" si="7"/>
        <v xml:space="preserve">Araújo, A. e Gouveia, L. </v>
      </c>
      <c r="J673" s="10" t="str">
        <f t="shared" si="8"/>
        <v xml:space="preserve">Araújo, A.;Gouveia, L. </v>
      </c>
      <c r="K673" s="11" t="str">
        <f ca="1">IFERROR(__xludf.DUMMYFUNCTION("SPLIT(J673,"";"")"),"Araújo, A.")</f>
        <v>Araújo, A.</v>
      </c>
      <c r="L673" s="10" t="str">
        <f ca="1">IFERROR(__xludf.DUMMYFUNCTION("""COMPUTED_VALUE"""),"Gouveia, L. ")</f>
        <v xml:space="preserve">Gouveia, L. </v>
      </c>
      <c r="M673" s="10"/>
      <c r="N673" s="10"/>
      <c r="O673" s="10"/>
      <c r="P673" s="10"/>
      <c r="Q673" s="10"/>
      <c r="R673" s="10"/>
      <c r="S673" s="10"/>
      <c r="T673" s="10"/>
      <c r="U673" s="10"/>
      <c r="V673" s="10"/>
      <c r="W673" s="10"/>
      <c r="X673" s="10"/>
      <c r="Y673" s="10"/>
      <c r="Z673" s="10"/>
    </row>
    <row r="674" spans="1:26" ht="17.25" customHeight="1" x14ac:dyDescent="0.3">
      <c r="A674" s="10" t="s">
        <v>802</v>
      </c>
      <c r="B674" s="10">
        <f t="shared" si="0"/>
        <v>26</v>
      </c>
      <c r="C674" s="8" t="str">
        <f t="shared" si="1"/>
        <v xml:space="preserve">Araújo, A. e Gouveia, L. </v>
      </c>
      <c r="D674" s="8" t="str">
        <f t="shared" si="2"/>
        <v>2018</v>
      </c>
      <c r="E674" s="10">
        <f t="shared" si="3"/>
        <v>31</v>
      </c>
      <c r="F674" s="10">
        <f t="shared" si="4"/>
        <v>89</v>
      </c>
      <c r="G674" s="8" t="str">
        <f t="shared" si="5"/>
        <v xml:space="preserve"> Pressupostos sobre a pesquisa científica e teste piloto. </v>
      </c>
      <c r="H674" s="10" t="str">
        <f t="shared" si="6"/>
        <v xml:space="preserve">Araújo, A. e Gouveia, L. </v>
      </c>
      <c r="I674" s="10" t="str">
        <f t="shared" si="7"/>
        <v xml:space="preserve">Araújo, A. e Gouveia, L. </v>
      </c>
      <c r="J674" s="10" t="str">
        <f t="shared" si="8"/>
        <v xml:space="preserve">Araújo, A.;Gouveia, L. </v>
      </c>
      <c r="K674" s="11" t="str">
        <f ca="1">IFERROR(__xludf.DUMMYFUNCTION("SPLIT(J674,"";"")"),"Araújo, A.")</f>
        <v>Araújo, A.</v>
      </c>
      <c r="L674" s="10" t="str">
        <f ca="1">IFERROR(__xludf.DUMMYFUNCTION("""COMPUTED_VALUE"""),"Gouveia, L. ")</f>
        <v xml:space="preserve">Gouveia, L. </v>
      </c>
      <c r="M674" s="10"/>
      <c r="N674" s="10"/>
      <c r="O674" s="10"/>
      <c r="P674" s="10"/>
      <c r="Q674" s="10"/>
      <c r="R674" s="10"/>
      <c r="S674" s="10"/>
      <c r="T674" s="10"/>
      <c r="U674" s="10"/>
      <c r="V674" s="10"/>
      <c r="W674" s="10"/>
      <c r="X674" s="10"/>
      <c r="Y674" s="10"/>
      <c r="Z674" s="10"/>
    </row>
    <row r="675" spans="1:26" ht="17.25" customHeight="1" x14ac:dyDescent="0.3">
      <c r="A675" s="10" t="s">
        <v>674</v>
      </c>
      <c r="B675" s="10">
        <f t="shared" si="0"/>
        <v>13</v>
      </c>
      <c r="C675" s="8" t="str">
        <f t="shared" si="1"/>
        <v xml:space="preserve">Gouveia, L. </v>
      </c>
      <c r="D675" s="8" t="str">
        <f t="shared" si="2"/>
        <v>2014</v>
      </c>
      <c r="E675" s="10">
        <f t="shared" si="3"/>
        <v>18</v>
      </c>
      <c r="F675" s="10">
        <f t="shared" si="4"/>
        <v>97</v>
      </c>
      <c r="G675" s="8" t="str">
        <f t="shared" si="5"/>
        <v xml:space="preserve"> Desafios e oportunidades da Sociedade em Rede para o ensino e a aprendizagem. </v>
      </c>
      <c r="H675" s="10" t="str">
        <f t="shared" si="6"/>
        <v xml:space="preserve">Gouveia, L. </v>
      </c>
      <c r="I675" s="10" t="str">
        <f t="shared" si="7"/>
        <v xml:space="preserve">Gouveia, L. </v>
      </c>
      <c r="J675" s="10" t="str">
        <f t="shared" si="8"/>
        <v xml:space="preserve">Gouveia, L. </v>
      </c>
      <c r="K675" s="11" t="str">
        <f ca="1">IFERROR(__xludf.DUMMYFUNCTION("SPLIT(J675,"";"")"),"Gouveia, L. ")</f>
        <v xml:space="preserve">Gouveia, L. </v>
      </c>
      <c r="L675" s="10"/>
      <c r="M675" s="10"/>
      <c r="N675" s="10"/>
      <c r="O675" s="10"/>
      <c r="P675" s="10"/>
      <c r="Q675" s="10"/>
      <c r="R675" s="10"/>
      <c r="S675" s="10"/>
      <c r="T675" s="10"/>
      <c r="U675" s="10"/>
      <c r="V675" s="10"/>
      <c r="W675" s="10"/>
      <c r="X675" s="10"/>
      <c r="Y675" s="10"/>
      <c r="Z675" s="10"/>
    </row>
    <row r="676" spans="1:26" ht="17.25" customHeight="1" x14ac:dyDescent="0.3">
      <c r="A676" s="10" t="s">
        <v>803</v>
      </c>
      <c r="B676" s="10">
        <f t="shared" si="0"/>
        <v>33</v>
      </c>
      <c r="C676" s="8" t="str">
        <f t="shared" si="1"/>
        <v xml:space="preserve">Coelho, J. et al. e Gouveia, L. </v>
      </c>
      <c r="D676" s="8" t="str">
        <f t="shared" si="2"/>
        <v>2013</v>
      </c>
      <c r="E676" s="10">
        <f t="shared" si="3"/>
        <v>38</v>
      </c>
      <c r="F676" s="10">
        <f t="shared" si="4"/>
        <v>117</v>
      </c>
      <c r="G676" s="8" t="str">
        <f t="shared" si="5"/>
        <v xml:space="preserve"> As TIC e a Produtividade: a escassez de investimento no software em Portugal. </v>
      </c>
      <c r="H676" s="10" t="str">
        <f t="shared" si="6"/>
        <v xml:space="preserve">Coelho, J. et al. e Gouveia, L. </v>
      </c>
      <c r="I676" s="10" t="str">
        <f t="shared" si="7"/>
        <v xml:space="preserve">Coelho, J. et al. e Gouveia, L. </v>
      </c>
      <c r="J676" s="10" t="str">
        <f t="shared" si="8"/>
        <v xml:space="preserve">Coelho, J. et al.;Gouveia, L. </v>
      </c>
      <c r="K676" s="11" t="str">
        <f ca="1">IFERROR(__xludf.DUMMYFUNCTION("SPLIT(J676,"";"")"),"Coelho, J. et al.")</f>
        <v>Coelho, J. et al.</v>
      </c>
      <c r="L676" s="10" t="str">
        <f ca="1">IFERROR(__xludf.DUMMYFUNCTION("""COMPUTED_VALUE"""),"Gouveia, L. ")</f>
        <v xml:space="preserve">Gouveia, L. </v>
      </c>
      <c r="M676" s="10"/>
      <c r="N676" s="10"/>
      <c r="O676" s="10"/>
      <c r="P676" s="10"/>
      <c r="Q676" s="10"/>
      <c r="R676" s="10"/>
      <c r="S676" s="10"/>
      <c r="T676" s="10"/>
      <c r="U676" s="10"/>
      <c r="V676" s="10"/>
      <c r="W676" s="10"/>
      <c r="X676" s="10"/>
      <c r="Y676" s="10"/>
      <c r="Z676" s="10"/>
    </row>
    <row r="677" spans="1:26" ht="17.25" customHeight="1" x14ac:dyDescent="0.3">
      <c r="A677" s="10" t="s">
        <v>804</v>
      </c>
      <c r="B677" s="10">
        <f t="shared" si="0"/>
        <v>33</v>
      </c>
      <c r="C677" s="8" t="str">
        <f t="shared" si="1"/>
        <v xml:space="preserve">Coelho, J. et al. e Gouveia, L. </v>
      </c>
      <c r="D677" s="8" t="str">
        <f t="shared" si="2"/>
        <v>2013</v>
      </c>
      <c r="E677" s="10">
        <f t="shared" si="3"/>
        <v>38</v>
      </c>
      <c r="F677" s="10">
        <f t="shared" si="4"/>
        <v>117</v>
      </c>
      <c r="G677" s="8" t="str">
        <f t="shared" si="5"/>
        <v xml:space="preserve"> Transparência e Sigilo na Administração Pública: A questão dos dados fiscais. </v>
      </c>
      <c r="H677" s="10" t="str">
        <f t="shared" si="6"/>
        <v xml:space="preserve">Coelho, J. et al. e Gouveia, L. </v>
      </c>
      <c r="I677" s="10" t="str">
        <f t="shared" si="7"/>
        <v xml:space="preserve">Coelho, J. et al. e Gouveia, L. </v>
      </c>
      <c r="J677" s="10" t="str">
        <f t="shared" si="8"/>
        <v xml:space="preserve">Coelho, J. et al.;Gouveia, L. </v>
      </c>
      <c r="K677" s="11" t="str">
        <f ca="1">IFERROR(__xludf.DUMMYFUNCTION("SPLIT(J677,"";"")"),"Coelho, J. et al.")</f>
        <v>Coelho, J. et al.</v>
      </c>
      <c r="L677" s="10" t="str">
        <f ca="1">IFERROR(__xludf.DUMMYFUNCTION("""COMPUTED_VALUE"""),"Gouveia, L. ")</f>
        <v xml:space="preserve">Gouveia, L. </v>
      </c>
      <c r="M677" s="10"/>
      <c r="N677" s="10"/>
      <c r="O677" s="10"/>
      <c r="P677" s="10"/>
      <c r="Q677" s="10"/>
      <c r="R677" s="10"/>
      <c r="S677" s="10"/>
      <c r="T677" s="10"/>
      <c r="U677" s="10"/>
      <c r="V677" s="10"/>
      <c r="W677" s="10"/>
      <c r="X677" s="10"/>
      <c r="Y677" s="10"/>
      <c r="Z677" s="10"/>
    </row>
    <row r="678" spans="1:26" ht="17.25" customHeight="1" x14ac:dyDescent="0.3">
      <c r="A678" s="10" t="s">
        <v>805</v>
      </c>
      <c r="B678" s="10">
        <f t="shared" si="0"/>
        <v>33</v>
      </c>
      <c r="C678" s="8" t="str">
        <f t="shared" si="1"/>
        <v xml:space="preserve">Coelho, J. et al. e Gouveia, L. </v>
      </c>
      <c r="D678" s="8" t="str">
        <f t="shared" si="2"/>
        <v>2012</v>
      </c>
      <c r="E678" s="10">
        <f t="shared" si="3"/>
        <v>38</v>
      </c>
      <c r="F678" s="10">
        <f t="shared" si="4"/>
        <v>61</v>
      </c>
      <c r="G678" s="8" t="str">
        <f t="shared" si="5"/>
        <v xml:space="preserve"> Cultura e Arte na SI. </v>
      </c>
      <c r="H678" s="10" t="str">
        <f t="shared" si="6"/>
        <v xml:space="preserve">Coelho, J. et al. e Gouveia, L. </v>
      </c>
      <c r="I678" s="10" t="str">
        <f t="shared" si="7"/>
        <v xml:space="preserve">Coelho, J. et al. e Gouveia, L. </v>
      </c>
      <c r="J678" s="10" t="str">
        <f t="shared" si="8"/>
        <v xml:space="preserve">Coelho, J. et al.;Gouveia, L. </v>
      </c>
      <c r="K678" s="11" t="str">
        <f ca="1">IFERROR(__xludf.DUMMYFUNCTION("SPLIT(J678,"";"")"),"Coelho, J. et al.")</f>
        <v>Coelho, J. et al.</v>
      </c>
      <c r="L678" s="10" t="str">
        <f ca="1">IFERROR(__xludf.DUMMYFUNCTION("""COMPUTED_VALUE"""),"Gouveia, L. ")</f>
        <v xml:space="preserve">Gouveia, L. </v>
      </c>
      <c r="M678" s="10"/>
      <c r="N678" s="10"/>
      <c r="O678" s="10"/>
      <c r="P678" s="10"/>
      <c r="Q678" s="10"/>
      <c r="R678" s="10"/>
      <c r="S678" s="10"/>
      <c r="T678" s="10"/>
      <c r="U678" s="10"/>
      <c r="V678" s="10"/>
      <c r="W678" s="10"/>
      <c r="X678" s="10"/>
      <c r="Y678" s="10"/>
      <c r="Z678" s="10"/>
    </row>
    <row r="679" spans="1:26" ht="17.25" customHeight="1" x14ac:dyDescent="0.3">
      <c r="A679" s="10" t="s">
        <v>806</v>
      </c>
      <c r="B679" s="10">
        <f t="shared" si="0"/>
        <v>13</v>
      </c>
      <c r="C679" s="8" t="str">
        <f t="shared" si="1"/>
        <v xml:space="preserve">Gouveia, L. </v>
      </c>
      <c r="D679" s="8" t="str">
        <f t="shared" si="2"/>
        <v>2012</v>
      </c>
      <c r="E679" s="10">
        <f t="shared" si="3"/>
        <v>18</v>
      </c>
      <c r="F679" s="10">
        <f t="shared" si="4"/>
        <v>41</v>
      </c>
      <c r="G679" s="8" t="str">
        <f t="shared" si="5"/>
        <v xml:space="preserve"> Prefácio à 5ª edição. </v>
      </c>
      <c r="H679" s="10" t="str">
        <f t="shared" si="6"/>
        <v xml:space="preserve">Gouveia, L. </v>
      </c>
      <c r="I679" s="10" t="str">
        <f t="shared" si="7"/>
        <v xml:space="preserve">Gouveia, L. </v>
      </c>
      <c r="J679" s="10" t="str">
        <f t="shared" si="8"/>
        <v xml:space="preserve">Gouveia, L. </v>
      </c>
      <c r="K679" s="11" t="str">
        <f ca="1">IFERROR(__xludf.DUMMYFUNCTION("SPLIT(J679,"";"")"),"Gouveia, L. ")</f>
        <v xml:space="preserve">Gouveia, L. </v>
      </c>
      <c r="L679" s="10"/>
      <c r="M679" s="10"/>
      <c r="N679" s="10"/>
      <c r="O679" s="10"/>
      <c r="P679" s="10"/>
      <c r="Q679" s="10"/>
      <c r="R679" s="10"/>
      <c r="S679" s="10"/>
      <c r="T679" s="10"/>
      <c r="U679" s="10"/>
      <c r="V679" s="10"/>
      <c r="W679" s="10"/>
      <c r="X679" s="10"/>
      <c r="Y679" s="10"/>
      <c r="Z679" s="10"/>
    </row>
    <row r="680" spans="1:26" ht="17.25" customHeight="1" x14ac:dyDescent="0.3">
      <c r="A680" s="10" t="s">
        <v>807</v>
      </c>
      <c r="B680" s="10">
        <f t="shared" si="0"/>
        <v>33</v>
      </c>
      <c r="C680" s="8" t="str">
        <f t="shared" si="1"/>
        <v xml:space="preserve">Coelho, J. et al. e Gouveia, L. </v>
      </c>
      <c r="D680" s="8" t="str">
        <f t="shared" si="2"/>
        <v>2012</v>
      </c>
      <c r="E680" s="10">
        <f t="shared" si="3"/>
        <v>38</v>
      </c>
      <c r="F680" s="10">
        <f t="shared" si="4"/>
        <v>178</v>
      </c>
      <c r="G680" s="8" t="str">
        <f t="shared" si="5"/>
        <v xml:space="preserve"> A Estratégia do XIX Governo Constitucional para as TIC: Racionalizar para Melhorar? 13ª Tomada de Posição do Grupo de Alto Nível da APDSI. </v>
      </c>
      <c r="H680" s="10" t="str">
        <f t="shared" si="6"/>
        <v xml:space="preserve">Coelho, J. et al. e Gouveia, L. </v>
      </c>
      <c r="I680" s="10" t="str">
        <f t="shared" si="7"/>
        <v xml:space="preserve">Coelho, J. et al. e Gouveia, L. </v>
      </c>
      <c r="J680" s="10" t="str">
        <f t="shared" si="8"/>
        <v xml:space="preserve">Coelho, J. et al.;Gouveia, L. </v>
      </c>
      <c r="K680" s="11" t="str">
        <f ca="1">IFERROR(__xludf.DUMMYFUNCTION("SPLIT(J680,"";"")"),"Coelho, J. et al.")</f>
        <v>Coelho, J. et al.</v>
      </c>
      <c r="L680" s="10" t="str">
        <f ca="1">IFERROR(__xludf.DUMMYFUNCTION("""COMPUTED_VALUE"""),"Gouveia, L. ")</f>
        <v xml:space="preserve">Gouveia, L. </v>
      </c>
      <c r="M680" s="10"/>
      <c r="N680" s="10"/>
      <c r="O680" s="10"/>
      <c r="P680" s="10"/>
      <c r="Q680" s="10"/>
      <c r="R680" s="10"/>
      <c r="S680" s="10"/>
      <c r="T680" s="10"/>
      <c r="U680" s="10"/>
      <c r="V680" s="10"/>
      <c r="W680" s="10"/>
      <c r="X680" s="10"/>
      <c r="Y680" s="10"/>
      <c r="Z680" s="10"/>
    </row>
    <row r="681" spans="1:26" ht="17.25" customHeight="1" x14ac:dyDescent="0.3">
      <c r="A681" s="10" t="s">
        <v>808</v>
      </c>
      <c r="B681" s="10">
        <f t="shared" si="0"/>
        <v>13</v>
      </c>
      <c r="C681" s="8" t="str">
        <f t="shared" si="1"/>
        <v xml:space="preserve">Gouveia, L. </v>
      </c>
      <c r="D681" s="8" t="str">
        <f t="shared" si="2"/>
        <v>2011</v>
      </c>
      <c r="E681" s="10">
        <f t="shared" si="3"/>
        <v>18</v>
      </c>
      <c r="F681" s="10">
        <f t="shared" si="4"/>
        <v>46</v>
      </c>
      <c r="G681" s="8" t="str">
        <f t="shared" si="5"/>
        <v xml:space="preserve"> Texto sobre a inutilidade. </v>
      </c>
      <c r="H681" s="10" t="str">
        <f t="shared" si="6"/>
        <v xml:space="preserve">Gouveia, L. </v>
      </c>
      <c r="I681" s="10" t="str">
        <f t="shared" si="7"/>
        <v xml:space="preserve">Gouveia, L. </v>
      </c>
      <c r="J681" s="10" t="str">
        <f t="shared" si="8"/>
        <v xml:space="preserve">Gouveia, L. </v>
      </c>
      <c r="K681" s="11" t="str">
        <f ca="1">IFERROR(__xludf.DUMMYFUNCTION("SPLIT(J681,"";"")"),"Gouveia, L. ")</f>
        <v xml:space="preserve">Gouveia, L. </v>
      </c>
      <c r="L681" s="10"/>
      <c r="M681" s="10"/>
      <c r="N681" s="10"/>
      <c r="O681" s="10"/>
      <c r="P681" s="10"/>
      <c r="Q681" s="10"/>
      <c r="R681" s="10"/>
      <c r="S681" s="10"/>
      <c r="T681" s="10"/>
      <c r="U681" s="10"/>
      <c r="V681" s="10"/>
      <c r="W681" s="10"/>
      <c r="X681" s="10"/>
      <c r="Y681" s="10"/>
      <c r="Z681" s="10"/>
    </row>
    <row r="682" spans="1:26" ht="17.25" customHeight="1" x14ac:dyDescent="0.3">
      <c r="A682" s="10" t="s">
        <v>809</v>
      </c>
      <c r="B682" s="10">
        <f t="shared" si="0"/>
        <v>13</v>
      </c>
      <c r="C682" s="8" t="str">
        <f t="shared" si="1"/>
        <v xml:space="preserve">Gouveia, L. </v>
      </c>
      <c r="D682" s="8" t="str">
        <f t="shared" si="2"/>
        <v>2007</v>
      </c>
      <c r="E682" s="10">
        <f t="shared" si="3"/>
        <v>18</v>
      </c>
      <c r="F682" s="10">
        <f t="shared" si="4"/>
        <v>77</v>
      </c>
      <c r="G682" s="8" t="str">
        <f t="shared" si="5"/>
        <v xml:space="preserve"> Uma reflexão sobre capacitar o território por tecnologia. </v>
      </c>
      <c r="H682" s="10" t="str">
        <f t="shared" si="6"/>
        <v xml:space="preserve">Gouveia, L. </v>
      </c>
      <c r="I682" s="10" t="str">
        <f t="shared" si="7"/>
        <v xml:space="preserve">Gouveia, L. </v>
      </c>
      <c r="J682" s="10" t="str">
        <f t="shared" si="8"/>
        <v xml:space="preserve">Gouveia, L. </v>
      </c>
      <c r="K682" s="11" t="str">
        <f ca="1">IFERROR(__xludf.DUMMYFUNCTION("SPLIT(J682,"";"")"),"Gouveia, L. ")</f>
        <v xml:space="preserve">Gouveia, L. </v>
      </c>
      <c r="L682" s="10"/>
      <c r="M682" s="10"/>
      <c r="N682" s="10"/>
      <c r="O682" s="10"/>
      <c r="P682" s="10"/>
      <c r="Q682" s="10"/>
      <c r="R682" s="10"/>
      <c r="S682" s="10"/>
      <c r="T682" s="10"/>
      <c r="U682" s="10"/>
      <c r="V682" s="10"/>
      <c r="W682" s="10"/>
      <c r="X682" s="10"/>
      <c r="Y682" s="10"/>
      <c r="Z682" s="10"/>
    </row>
    <row r="683" spans="1:26" ht="17.25" customHeight="1" x14ac:dyDescent="0.3">
      <c r="A683" s="10" t="s">
        <v>810</v>
      </c>
      <c r="B683" s="10">
        <f t="shared" si="0"/>
        <v>13</v>
      </c>
      <c r="C683" s="8" t="str">
        <f t="shared" si="1"/>
        <v xml:space="preserve">Gouveia, L. </v>
      </c>
      <c r="D683" s="8" t="str">
        <f t="shared" si="2"/>
        <v>2007</v>
      </c>
      <c r="E683" s="10">
        <f t="shared" si="3"/>
        <v>18</v>
      </c>
      <c r="F683" s="10">
        <f t="shared" si="4"/>
        <v>82</v>
      </c>
      <c r="G683" s="8" t="str">
        <f t="shared" si="5"/>
        <v xml:space="preserve"> Território, conhecimento e competências: um triângulo a fixar. </v>
      </c>
      <c r="H683" s="10" t="str">
        <f t="shared" si="6"/>
        <v xml:space="preserve">Gouveia, L. </v>
      </c>
      <c r="I683" s="10" t="str">
        <f t="shared" si="7"/>
        <v xml:space="preserve">Gouveia, L. </v>
      </c>
      <c r="J683" s="10" t="str">
        <f t="shared" si="8"/>
        <v xml:space="preserve">Gouveia, L. </v>
      </c>
      <c r="K683" s="11" t="str">
        <f ca="1">IFERROR(__xludf.DUMMYFUNCTION("SPLIT(J683,"";"")"),"Gouveia, L. ")</f>
        <v xml:space="preserve">Gouveia, L. </v>
      </c>
      <c r="L683" s="10"/>
      <c r="M683" s="10"/>
      <c r="N683" s="10"/>
      <c r="O683" s="10"/>
      <c r="P683" s="10"/>
      <c r="Q683" s="10"/>
      <c r="R683" s="10"/>
      <c r="S683" s="10"/>
      <c r="T683" s="10"/>
      <c r="U683" s="10"/>
      <c r="V683" s="10"/>
      <c r="W683" s="10"/>
      <c r="X683" s="10"/>
      <c r="Y683" s="10"/>
      <c r="Z683" s="10"/>
    </row>
    <row r="684" spans="1:26" ht="17.25" customHeight="1" x14ac:dyDescent="0.3">
      <c r="A684" s="10" t="s">
        <v>811</v>
      </c>
      <c r="B684" s="10">
        <f t="shared" si="0"/>
        <v>13</v>
      </c>
      <c r="C684" s="8" t="str">
        <f t="shared" si="1"/>
        <v xml:space="preserve">Gouveia, L. </v>
      </c>
      <c r="D684" s="8" t="str">
        <f t="shared" si="2"/>
        <v>2007</v>
      </c>
      <c r="E684" s="10">
        <f t="shared" si="3"/>
        <v>18</v>
      </c>
      <c r="F684" s="10">
        <f t="shared" si="4"/>
        <v>80</v>
      </c>
      <c r="G684" s="8" t="str">
        <f t="shared" si="5"/>
        <v xml:space="preserve"> Tirar partido dos Sistemas de Informação no contexto actual. </v>
      </c>
      <c r="H684" s="10" t="str">
        <f t="shared" si="6"/>
        <v xml:space="preserve">Gouveia, L. </v>
      </c>
      <c r="I684" s="10" t="str">
        <f t="shared" si="7"/>
        <v xml:space="preserve">Gouveia, L. </v>
      </c>
      <c r="J684" s="10" t="str">
        <f t="shared" si="8"/>
        <v xml:space="preserve">Gouveia, L. </v>
      </c>
      <c r="K684" s="11" t="str">
        <f ca="1">IFERROR(__xludf.DUMMYFUNCTION("SPLIT(J684,"";"")"),"Gouveia, L. ")</f>
        <v xml:space="preserve">Gouveia, L. </v>
      </c>
      <c r="L684" s="10"/>
      <c r="M684" s="10"/>
      <c r="N684" s="10"/>
      <c r="O684" s="10"/>
      <c r="P684" s="10"/>
      <c r="Q684" s="10"/>
      <c r="R684" s="10"/>
      <c r="S684" s="10"/>
      <c r="T684" s="10"/>
      <c r="U684" s="10"/>
      <c r="V684" s="10"/>
      <c r="W684" s="10"/>
      <c r="X684" s="10"/>
      <c r="Y684" s="10"/>
      <c r="Z684" s="10"/>
    </row>
    <row r="685" spans="1:26" ht="17.25" customHeight="1" x14ac:dyDescent="0.3">
      <c r="A685" s="10" t="s">
        <v>812</v>
      </c>
      <c r="B685" s="10">
        <f t="shared" si="0"/>
        <v>13</v>
      </c>
      <c r="C685" s="8" t="str">
        <f t="shared" si="1"/>
        <v xml:space="preserve">Gouveia, L. </v>
      </c>
      <c r="D685" s="8" t="str">
        <f t="shared" si="2"/>
        <v>2006</v>
      </c>
      <c r="E685" s="10">
        <f t="shared" si="3"/>
        <v>18</v>
      </c>
      <c r="F685" s="10">
        <f t="shared" si="4"/>
        <v>85</v>
      </c>
      <c r="G685" s="8" t="str">
        <f t="shared" si="5"/>
        <v xml:space="preserve"> Afinal não é assim tão caro ou uma história sobre o conhecimento. </v>
      </c>
      <c r="H685" s="10" t="str">
        <f t="shared" si="6"/>
        <v xml:space="preserve">Gouveia, L. </v>
      </c>
      <c r="I685" s="10" t="str">
        <f t="shared" si="7"/>
        <v xml:space="preserve">Gouveia, L. </v>
      </c>
      <c r="J685" s="10" t="str">
        <f t="shared" si="8"/>
        <v xml:space="preserve">Gouveia, L. </v>
      </c>
      <c r="K685" s="11" t="str">
        <f ca="1">IFERROR(__xludf.DUMMYFUNCTION("SPLIT(J685,"";"")"),"Gouveia, L. ")</f>
        <v xml:space="preserve">Gouveia, L. </v>
      </c>
      <c r="L685" s="10"/>
      <c r="M685" s="10"/>
      <c r="N685" s="10"/>
      <c r="O685" s="10"/>
      <c r="P685" s="10"/>
      <c r="Q685" s="10"/>
      <c r="R685" s="10"/>
      <c r="S685" s="10"/>
      <c r="T685" s="10"/>
      <c r="U685" s="10"/>
      <c r="V685" s="10"/>
      <c r="W685" s="10"/>
      <c r="X685" s="10"/>
      <c r="Y685" s="10"/>
      <c r="Z685" s="10"/>
    </row>
    <row r="686" spans="1:26" ht="17.25" customHeight="1" x14ac:dyDescent="0.3">
      <c r="A686" s="10" t="s">
        <v>813</v>
      </c>
      <c r="B686" s="10">
        <f t="shared" si="0"/>
        <v>13</v>
      </c>
      <c r="C686" s="8" t="str">
        <f t="shared" si="1"/>
        <v xml:space="preserve">Gouveia, L. </v>
      </c>
      <c r="D686" s="8" t="str">
        <f t="shared" si="2"/>
        <v>2006</v>
      </c>
      <c r="E686" s="10">
        <f t="shared" si="3"/>
        <v>18</v>
      </c>
      <c r="F686" s="10">
        <f t="shared" si="4"/>
        <v>78</v>
      </c>
      <c r="G686" s="8" t="str">
        <f t="shared" si="5"/>
        <v xml:space="preserve"> A necessidade de capacitar conhecimento para o território. </v>
      </c>
      <c r="H686" s="10" t="str">
        <f t="shared" si="6"/>
        <v xml:space="preserve">Gouveia, L. </v>
      </c>
      <c r="I686" s="10" t="str">
        <f t="shared" si="7"/>
        <v xml:space="preserve">Gouveia, L. </v>
      </c>
      <c r="J686" s="10" t="str">
        <f t="shared" si="8"/>
        <v xml:space="preserve">Gouveia, L. </v>
      </c>
      <c r="K686" s="11" t="str">
        <f ca="1">IFERROR(__xludf.DUMMYFUNCTION("SPLIT(J686,"";"")"),"Gouveia, L. ")</f>
        <v xml:space="preserve">Gouveia, L. </v>
      </c>
      <c r="L686" s="10"/>
      <c r="M686" s="10"/>
      <c r="N686" s="10"/>
      <c r="O686" s="10"/>
      <c r="P686" s="10"/>
      <c r="Q686" s="10"/>
      <c r="R686" s="10"/>
      <c r="S686" s="10"/>
      <c r="T686" s="10"/>
      <c r="U686" s="10"/>
      <c r="V686" s="10"/>
      <c r="W686" s="10"/>
      <c r="X686" s="10"/>
      <c r="Y686" s="10"/>
      <c r="Z686" s="10"/>
    </row>
    <row r="687" spans="1:26" ht="17.25" customHeight="1" x14ac:dyDescent="0.3">
      <c r="A687" s="10" t="s">
        <v>814</v>
      </c>
      <c r="B687" s="10">
        <f t="shared" si="0"/>
        <v>13</v>
      </c>
      <c r="C687" s="8" t="str">
        <f t="shared" si="1"/>
        <v xml:space="preserve">Gouveia, L. </v>
      </c>
      <c r="D687" s="8" t="str">
        <f t="shared" si="2"/>
        <v>2005</v>
      </c>
      <c r="E687" s="10">
        <f t="shared" si="3"/>
        <v>18</v>
      </c>
      <c r="F687" s="10">
        <f t="shared" si="4"/>
        <v>72</v>
      </c>
      <c r="G687" s="8" t="str">
        <f t="shared" si="5"/>
        <v xml:space="preserve"> Cidades e Regiões Digitais: no limiar da maioridade. </v>
      </c>
      <c r="H687" s="10" t="str">
        <f t="shared" si="6"/>
        <v xml:space="preserve">Gouveia, L. </v>
      </c>
      <c r="I687" s="10" t="str">
        <f t="shared" si="7"/>
        <v xml:space="preserve">Gouveia, L. </v>
      </c>
      <c r="J687" s="10" t="str">
        <f t="shared" si="8"/>
        <v xml:space="preserve">Gouveia, L. </v>
      </c>
      <c r="K687" s="11" t="str">
        <f ca="1">IFERROR(__xludf.DUMMYFUNCTION("SPLIT(J687,"";"")"),"Gouveia, L. ")</f>
        <v xml:space="preserve">Gouveia, L. </v>
      </c>
      <c r="L687" s="10"/>
      <c r="M687" s="10"/>
      <c r="N687" s="10"/>
      <c r="O687" s="10"/>
      <c r="P687" s="10"/>
      <c r="Q687" s="10"/>
      <c r="R687" s="10"/>
      <c r="S687" s="10"/>
      <c r="T687" s="10"/>
      <c r="U687" s="10"/>
      <c r="V687" s="10"/>
      <c r="W687" s="10"/>
      <c r="X687" s="10"/>
      <c r="Y687" s="10"/>
      <c r="Z687" s="10"/>
    </row>
    <row r="688" spans="1:26" ht="17.25" customHeight="1" x14ac:dyDescent="0.3">
      <c r="A688" s="10" t="s">
        <v>815</v>
      </c>
      <c r="B688" s="10">
        <f t="shared" si="0"/>
        <v>13</v>
      </c>
      <c r="C688" s="8" t="str">
        <f t="shared" si="1"/>
        <v xml:space="preserve">Gouveia, L. </v>
      </c>
      <c r="D688" s="8" t="str">
        <f t="shared" si="2"/>
        <v>2005</v>
      </c>
      <c r="E688" s="10">
        <f t="shared" si="3"/>
        <v>18</v>
      </c>
      <c r="F688" s="10">
        <f t="shared" si="4"/>
        <v>85</v>
      </c>
      <c r="G688" s="8" t="str">
        <f t="shared" si="5"/>
        <v xml:space="preserve"> A minha homepage faz dez anos! Newsletter Professores Inovadores. </v>
      </c>
      <c r="H688" s="10" t="str">
        <f t="shared" si="6"/>
        <v xml:space="preserve">Gouveia, L. </v>
      </c>
      <c r="I688" s="10" t="str">
        <f t="shared" si="7"/>
        <v xml:space="preserve">Gouveia, L. </v>
      </c>
      <c r="J688" s="10" t="str">
        <f t="shared" si="8"/>
        <v xml:space="preserve">Gouveia, L. </v>
      </c>
      <c r="K688" s="11" t="str">
        <f ca="1">IFERROR(__xludf.DUMMYFUNCTION("SPLIT(J688,"";"")"),"Gouveia, L. ")</f>
        <v xml:space="preserve">Gouveia, L. </v>
      </c>
      <c r="L688" s="10"/>
      <c r="M688" s="10"/>
      <c r="N688" s="10"/>
      <c r="O688" s="10"/>
      <c r="P688" s="10"/>
      <c r="Q688" s="10"/>
      <c r="R688" s="10"/>
      <c r="S688" s="10"/>
      <c r="T688" s="10"/>
      <c r="U688" s="10"/>
      <c r="V688" s="10"/>
      <c r="W688" s="10"/>
      <c r="X688" s="10"/>
      <c r="Y688" s="10"/>
      <c r="Z688" s="10"/>
    </row>
    <row r="689" spans="1:26" ht="17.25" customHeight="1" x14ac:dyDescent="0.3">
      <c r="A689" s="10" t="s">
        <v>816</v>
      </c>
      <c r="B689" s="10">
        <f t="shared" si="0"/>
        <v>13</v>
      </c>
      <c r="C689" s="8" t="str">
        <f t="shared" si="1"/>
        <v xml:space="preserve">Gouveia, L. </v>
      </c>
      <c r="D689" s="8" t="str">
        <f t="shared" si="2"/>
        <v>2004</v>
      </c>
      <c r="E689" s="10">
        <f t="shared" si="3"/>
        <v>18</v>
      </c>
      <c r="F689" s="10">
        <f t="shared" si="4"/>
        <v>71</v>
      </c>
      <c r="G689" s="8" t="str">
        <f t="shared" si="5"/>
        <v xml:space="preserve"> A Sociedade da Informação e as autarquias digitais. </v>
      </c>
      <c r="H689" s="10" t="str">
        <f t="shared" si="6"/>
        <v xml:space="preserve">Gouveia, L. </v>
      </c>
      <c r="I689" s="10" t="str">
        <f t="shared" si="7"/>
        <v xml:space="preserve">Gouveia, L. </v>
      </c>
      <c r="J689" s="10" t="str">
        <f t="shared" si="8"/>
        <v xml:space="preserve">Gouveia, L. </v>
      </c>
      <c r="K689" s="11" t="str">
        <f ca="1">IFERROR(__xludf.DUMMYFUNCTION("SPLIT(J689,"";"")"),"Gouveia, L. ")</f>
        <v xml:space="preserve">Gouveia, L. </v>
      </c>
      <c r="L689" s="10"/>
      <c r="M689" s="10"/>
      <c r="N689" s="10"/>
      <c r="O689" s="10"/>
      <c r="P689" s="10"/>
      <c r="Q689" s="10"/>
      <c r="R689" s="10"/>
      <c r="S689" s="10"/>
      <c r="T689" s="10"/>
      <c r="U689" s="10"/>
      <c r="V689" s="10"/>
      <c r="W689" s="10"/>
      <c r="X689" s="10"/>
      <c r="Y689" s="10"/>
      <c r="Z689" s="10"/>
    </row>
    <row r="690" spans="1:26" ht="17.25" customHeight="1" x14ac:dyDescent="0.3">
      <c r="A690" s="10" t="s">
        <v>817</v>
      </c>
      <c r="B690" s="10">
        <f t="shared" si="0"/>
        <v>13</v>
      </c>
      <c r="C690" s="8" t="str">
        <f t="shared" si="1"/>
        <v xml:space="preserve">Gouveia, L. </v>
      </c>
      <c r="D690" s="8" t="str">
        <f t="shared" si="2"/>
        <v>2004</v>
      </c>
      <c r="E690" s="10">
        <f t="shared" si="3"/>
        <v>18</v>
      </c>
      <c r="F690" s="10">
        <f t="shared" si="4"/>
        <v>44</v>
      </c>
      <c r="G690" s="8" t="str">
        <f t="shared" si="5"/>
        <v xml:space="preserve"> Sociedade da Informação. </v>
      </c>
      <c r="H690" s="10" t="str">
        <f t="shared" si="6"/>
        <v xml:space="preserve">Gouveia, L. </v>
      </c>
      <c r="I690" s="10" t="str">
        <f t="shared" si="7"/>
        <v xml:space="preserve">Gouveia, L. </v>
      </c>
      <c r="J690" s="10" t="str">
        <f t="shared" si="8"/>
        <v xml:space="preserve">Gouveia, L. </v>
      </c>
      <c r="K690" s="11" t="str">
        <f ca="1">IFERROR(__xludf.DUMMYFUNCTION("SPLIT(J690,"";"")"),"Gouveia, L. ")</f>
        <v xml:space="preserve">Gouveia, L. </v>
      </c>
      <c r="L690" s="10"/>
      <c r="M690" s="10"/>
      <c r="N690" s="10"/>
      <c r="O690" s="10"/>
      <c r="P690" s="10"/>
      <c r="Q690" s="10"/>
      <c r="R690" s="10"/>
      <c r="S690" s="10"/>
      <c r="T690" s="10"/>
      <c r="U690" s="10"/>
      <c r="V690" s="10"/>
      <c r="W690" s="10"/>
      <c r="X690" s="10"/>
      <c r="Y690" s="10"/>
      <c r="Z690" s="10"/>
    </row>
    <row r="691" spans="1:26" ht="17.25" customHeight="1" x14ac:dyDescent="0.3">
      <c r="A691" s="10" t="s">
        <v>818</v>
      </c>
      <c r="B691" s="10">
        <f t="shared" si="0"/>
        <v>13</v>
      </c>
      <c r="C691" s="8" t="str">
        <f t="shared" si="1"/>
        <v xml:space="preserve">Gouveia, L. </v>
      </c>
      <c r="D691" s="8" t="str">
        <f t="shared" si="2"/>
        <v>2004</v>
      </c>
      <c r="E691" s="10">
        <f t="shared" si="3"/>
        <v>18</v>
      </c>
      <c r="F691" s="10">
        <f t="shared" si="4"/>
        <v>52</v>
      </c>
      <c r="G691" s="8" t="str">
        <f t="shared" si="5"/>
        <v xml:space="preserve"> Como analisar um caso de estudo. </v>
      </c>
      <c r="H691" s="10" t="str">
        <f t="shared" si="6"/>
        <v xml:space="preserve">Gouveia, L. </v>
      </c>
      <c r="I691" s="10" t="str">
        <f t="shared" si="7"/>
        <v xml:space="preserve">Gouveia, L. </v>
      </c>
      <c r="J691" s="10" t="str">
        <f t="shared" si="8"/>
        <v xml:space="preserve">Gouveia, L. </v>
      </c>
      <c r="K691" s="11" t="str">
        <f ca="1">IFERROR(__xludf.DUMMYFUNCTION("SPLIT(J691,"";"")"),"Gouveia, L. ")</f>
        <v xml:space="preserve">Gouveia, L. </v>
      </c>
      <c r="L691" s="10"/>
      <c r="M691" s="10"/>
      <c r="N691" s="10"/>
      <c r="O691" s="10"/>
      <c r="P691" s="10"/>
      <c r="Q691" s="10"/>
      <c r="R691" s="10"/>
      <c r="S691" s="10"/>
      <c r="T691" s="10"/>
      <c r="U691" s="10"/>
      <c r="V691" s="10"/>
      <c r="W691" s="10"/>
      <c r="X691" s="10"/>
      <c r="Y691" s="10"/>
      <c r="Z691" s="10"/>
    </row>
    <row r="692" spans="1:26" ht="17.25" customHeight="1" x14ac:dyDescent="0.3">
      <c r="A692" s="10" t="s">
        <v>819</v>
      </c>
      <c r="B692" s="10">
        <f t="shared" si="0"/>
        <v>26</v>
      </c>
      <c r="C692" s="8" t="str">
        <f t="shared" si="1"/>
        <v xml:space="preserve">Gouveia, L. e Xavier, J. </v>
      </c>
      <c r="D692" s="8" t="str">
        <f t="shared" si="2"/>
        <v>2004</v>
      </c>
      <c r="E692" s="10">
        <f t="shared" si="3"/>
        <v>31</v>
      </c>
      <c r="F692" s="10">
        <f t="shared" si="4"/>
        <v>98</v>
      </c>
      <c r="G692" s="8" t="str">
        <f t="shared" si="5"/>
        <v xml:space="preserve"> Serviços Municipais de Integração: uma perspectiva de integração. </v>
      </c>
      <c r="H692" s="10" t="str">
        <f t="shared" si="6"/>
        <v xml:space="preserve">Gouveia, L. e Xavier, J. </v>
      </c>
      <c r="I692" s="10" t="str">
        <f t="shared" si="7"/>
        <v xml:space="preserve">Gouveia, L. e Xavier, J. </v>
      </c>
      <c r="J692" s="10" t="str">
        <f t="shared" si="8"/>
        <v xml:space="preserve">Gouveia, L.;Xavier, J. </v>
      </c>
      <c r="K692" s="11" t="str">
        <f ca="1">IFERROR(__xludf.DUMMYFUNCTION("SPLIT(J692,"";"")"),"Gouveia, L.")</f>
        <v>Gouveia, L.</v>
      </c>
      <c r="L692" s="10" t="str">
        <f ca="1">IFERROR(__xludf.DUMMYFUNCTION("""COMPUTED_VALUE"""),"Xavier, J. ")</f>
        <v xml:space="preserve">Xavier, J. </v>
      </c>
      <c r="M692" s="10"/>
      <c r="N692" s="10"/>
      <c r="O692" s="10"/>
      <c r="P692" s="10"/>
      <c r="Q692" s="10"/>
      <c r="R692" s="10"/>
      <c r="S692" s="10"/>
      <c r="T692" s="10"/>
      <c r="U692" s="10"/>
      <c r="V692" s="10"/>
      <c r="W692" s="10"/>
      <c r="X692" s="10"/>
      <c r="Y692" s="10"/>
      <c r="Z692" s="10"/>
    </row>
    <row r="693" spans="1:26" ht="17.25" customHeight="1" x14ac:dyDescent="0.3">
      <c r="A693" s="10" t="s">
        <v>820</v>
      </c>
      <c r="B693" s="10">
        <f t="shared" si="0"/>
        <v>27</v>
      </c>
      <c r="C693" s="8" t="str">
        <f t="shared" si="1"/>
        <v xml:space="preserve">Gouveia, F. e Gouveia, L. </v>
      </c>
      <c r="D693" s="8" t="str">
        <f t="shared" si="2"/>
        <v>2003</v>
      </c>
      <c r="E693" s="10">
        <f t="shared" si="3"/>
        <v>32</v>
      </c>
      <c r="F693" s="10">
        <f t="shared" si="4"/>
        <v>80</v>
      </c>
      <c r="G693" s="8" t="str">
        <f t="shared" si="5"/>
        <v xml:space="preserve"> Gestão da Informação: conceitos e importância. </v>
      </c>
      <c r="H693" s="10" t="str">
        <f t="shared" si="6"/>
        <v xml:space="preserve">Gouveia, F. e Gouveia, L. </v>
      </c>
      <c r="I693" s="10" t="str">
        <f t="shared" si="7"/>
        <v xml:space="preserve">Gouveia, F. e Gouveia, L. </v>
      </c>
      <c r="J693" s="10" t="str">
        <f t="shared" si="8"/>
        <v xml:space="preserve">Gouveia, F.;Gouveia, L. </v>
      </c>
      <c r="K693" s="11" t="str">
        <f ca="1">IFERROR(__xludf.DUMMYFUNCTION("SPLIT(J693,"";"")"),"Gouveia, F.")</f>
        <v>Gouveia, F.</v>
      </c>
      <c r="L693" s="10" t="str">
        <f ca="1">IFERROR(__xludf.DUMMYFUNCTION("""COMPUTED_VALUE"""),"Gouveia, L. ")</f>
        <v xml:space="preserve">Gouveia, L. </v>
      </c>
      <c r="M693" s="10"/>
      <c r="N693" s="10"/>
      <c r="O693" s="10"/>
      <c r="P693" s="10"/>
      <c r="Q693" s="10"/>
      <c r="R693" s="10"/>
      <c r="S693" s="10"/>
      <c r="T693" s="10"/>
      <c r="U693" s="10"/>
      <c r="V693" s="10"/>
      <c r="W693" s="10"/>
      <c r="X693" s="10"/>
      <c r="Y693" s="10"/>
      <c r="Z693" s="10"/>
    </row>
    <row r="694" spans="1:26" ht="17.25" customHeight="1" x14ac:dyDescent="0.3">
      <c r="A694" s="10" t="s">
        <v>821</v>
      </c>
      <c r="B694" s="10">
        <f t="shared" si="0"/>
        <v>27</v>
      </c>
      <c r="C694" s="8" t="str">
        <f t="shared" si="1"/>
        <v xml:space="preserve">Gouveia, J. e Gouveia, L. </v>
      </c>
      <c r="D694" s="8" t="str">
        <f t="shared" si="2"/>
        <v>2002</v>
      </c>
      <c r="E694" s="10">
        <f t="shared" si="3"/>
        <v>32</v>
      </c>
      <c r="F694" s="10">
        <f t="shared" si="4"/>
        <v>51</v>
      </c>
      <c r="G694" s="8" t="str">
        <f t="shared" si="5"/>
        <v xml:space="preserve"> Cidades Digitais. </v>
      </c>
      <c r="H694" s="10" t="str">
        <f t="shared" si="6"/>
        <v xml:space="preserve">Gouveia, J. e Gouveia, L. </v>
      </c>
      <c r="I694" s="10" t="str">
        <f t="shared" si="7"/>
        <v xml:space="preserve">Gouveia, J. e Gouveia, L. </v>
      </c>
      <c r="J694" s="10" t="str">
        <f t="shared" si="8"/>
        <v xml:space="preserve">Gouveia, J.;Gouveia, L. </v>
      </c>
      <c r="K694" s="11" t="str">
        <f ca="1">IFERROR(__xludf.DUMMYFUNCTION("SPLIT(J694,"";"")"),"Gouveia, J.")</f>
        <v>Gouveia, J.</v>
      </c>
      <c r="L694" s="10" t="str">
        <f ca="1">IFERROR(__xludf.DUMMYFUNCTION("""COMPUTED_VALUE"""),"Gouveia, L. ")</f>
        <v xml:space="preserve">Gouveia, L. </v>
      </c>
      <c r="M694" s="10"/>
      <c r="N694" s="10"/>
      <c r="O694" s="10"/>
      <c r="P694" s="10"/>
      <c r="Q694" s="10"/>
      <c r="R694" s="10"/>
      <c r="S694" s="10"/>
      <c r="T694" s="10"/>
      <c r="U694" s="10"/>
      <c r="V694" s="10"/>
      <c r="W694" s="10"/>
      <c r="X694" s="10"/>
      <c r="Y694" s="10"/>
      <c r="Z694" s="10"/>
    </row>
    <row r="695" spans="1:26" ht="17.25" customHeight="1" x14ac:dyDescent="0.3">
      <c r="A695" s="10" t="s">
        <v>822</v>
      </c>
      <c r="B695" s="10">
        <f t="shared" si="0"/>
        <v>27</v>
      </c>
      <c r="C695" s="8" t="str">
        <f t="shared" si="1"/>
        <v xml:space="preserve">Gouveia, L. e Gouveia, J. </v>
      </c>
      <c r="D695" s="8" t="str">
        <f t="shared" si="2"/>
        <v>2002</v>
      </c>
      <c r="E695" s="10">
        <f t="shared" si="3"/>
        <v>32</v>
      </c>
      <c r="F695" s="10">
        <f t="shared" si="4"/>
        <v>71</v>
      </c>
      <c r="G695" s="8" t="str">
        <f t="shared" si="5"/>
        <v xml:space="preserve"> As cidades digitais e o Gaia Digital. </v>
      </c>
      <c r="H695" s="10" t="str">
        <f t="shared" si="6"/>
        <v xml:space="preserve">Gouveia, L. e Gouveia, J. </v>
      </c>
      <c r="I695" s="10" t="str">
        <f t="shared" si="7"/>
        <v xml:space="preserve">Gouveia, L. e Gouveia, J. </v>
      </c>
      <c r="J695" s="10" t="str">
        <f t="shared" si="8"/>
        <v xml:space="preserve">Gouveia, L.;Gouveia, J. </v>
      </c>
      <c r="K695" s="11" t="str">
        <f ca="1">IFERROR(__xludf.DUMMYFUNCTION("SPLIT(J695,"";"")"),"Gouveia, L.")</f>
        <v>Gouveia, L.</v>
      </c>
      <c r="L695" s="10" t="str">
        <f ca="1">IFERROR(__xludf.DUMMYFUNCTION("""COMPUTED_VALUE"""),"Gouveia, J. ")</f>
        <v xml:space="preserve">Gouveia, J. </v>
      </c>
      <c r="M695" s="10"/>
      <c r="N695" s="10"/>
      <c r="O695" s="10"/>
      <c r="P695" s="10"/>
      <c r="Q695" s="10"/>
      <c r="R695" s="10"/>
      <c r="S695" s="10"/>
      <c r="T695" s="10"/>
      <c r="U695" s="10"/>
      <c r="V695" s="10"/>
      <c r="W695" s="10"/>
      <c r="X695" s="10"/>
      <c r="Y695" s="10"/>
      <c r="Z695" s="10"/>
    </row>
    <row r="696" spans="1:26" ht="17.25" customHeight="1" x14ac:dyDescent="0.3">
      <c r="A696" s="10" t="s">
        <v>823</v>
      </c>
      <c r="B696" s="10">
        <f t="shared" si="0"/>
        <v>13</v>
      </c>
      <c r="C696" s="8" t="str">
        <f t="shared" si="1"/>
        <v xml:space="preserve">Gouveia, L. </v>
      </c>
      <c r="D696" s="8" t="str">
        <f t="shared" si="2"/>
        <v>2002</v>
      </c>
      <c r="E696" s="10">
        <f t="shared" si="3"/>
        <v>18</v>
      </c>
      <c r="F696" s="10">
        <f t="shared" si="4"/>
        <v>91</v>
      </c>
      <c r="G696" s="8" t="str">
        <f t="shared" si="5"/>
        <v xml:space="preserve"> Competências críticas para a Sociedade da Informação e do conhecimento. </v>
      </c>
      <c r="H696" s="10" t="str">
        <f t="shared" si="6"/>
        <v xml:space="preserve">Gouveia, L. </v>
      </c>
      <c r="I696" s="10" t="str">
        <f t="shared" si="7"/>
        <v xml:space="preserve">Gouveia, L. </v>
      </c>
      <c r="J696" s="10" t="str">
        <f t="shared" si="8"/>
        <v xml:space="preserve">Gouveia, L. </v>
      </c>
      <c r="K696" s="11" t="str">
        <f ca="1">IFERROR(__xludf.DUMMYFUNCTION("SPLIT(J696,"";"")"),"Gouveia, L. ")</f>
        <v xml:space="preserve">Gouveia, L. </v>
      </c>
      <c r="L696" s="10"/>
      <c r="M696" s="10"/>
      <c r="N696" s="10"/>
      <c r="O696" s="10"/>
      <c r="P696" s="10"/>
      <c r="Q696" s="10"/>
      <c r="R696" s="10"/>
      <c r="S696" s="10"/>
      <c r="T696" s="10"/>
      <c r="U696" s="10"/>
      <c r="V696" s="10"/>
      <c r="W696" s="10"/>
      <c r="X696" s="10"/>
      <c r="Y696" s="10"/>
      <c r="Z696" s="10"/>
    </row>
    <row r="697" spans="1:26" ht="17.25" customHeight="1" x14ac:dyDescent="0.3">
      <c r="A697" s="10" t="s">
        <v>824</v>
      </c>
      <c r="B697" s="10">
        <f t="shared" si="0"/>
        <v>13</v>
      </c>
      <c r="C697" s="8" t="str">
        <f t="shared" si="1"/>
        <v xml:space="preserve">Gouveia, L. </v>
      </c>
      <c r="D697" s="8" t="str">
        <f t="shared" si="2"/>
        <v>2001</v>
      </c>
      <c r="E697" s="10">
        <f t="shared" si="3"/>
        <v>18</v>
      </c>
      <c r="F697" s="10">
        <f t="shared" si="4"/>
        <v>46</v>
      </c>
      <c r="G697" s="8" t="str">
        <f t="shared" si="5"/>
        <v xml:space="preserve"> Tecnologias de Informação. </v>
      </c>
      <c r="H697" s="10" t="str">
        <f t="shared" si="6"/>
        <v xml:space="preserve">Gouveia, L. </v>
      </c>
      <c r="I697" s="10" t="str">
        <f t="shared" si="7"/>
        <v xml:space="preserve">Gouveia, L. </v>
      </c>
      <c r="J697" s="10" t="str">
        <f t="shared" si="8"/>
        <v xml:space="preserve">Gouveia, L. </v>
      </c>
      <c r="K697" s="11" t="str">
        <f ca="1">IFERROR(__xludf.DUMMYFUNCTION("SPLIT(J697,"";"")"),"Gouveia, L. ")</f>
        <v xml:space="preserve">Gouveia, L. </v>
      </c>
      <c r="L697" s="10"/>
      <c r="M697" s="10"/>
      <c r="N697" s="10"/>
      <c r="O697" s="10"/>
      <c r="P697" s="10"/>
      <c r="Q697" s="10"/>
      <c r="R697" s="10"/>
      <c r="S697" s="10"/>
      <c r="T697" s="10"/>
      <c r="U697" s="10"/>
      <c r="V697" s="10"/>
      <c r="W697" s="10"/>
      <c r="X697" s="10"/>
      <c r="Y697" s="10"/>
      <c r="Z697" s="10"/>
    </row>
    <row r="698" spans="1:26" ht="17.25" customHeight="1" x14ac:dyDescent="0.3">
      <c r="A698" s="10" t="s">
        <v>825</v>
      </c>
      <c r="B698" s="10">
        <f t="shared" si="0"/>
        <v>13</v>
      </c>
      <c r="C698" s="8" t="str">
        <f t="shared" si="1"/>
        <v xml:space="preserve">Gouveia, L. </v>
      </c>
      <c r="D698" s="8" t="str">
        <f t="shared" si="2"/>
        <v>1998</v>
      </c>
      <c r="E698" s="10">
        <f t="shared" si="3"/>
        <v>18</v>
      </c>
      <c r="F698" s="10">
        <f t="shared" si="4"/>
        <v>59</v>
      </c>
      <c r="G698" s="8" t="str">
        <f t="shared" si="5"/>
        <v xml:space="preserve"> Internet - a emergência do novo social. </v>
      </c>
      <c r="H698" s="10" t="str">
        <f t="shared" si="6"/>
        <v xml:space="preserve">Gouveia, L. </v>
      </c>
      <c r="I698" s="10" t="str">
        <f t="shared" si="7"/>
        <v xml:space="preserve">Gouveia, L. </v>
      </c>
      <c r="J698" s="10" t="str">
        <f t="shared" si="8"/>
        <v xml:space="preserve">Gouveia, L. </v>
      </c>
      <c r="K698" s="11" t="str">
        <f ca="1">IFERROR(__xludf.DUMMYFUNCTION("SPLIT(J698,"";"")"),"Gouveia, L. ")</f>
        <v xml:space="preserve">Gouveia, L. </v>
      </c>
      <c r="L698" s="10"/>
      <c r="M698" s="10"/>
      <c r="N698" s="10"/>
      <c r="O698" s="10"/>
      <c r="P698" s="10"/>
      <c r="Q698" s="10"/>
      <c r="R698" s="10"/>
      <c r="S698" s="10"/>
      <c r="T698" s="10"/>
      <c r="U698" s="10"/>
      <c r="V698" s="10"/>
      <c r="W698" s="10"/>
      <c r="X698" s="10"/>
      <c r="Y698" s="10"/>
      <c r="Z698" s="10"/>
    </row>
    <row r="699" spans="1:26" ht="17.25" customHeight="1" x14ac:dyDescent="0.3">
      <c r="A699" s="10" t="s">
        <v>826</v>
      </c>
      <c r="B699" s="10">
        <f t="shared" si="0"/>
        <v>13</v>
      </c>
      <c r="C699" s="8" t="str">
        <f t="shared" si="1"/>
        <v xml:space="preserve">Gouveia, L. </v>
      </c>
      <c r="D699" s="8" t="str">
        <f t="shared" si="2"/>
        <v>1998</v>
      </c>
      <c r="E699" s="10">
        <f t="shared" si="3"/>
        <v>18</v>
      </c>
      <c r="F699" s="10">
        <f t="shared" si="4"/>
        <v>64</v>
      </c>
      <c r="G699" s="8" t="str">
        <f t="shared" si="5"/>
        <v xml:space="preserve"> A humanização das Tecnologias de Informação. </v>
      </c>
      <c r="H699" s="10" t="str">
        <f t="shared" si="6"/>
        <v xml:space="preserve">Gouveia, L. </v>
      </c>
      <c r="I699" s="10" t="str">
        <f t="shared" si="7"/>
        <v xml:space="preserve">Gouveia, L. </v>
      </c>
      <c r="J699" s="10" t="str">
        <f t="shared" si="8"/>
        <v xml:space="preserve">Gouveia, L. </v>
      </c>
      <c r="K699" s="11" t="str">
        <f ca="1">IFERROR(__xludf.DUMMYFUNCTION("SPLIT(J699,"";"")"),"Gouveia, L. ")</f>
        <v xml:space="preserve">Gouveia, L. </v>
      </c>
      <c r="L699" s="10"/>
      <c r="M699" s="10"/>
      <c r="N699" s="10"/>
      <c r="O699" s="10"/>
      <c r="P699" s="10"/>
      <c r="Q699" s="10"/>
      <c r="R699" s="10"/>
      <c r="S699" s="10"/>
      <c r="T699" s="10"/>
      <c r="U699" s="10"/>
      <c r="V699" s="10"/>
      <c r="W699" s="10"/>
      <c r="X699" s="10"/>
      <c r="Y699" s="10"/>
      <c r="Z699" s="10"/>
    </row>
    <row r="700" spans="1:26" ht="17.25" customHeight="1" x14ac:dyDescent="0.3">
      <c r="A700" s="10" t="s">
        <v>827</v>
      </c>
      <c r="B700" s="10">
        <f t="shared" si="0"/>
        <v>13</v>
      </c>
      <c r="C700" s="8" t="str">
        <f t="shared" si="1"/>
        <v xml:space="preserve">Gouveia, L. </v>
      </c>
      <c r="D700" s="8" t="str">
        <f t="shared" si="2"/>
        <v>1997</v>
      </c>
      <c r="E700" s="10">
        <f t="shared" si="3"/>
        <v>18</v>
      </c>
      <c r="F700" s="10">
        <f t="shared" si="4"/>
        <v>150</v>
      </c>
      <c r="G700" s="8" t="str">
        <f t="shared" si="5"/>
        <v xml:space="preserve"> A Internet, oportunidade ou ameaça ao Professor? Artigo aceite para a Revista do Departamento de Ciências da Administração da UFP. </v>
      </c>
      <c r="H700" s="10" t="str">
        <f t="shared" si="6"/>
        <v xml:space="preserve">Gouveia, L. </v>
      </c>
      <c r="I700" s="10" t="str">
        <f t="shared" si="7"/>
        <v xml:space="preserve">Gouveia, L. </v>
      </c>
      <c r="J700" s="10" t="str">
        <f t="shared" si="8"/>
        <v xml:space="preserve">Gouveia, L. </v>
      </c>
      <c r="K700" s="11" t="str">
        <f ca="1">IFERROR(__xludf.DUMMYFUNCTION("SPLIT(J700,"";"")"),"Gouveia, L. ")</f>
        <v xml:space="preserve">Gouveia, L. </v>
      </c>
      <c r="L700" s="10"/>
      <c r="M700" s="10"/>
      <c r="N700" s="10"/>
      <c r="O700" s="10"/>
      <c r="P700" s="10"/>
      <c r="Q700" s="10"/>
      <c r="R700" s="10"/>
      <c r="S700" s="10"/>
      <c r="T700" s="10"/>
      <c r="U700" s="10"/>
      <c r="V700" s="10"/>
      <c r="W700" s="10"/>
      <c r="X700" s="10"/>
      <c r="Y700" s="10"/>
      <c r="Z700" s="10"/>
    </row>
    <row r="701" spans="1:26" ht="17.25" customHeight="1" x14ac:dyDescent="0.3">
      <c r="A701" s="10" t="s">
        <v>828</v>
      </c>
      <c r="B701" s="10">
        <f t="shared" si="0"/>
        <v>13</v>
      </c>
      <c r="C701" s="8" t="str">
        <f t="shared" si="1"/>
        <v xml:space="preserve">Gouveia, L. </v>
      </c>
      <c r="D701" s="8" t="str">
        <f t="shared" si="2"/>
        <v>1997</v>
      </c>
      <c r="E701" s="10">
        <f t="shared" si="3"/>
        <v>18</v>
      </c>
      <c r="F701" s="10">
        <f t="shared" si="4"/>
        <v>78</v>
      </c>
      <c r="G701" s="8" t="str">
        <f t="shared" si="5"/>
        <v xml:space="preserve"> O projecto, a gestão de projectos e o Gestor de Projectos. </v>
      </c>
      <c r="H701" s="10" t="str">
        <f t="shared" si="6"/>
        <v xml:space="preserve">Gouveia, L. </v>
      </c>
      <c r="I701" s="10" t="str">
        <f t="shared" si="7"/>
        <v xml:space="preserve">Gouveia, L. </v>
      </c>
      <c r="J701" s="10" t="str">
        <f t="shared" si="8"/>
        <v xml:space="preserve">Gouveia, L. </v>
      </c>
      <c r="K701" s="11" t="str">
        <f ca="1">IFERROR(__xludf.DUMMYFUNCTION("SPLIT(J701,"";"")"),"Gouveia, L. ")</f>
        <v xml:space="preserve">Gouveia, L. </v>
      </c>
      <c r="L701" s="10"/>
      <c r="M701" s="10"/>
      <c r="N701" s="10"/>
      <c r="O701" s="10"/>
      <c r="P701" s="10"/>
      <c r="Q701" s="10"/>
      <c r="R701" s="10"/>
      <c r="S701" s="10"/>
      <c r="T701" s="10"/>
      <c r="U701" s="10"/>
      <c r="V701" s="10"/>
      <c r="W701" s="10"/>
      <c r="X701" s="10"/>
      <c r="Y701" s="10"/>
      <c r="Z701" s="10"/>
    </row>
    <row r="702" spans="1:26" ht="17.25" customHeight="1" x14ac:dyDescent="0.3">
      <c r="A702" s="10" t="s">
        <v>829</v>
      </c>
      <c r="B702" s="10">
        <f t="shared" si="0"/>
        <v>13</v>
      </c>
      <c r="C702" s="8" t="str">
        <f t="shared" si="1"/>
        <v xml:space="preserve">Gouveia, L. </v>
      </c>
      <c r="D702" s="8" t="str">
        <f t="shared" si="2"/>
        <v>1997</v>
      </c>
      <c r="E702" s="10">
        <f t="shared" si="3"/>
        <v>18</v>
      </c>
      <c r="F702" s="10">
        <f t="shared" si="4"/>
        <v>116</v>
      </c>
      <c r="G702" s="8" t="str">
        <f t="shared" si="5"/>
        <v xml:space="preserve"> A redacção de documentos científicos, dicas para a escrita de textos de relatórios e monografia. </v>
      </c>
      <c r="H702" s="10" t="str">
        <f t="shared" si="6"/>
        <v xml:space="preserve">Gouveia, L. </v>
      </c>
      <c r="I702" s="10" t="str">
        <f t="shared" si="7"/>
        <v xml:space="preserve">Gouveia, L. </v>
      </c>
      <c r="J702" s="10" t="str">
        <f t="shared" si="8"/>
        <v xml:space="preserve">Gouveia, L. </v>
      </c>
      <c r="K702" s="11" t="str">
        <f ca="1">IFERROR(__xludf.DUMMYFUNCTION("SPLIT(J702,"";"")"),"Gouveia, L. ")</f>
        <v xml:space="preserve">Gouveia, L. </v>
      </c>
      <c r="L702" s="10"/>
      <c r="M702" s="10"/>
      <c r="N702" s="10"/>
      <c r="O702" s="10"/>
      <c r="P702" s="10"/>
      <c r="Q702" s="10"/>
      <c r="R702" s="10"/>
      <c r="S702" s="10"/>
      <c r="T702" s="10"/>
      <c r="U702" s="10"/>
      <c r="V702" s="10"/>
      <c r="W702" s="10"/>
      <c r="X702" s="10"/>
      <c r="Y702" s="10"/>
      <c r="Z702" s="10"/>
    </row>
    <row r="703" spans="1:26" ht="17.25" customHeight="1" x14ac:dyDescent="0.3">
      <c r="A703" s="10" t="s">
        <v>830</v>
      </c>
      <c r="B703" s="10">
        <f t="shared" si="0"/>
        <v>13</v>
      </c>
      <c r="C703" s="8" t="str">
        <f t="shared" si="1"/>
        <v xml:space="preserve">Gouveia, L. </v>
      </c>
      <c r="D703" s="8" t="str">
        <f t="shared" si="2"/>
        <v>1996</v>
      </c>
      <c r="E703" s="10">
        <f t="shared" si="3"/>
        <v>18</v>
      </c>
      <c r="F703" s="10">
        <f t="shared" si="4"/>
        <v>64</v>
      </c>
      <c r="G703" s="8" t="str">
        <f t="shared" si="5"/>
        <v xml:space="preserve"> E agora, vou ter de escrever! UFP, Dezembro. </v>
      </c>
      <c r="H703" s="10" t="str">
        <f t="shared" si="6"/>
        <v xml:space="preserve">Gouveia, L. </v>
      </c>
      <c r="I703" s="10" t="str">
        <f t="shared" si="7"/>
        <v xml:space="preserve">Gouveia, L. </v>
      </c>
      <c r="J703" s="10" t="str">
        <f t="shared" si="8"/>
        <v xml:space="preserve">Gouveia, L. </v>
      </c>
      <c r="K703" s="11" t="str">
        <f ca="1">IFERROR(__xludf.DUMMYFUNCTION("SPLIT(J703,"";"")"),"Gouveia, L. ")</f>
        <v xml:space="preserve">Gouveia, L. </v>
      </c>
      <c r="L703" s="10"/>
      <c r="M703" s="10"/>
      <c r="N703" s="10"/>
      <c r="O703" s="10"/>
      <c r="P703" s="10"/>
      <c r="Q703" s="10"/>
      <c r="R703" s="10"/>
      <c r="S703" s="10"/>
      <c r="T703" s="10"/>
      <c r="U703" s="10"/>
      <c r="V703" s="10"/>
      <c r="W703" s="10"/>
      <c r="X703" s="10"/>
      <c r="Y703" s="10"/>
      <c r="Z703" s="10"/>
    </row>
    <row r="704" spans="1:26" ht="17.25" customHeight="1" x14ac:dyDescent="0.3">
      <c r="A704" s="10" t="s">
        <v>831</v>
      </c>
      <c r="B704" s="10">
        <f t="shared" si="0"/>
        <v>13</v>
      </c>
      <c r="C704" s="8" t="str">
        <f t="shared" si="1"/>
        <v xml:space="preserve">Gouveia, L. </v>
      </c>
      <c r="D704" s="8" t="str">
        <f t="shared" si="2"/>
        <v>1991</v>
      </c>
      <c r="E704" s="10">
        <f t="shared" si="3"/>
        <v>18</v>
      </c>
      <c r="F704" s="10">
        <f t="shared" si="4"/>
        <v>96</v>
      </c>
      <c r="G704" s="8" t="str">
        <f t="shared" si="5"/>
        <v xml:space="preserve"> O Videotex: um serviço actual? Seminário Sobre Ética e Carreira Informática. </v>
      </c>
      <c r="H704" s="10" t="str">
        <f t="shared" si="6"/>
        <v xml:space="preserve">Gouveia, L. </v>
      </c>
      <c r="I704" s="10" t="str">
        <f t="shared" si="7"/>
        <v xml:space="preserve">Gouveia, L. </v>
      </c>
      <c r="J704" s="10" t="str">
        <f t="shared" si="8"/>
        <v xml:space="preserve">Gouveia, L. </v>
      </c>
      <c r="K704" s="11" t="str">
        <f ca="1">IFERROR(__xludf.DUMMYFUNCTION("SPLIT(J704,"";"")"),"Gouveia, L. ")</f>
        <v xml:space="preserve">Gouveia, L. </v>
      </c>
      <c r="L704" s="10"/>
      <c r="M704" s="10"/>
      <c r="N704" s="10"/>
      <c r="O704" s="10"/>
      <c r="P704" s="10"/>
      <c r="Q704" s="10"/>
      <c r="R704" s="10"/>
      <c r="S704" s="10"/>
      <c r="T704" s="10"/>
      <c r="U704" s="10"/>
      <c r="V704" s="10"/>
      <c r="W704" s="10"/>
      <c r="X704" s="10"/>
      <c r="Y704" s="10"/>
      <c r="Z704" s="10"/>
    </row>
    <row r="705" spans="1:26" ht="17.25" customHeight="1" x14ac:dyDescent="0.3">
      <c r="A705" s="10" t="s">
        <v>832</v>
      </c>
      <c r="B705" s="10">
        <f t="shared" si="0"/>
        <v>13</v>
      </c>
      <c r="C705" s="8" t="str">
        <f t="shared" si="1"/>
        <v xml:space="preserve">Gouveia, L. </v>
      </c>
      <c r="D705" s="8" t="str">
        <f t="shared" si="2"/>
        <v>1989</v>
      </c>
      <c r="E705" s="10">
        <f t="shared" si="3"/>
        <v>18</v>
      </c>
      <c r="F705" s="10">
        <f t="shared" si="4"/>
        <v>34</v>
      </c>
      <c r="G705" s="8" t="str">
        <f t="shared" si="5"/>
        <v xml:space="preserve"> Um testemunho. </v>
      </c>
      <c r="H705" s="10" t="str">
        <f t="shared" si="6"/>
        <v xml:space="preserve">Gouveia, L. </v>
      </c>
      <c r="I705" s="10" t="str">
        <f t="shared" si="7"/>
        <v xml:space="preserve">Gouveia, L. </v>
      </c>
      <c r="J705" s="10" t="str">
        <f t="shared" si="8"/>
        <v xml:space="preserve">Gouveia, L. </v>
      </c>
      <c r="K705" s="11" t="str">
        <f ca="1">IFERROR(__xludf.DUMMYFUNCTION("SPLIT(J705,"";"")"),"Gouveia, L. ")</f>
        <v xml:space="preserve">Gouveia, L. </v>
      </c>
      <c r="L705" s="10"/>
      <c r="M705" s="10"/>
      <c r="N705" s="10"/>
      <c r="O705" s="10"/>
      <c r="P705" s="10"/>
      <c r="Q705" s="10"/>
      <c r="R705" s="10"/>
      <c r="S705" s="10"/>
      <c r="T705" s="10"/>
      <c r="U705" s="10"/>
      <c r="V705" s="10"/>
      <c r="W705" s="10"/>
      <c r="X705" s="10"/>
      <c r="Y705" s="10"/>
      <c r="Z705" s="10"/>
    </row>
    <row r="706" spans="1:26" ht="17.25" customHeight="1" x14ac:dyDescent="0.3">
      <c r="A706" s="10" t="s">
        <v>833</v>
      </c>
      <c r="B706" s="10" t="e">
        <f t="shared" si="0"/>
        <v>#VALUE!</v>
      </c>
      <c r="C706" s="8" t="e">
        <f t="shared" si="1"/>
        <v>#VALUE!</v>
      </c>
      <c r="D706" s="8" t="e">
        <f t="shared" si="2"/>
        <v>#VALUE!</v>
      </c>
      <c r="E706" s="10" t="e">
        <f t="shared" si="3"/>
        <v>#VALUE!</v>
      </c>
      <c r="F706" s="10" t="e">
        <f t="shared" si="4"/>
        <v>#VALUE!</v>
      </c>
      <c r="G706" s="8" t="e">
        <f t="shared" si="5"/>
        <v>#VALUE!</v>
      </c>
      <c r="H706" s="10" t="e">
        <f t="shared" si="6"/>
        <v>#VALUE!</v>
      </c>
      <c r="I706" s="10" t="e">
        <f t="shared" si="7"/>
        <v>#VALUE!</v>
      </c>
      <c r="J706" s="10" t="e">
        <f t="shared" si="8"/>
        <v>#VALUE!</v>
      </c>
      <c r="K706" s="11" t="str">
        <f ca="1">IFERROR(__xludf.DUMMYFUNCTION("SPLIT(J706,"";"")"),"#VALUE!")</f>
        <v>#VALUE!</v>
      </c>
      <c r="L706" s="10"/>
      <c r="M706" s="10"/>
      <c r="N706" s="10"/>
      <c r="O706" s="10"/>
      <c r="P706" s="10"/>
      <c r="Q706" s="10"/>
      <c r="R706" s="10"/>
      <c r="S706" s="10"/>
      <c r="T706" s="10"/>
      <c r="U706" s="10"/>
      <c r="V706" s="10"/>
      <c r="W706" s="10"/>
      <c r="X706" s="10"/>
      <c r="Y706" s="10"/>
      <c r="Z706" s="10"/>
    </row>
    <row r="707" spans="1:26" ht="17.25" customHeight="1" x14ac:dyDescent="0.3">
      <c r="A707" s="10" t="s">
        <v>834</v>
      </c>
      <c r="B707" s="10">
        <f t="shared" si="0"/>
        <v>13</v>
      </c>
      <c r="C707" s="8" t="str">
        <f t="shared" si="1"/>
        <v xml:space="preserve">Gouveia, L. </v>
      </c>
      <c r="D707" s="8" t="str">
        <f t="shared" si="2"/>
        <v>2019</v>
      </c>
      <c r="E707" s="10">
        <f t="shared" si="3"/>
        <v>18</v>
      </c>
      <c r="F707" s="10">
        <f t="shared" si="4"/>
        <v>63</v>
      </c>
      <c r="G707" s="8" t="str">
        <f t="shared" si="5"/>
        <v xml:space="preserve"> A Gestão da Informação no tempo do Digital. </v>
      </c>
      <c r="H707" s="10" t="str">
        <f t="shared" si="6"/>
        <v xml:space="preserve">Gouveia, L. </v>
      </c>
      <c r="I707" s="10" t="str">
        <f t="shared" si="7"/>
        <v xml:space="preserve">Gouveia, L. </v>
      </c>
      <c r="J707" s="10" t="str">
        <f t="shared" si="8"/>
        <v xml:space="preserve">Gouveia, L. </v>
      </c>
      <c r="K707" s="11" t="str">
        <f ca="1">IFERROR(__xludf.DUMMYFUNCTION("SPLIT(J707,"";"")"),"Gouveia, L. ")</f>
        <v xml:space="preserve">Gouveia, L. </v>
      </c>
      <c r="L707" s="10"/>
      <c r="M707" s="10"/>
      <c r="N707" s="10"/>
      <c r="O707" s="10"/>
      <c r="P707" s="10"/>
      <c r="Q707" s="10"/>
      <c r="R707" s="10"/>
      <c r="S707" s="10"/>
      <c r="T707" s="10"/>
      <c r="U707" s="10"/>
      <c r="V707" s="10"/>
      <c r="W707" s="10"/>
      <c r="X707" s="10"/>
      <c r="Y707" s="10"/>
      <c r="Z707" s="10"/>
    </row>
    <row r="708" spans="1:26" ht="17.25" customHeight="1" x14ac:dyDescent="0.3">
      <c r="A708" s="10" t="s">
        <v>835</v>
      </c>
      <c r="B708" s="10">
        <f t="shared" si="0"/>
        <v>13</v>
      </c>
      <c r="C708" s="8" t="str">
        <f t="shared" si="1"/>
        <v xml:space="preserve">Gouveia, L. </v>
      </c>
      <c r="D708" s="8" t="str">
        <f t="shared" si="2"/>
        <v>2019</v>
      </c>
      <c r="E708" s="10">
        <f t="shared" si="3"/>
        <v>18</v>
      </c>
      <c r="F708" s="10">
        <f t="shared" si="4"/>
        <v>79</v>
      </c>
      <c r="G708" s="8" t="str">
        <f t="shared" si="5"/>
        <v xml:space="preserve"> UFPR TV Desafios da Universidade no Mundo Digital Especial. </v>
      </c>
      <c r="H708" s="10" t="str">
        <f t="shared" si="6"/>
        <v xml:space="preserve">Gouveia, L. </v>
      </c>
      <c r="I708" s="10" t="str">
        <f t="shared" si="7"/>
        <v xml:space="preserve">Gouveia, L. </v>
      </c>
      <c r="J708" s="10" t="str">
        <f t="shared" si="8"/>
        <v xml:space="preserve">Gouveia, L. </v>
      </c>
      <c r="K708" s="11" t="str">
        <f ca="1">IFERROR(__xludf.DUMMYFUNCTION("SPLIT(J708,"";"")"),"Gouveia, L. ")</f>
        <v xml:space="preserve">Gouveia, L. </v>
      </c>
      <c r="L708" s="10"/>
      <c r="M708" s="10"/>
      <c r="N708" s="10"/>
      <c r="O708" s="10"/>
      <c r="P708" s="10"/>
      <c r="Q708" s="10"/>
      <c r="R708" s="10"/>
      <c r="S708" s="10"/>
      <c r="T708" s="10"/>
      <c r="U708" s="10"/>
      <c r="V708" s="10"/>
      <c r="W708" s="10"/>
      <c r="X708" s="10"/>
      <c r="Y708" s="10"/>
      <c r="Z708" s="10"/>
    </row>
    <row r="709" spans="1:26" ht="17.25" customHeight="1" x14ac:dyDescent="0.3">
      <c r="A709" s="10" t="s">
        <v>836</v>
      </c>
      <c r="B709" s="10">
        <f t="shared" si="0"/>
        <v>13</v>
      </c>
      <c r="C709" s="8" t="str">
        <f t="shared" si="1"/>
        <v xml:space="preserve">Gouveia, L. </v>
      </c>
      <c r="D709" s="8" t="str">
        <f t="shared" si="2"/>
        <v>2007</v>
      </c>
      <c r="E709" s="10">
        <f t="shared" si="3"/>
        <v>18</v>
      </c>
      <c r="F709" s="10">
        <f t="shared" si="4"/>
        <v>60</v>
      </c>
      <c r="G709" s="8" t="str">
        <f t="shared" si="5"/>
        <v xml:space="preserve"> Entrevista sobre o Blogue pessoal (lmbg.b</v>
      </c>
      <c r="H709" s="10" t="str">
        <f t="shared" si="6"/>
        <v xml:space="preserve">Gouveia, L. </v>
      </c>
      <c r="I709" s="10" t="str">
        <f t="shared" si="7"/>
        <v xml:space="preserve">Gouveia, L. </v>
      </c>
      <c r="J709" s="10" t="str">
        <f t="shared" si="8"/>
        <v xml:space="preserve">Gouveia, L. </v>
      </c>
      <c r="K709" s="11" t="str">
        <f ca="1">IFERROR(__xludf.DUMMYFUNCTION("SPLIT(J709,"";"")"),"Gouveia, L. ")</f>
        <v xml:space="preserve">Gouveia, L. </v>
      </c>
      <c r="L709" s="10"/>
      <c r="M709" s="10"/>
      <c r="N709" s="10"/>
      <c r="O709" s="10"/>
      <c r="P709" s="10"/>
      <c r="Q709" s="10"/>
      <c r="R709" s="10"/>
      <c r="S709" s="10"/>
      <c r="T709" s="10"/>
      <c r="U709" s="10"/>
      <c r="V709" s="10"/>
      <c r="W709" s="10"/>
      <c r="X709" s="10"/>
      <c r="Y709" s="10"/>
      <c r="Z709" s="10"/>
    </row>
    <row r="710" spans="1:26" ht="17.25" customHeight="1" x14ac:dyDescent="0.3">
      <c r="A710" s="10" t="s">
        <v>837</v>
      </c>
      <c r="B710" s="10">
        <f t="shared" si="0"/>
        <v>13</v>
      </c>
      <c r="C710" s="8" t="str">
        <f t="shared" si="1"/>
        <v xml:space="preserve">Gouveia, L. </v>
      </c>
      <c r="D710" s="8" t="str">
        <f t="shared" si="2"/>
        <v>2007</v>
      </c>
      <c r="E710" s="10">
        <f t="shared" si="3"/>
        <v>18</v>
      </c>
      <c r="F710" s="10">
        <f t="shared" si="4"/>
        <v>84</v>
      </c>
      <c r="G710" s="8" t="str">
        <f t="shared" si="5"/>
        <v xml:space="preserve"> Do território digital à governação de pessoas e do conhecimento. </v>
      </c>
      <c r="H710" s="10" t="str">
        <f t="shared" si="6"/>
        <v xml:space="preserve">Gouveia, L. </v>
      </c>
      <c r="I710" s="10" t="str">
        <f t="shared" si="7"/>
        <v xml:space="preserve">Gouveia, L. </v>
      </c>
      <c r="J710" s="10" t="str">
        <f t="shared" si="8"/>
        <v xml:space="preserve">Gouveia, L. </v>
      </c>
      <c r="K710" s="11" t="str">
        <f ca="1">IFERROR(__xludf.DUMMYFUNCTION("SPLIT(J710,"";"")"),"Gouveia, L. ")</f>
        <v xml:space="preserve">Gouveia, L. </v>
      </c>
      <c r="L710" s="10"/>
      <c r="M710" s="10"/>
      <c r="N710" s="10"/>
      <c r="O710" s="10"/>
      <c r="P710" s="10"/>
      <c r="Q710" s="10"/>
      <c r="R710" s="10"/>
      <c r="S710" s="10"/>
      <c r="T710" s="10"/>
      <c r="U710" s="10"/>
      <c r="V710" s="10"/>
      <c r="W710" s="10"/>
      <c r="X710" s="10"/>
      <c r="Y710" s="10"/>
      <c r="Z710" s="10"/>
    </row>
    <row r="711" spans="1:26" ht="17.25" customHeight="1" x14ac:dyDescent="0.3">
      <c r="A711" s="10" t="s">
        <v>838</v>
      </c>
      <c r="B711" s="10">
        <f t="shared" si="0"/>
        <v>13</v>
      </c>
      <c r="C711" s="8" t="str">
        <f t="shared" si="1"/>
        <v xml:space="preserve">Gouveia, L. </v>
      </c>
      <c r="D711" s="8" t="str">
        <f t="shared" si="2"/>
        <v>2006</v>
      </c>
      <c r="E711" s="10">
        <f t="shared" si="3"/>
        <v>18</v>
      </c>
      <c r="F711" s="10">
        <f t="shared" si="4"/>
        <v>68</v>
      </c>
      <c r="G711" s="8" t="str">
        <f t="shared" si="5"/>
        <v xml:space="preserve"> Entrevista de opinião sobre o plano tecnológico. </v>
      </c>
      <c r="H711" s="10" t="str">
        <f t="shared" si="6"/>
        <v xml:space="preserve">Gouveia, L. </v>
      </c>
      <c r="I711" s="10" t="str">
        <f t="shared" si="7"/>
        <v xml:space="preserve">Gouveia, L. </v>
      </c>
      <c r="J711" s="10" t="str">
        <f t="shared" si="8"/>
        <v xml:space="preserve">Gouveia, L. </v>
      </c>
      <c r="K711" s="11" t="str">
        <f ca="1">IFERROR(__xludf.DUMMYFUNCTION("SPLIT(J711,"";"")"),"Gouveia, L. ")</f>
        <v xml:space="preserve">Gouveia, L. </v>
      </c>
      <c r="L711" s="10"/>
      <c r="M711" s="10"/>
      <c r="N711" s="10"/>
      <c r="O711" s="10"/>
      <c r="P711" s="10"/>
      <c r="Q711" s="10"/>
      <c r="R711" s="10"/>
      <c r="S711" s="10"/>
      <c r="T711" s="10"/>
      <c r="U711" s="10"/>
      <c r="V711" s="10"/>
      <c r="W711" s="10"/>
      <c r="X711" s="10"/>
      <c r="Y711" s="10"/>
      <c r="Z711" s="10"/>
    </row>
    <row r="712" spans="1:26" ht="17.25" customHeight="1" x14ac:dyDescent="0.3">
      <c r="A712" s="10" t="s">
        <v>839</v>
      </c>
      <c r="B712" s="10">
        <f t="shared" si="0"/>
        <v>13</v>
      </c>
      <c r="C712" s="8" t="str">
        <f t="shared" si="1"/>
        <v xml:space="preserve">Gouveia, L. </v>
      </c>
      <c r="D712" s="8" t="str">
        <f t="shared" si="2"/>
        <v>2005</v>
      </c>
      <c r="E712" s="10">
        <f t="shared" si="3"/>
        <v>18</v>
      </c>
      <c r="F712" s="10">
        <f t="shared" si="4"/>
        <v>97</v>
      </c>
      <c r="G712" s="8" t="str">
        <f t="shared" si="5"/>
        <v xml:space="preserve"> Comemorando o décimo ano de funcionamento das páginas LMBG na World Wide Web. </v>
      </c>
      <c r="H712" s="10" t="str">
        <f t="shared" si="6"/>
        <v xml:space="preserve">Gouveia, L. </v>
      </c>
      <c r="I712" s="10" t="str">
        <f t="shared" si="7"/>
        <v xml:space="preserve">Gouveia, L. </v>
      </c>
      <c r="J712" s="10" t="str">
        <f t="shared" si="8"/>
        <v xml:space="preserve">Gouveia, L. </v>
      </c>
      <c r="K712" s="11" t="str">
        <f ca="1">IFERROR(__xludf.DUMMYFUNCTION("SPLIT(J712,"";"")"),"Gouveia, L. ")</f>
        <v xml:space="preserve">Gouveia, L. </v>
      </c>
      <c r="L712" s="10"/>
      <c r="M712" s="10"/>
      <c r="N712" s="10"/>
      <c r="O712" s="10"/>
      <c r="P712" s="10"/>
      <c r="Q712" s="10"/>
      <c r="R712" s="10"/>
      <c r="S712" s="10"/>
      <c r="T712" s="10"/>
      <c r="U712" s="10"/>
      <c r="V712" s="10"/>
      <c r="W712" s="10"/>
      <c r="X712" s="10"/>
      <c r="Y712" s="10"/>
      <c r="Z712" s="10"/>
    </row>
    <row r="713" spans="1:26" ht="17.25" customHeight="1" x14ac:dyDescent="0.3">
      <c r="A713" s="10" t="s">
        <v>840</v>
      </c>
      <c r="B713" s="10">
        <f t="shared" si="0"/>
        <v>13</v>
      </c>
      <c r="C713" s="8" t="str">
        <f t="shared" si="1"/>
        <v xml:space="preserve">Gouveia, L. </v>
      </c>
      <c r="D713" s="8" t="str">
        <f t="shared" si="2"/>
        <v>2004</v>
      </c>
      <c r="E713" s="10">
        <f t="shared" si="3"/>
        <v>18</v>
      </c>
      <c r="F713" s="10">
        <f t="shared" si="4"/>
        <v>60</v>
      </c>
      <c r="G713" s="8" t="str">
        <f t="shared" si="5"/>
        <v xml:space="preserve"> Entrevista sobre o projecto Gaia Global. </v>
      </c>
      <c r="H713" s="10" t="str">
        <f t="shared" si="6"/>
        <v xml:space="preserve">Gouveia, L. </v>
      </c>
      <c r="I713" s="10" t="str">
        <f t="shared" si="7"/>
        <v xml:space="preserve">Gouveia, L. </v>
      </c>
      <c r="J713" s="10" t="str">
        <f t="shared" si="8"/>
        <v xml:space="preserve">Gouveia, L. </v>
      </c>
      <c r="K713" s="11" t="str">
        <f ca="1">IFERROR(__xludf.DUMMYFUNCTION("SPLIT(J713,"";"")"),"Gouveia, L. ")</f>
        <v xml:space="preserve">Gouveia, L. </v>
      </c>
      <c r="L713" s="10"/>
      <c r="M713" s="10"/>
      <c r="N713" s="10"/>
      <c r="O713" s="10"/>
      <c r="P713" s="10"/>
      <c r="Q713" s="10"/>
      <c r="R713" s="10"/>
      <c r="S713" s="10"/>
      <c r="T713" s="10"/>
      <c r="U713" s="10"/>
      <c r="V713" s="10"/>
      <c r="W713" s="10"/>
      <c r="X713" s="10"/>
      <c r="Y713" s="10"/>
      <c r="Z713" s="10"/>
    </row>
    <row r="714" spans="1:26" ht="17.25" customHeight="1" x14ac:dyDescent="0.3">
      <c r="A714" s="10" t="s">
        <v>841</v>
      </c>
      <c r="B714" s="10">
        <f t="shared" si="0"/>
        <v>13</v>
      </c>
      <c r="C714" s="8" t="str">
        <f t="shared" si="1"/>
        <v xml:space="preserve">Gouveia, L. </v>
      </c>
      <c r="D714" s="8" t="str">
        <f t="shared" si="2"/>
        <v>2002</v>
      </c>
      <c r="E714" s="10">
        <f t="shared" si="3"/>
        <v>18</v>
      </c>
      <c r="F714" s="10">
        <f t="shared" si="4"/>
        <v>59</v>
      </c>
      <c r="G714" s="8" t="str">
        <f t="shared" si="5"/>
        <v xml:space="preserve"> Ensinar a aprender, ensinar e aprender. </v>
      </c>
      <c r="H714" s="10" t="str">
        <f t="shared" si="6"/>
        <v xml:space="preserve">Gouveia, L. </v>
      </c>
      <c r="I714" s="10" t="str">
        <f t="shared" si="7"/>
        <v xml:space="preserve">Gouveia, L. </v>
      </c>
      <c r="J714" s="10" t="str">
        <f t="shared" si="8"/>
        <v xml:space="preserve">Gouveia, L. </v>
      </c>
      <c r="K714" s="11" t="str">
        <f ca="1">IFERROR(__xludf.DUMMYFUNCTION("SPLIT(J714,"";"")"),"Gouveia, L. ")</f>
        <v xml:space="preserve">Gouveia, L. </v>
      </c>
      <c r="L714" s="10"/>
      <c r="M714" s="10"/>
      <c r="N714" s="10"/>
      <c r="O714" s="10"/>
      <c r="P714" s="10"/>
      <c r="Q714" s="10"/>
      <c r="R714" s="10"/>
      <c r="S714" s="10"/>
      <c r="T714" s="10"/>
      <c r="U714" s="10"/>
      <c r="V714" s="10"/>
      <c r="W714" s="10"/>
      <c r="X714" s="10"/>
      <c r="Y714" s="10"/>
      <c r="Z714" s="10"/>
    </row>
    <row r="715" spans="1:26" ht="17.25" customHeight="1" x14ac:dyDescent="0.3">
      <c r="A715" s="10" t="s">
        <v>842</v>
      </c>
      <c r="B715" s="10">
        <f t="shared" si="0"/>
        <v>13</v>
      </c>
      <c r="C715" s="8" t="str">
        <f t="shared" si="1"/>
        <v xml:space="preserve">Gouveia, L. </v>
      </c>
      <c r="D715" s="8" t="str">
        <f t="shared" si="2"/>
        <v>2001</v>
      </c>
      <c r="E715" s="10" t="e">
        <f t="shared" si="3"/>
        <v>#VALUE!</v>
      </c>
      <c r="F715" s="10" t="e">
        <f t="shared" si="4"/>
        <v>#VALUE!</v>
      </c>
      <c r="G715" s="8" t="e">
        <f t="shared" si="5"/>
        <v>#VALUE!</v>
      </c>
      <c r="H715" s="10" t="str">
        <f t="shared" si="6"/>
        <v xml:space="preserve">Gouveia, L. </v>
      </c>
      <c r="I715" s="10" t="str">
        <f t="shared" si="7"/>
        <v xml:space="preserve">Gouveia, L. </v>
      </c>
      <c r="J715" s="10" t="str">
        <f t="shared" si="8"/>
        <v xml:space="preserve">Gouveia, L. </v>
      </c>
      <c r="K715" s="11" t="str">
        <f ca="1">IFERROR(__xludf.DUMMYFUNCTION("SPLIT(J715,"";"")"),"Gouveia, L. ")</f>
        <v xml:space="preserve">Gouveia, L. </v>
      </c>
      <c r="L715" s="10"/>
      <c r="M715" s="10"/>
      <c r="N715" s="10"/>
      <c r="O715" s="10"/>
      <c r="P715" s="10"/>
      <c r="Q715" s="10"/>
      <c r="R715" s="10"/>
      <c r="S715" s="10"/>
      <c r="T715" s="10"/>
      <c r="U715" s="10"/>
      <c r="V715" s="10"/>
      <c r="W715" s="10"/>
      <c r="X715" s="10"/>
      <c r="Y715" s="10"/>
      <c r="Z715" s="10"/>
    </row>
    <row r="716" spans="1:26" ht="17.25" customHeight="1" x14ac:dyDescent="0.3">
      <c r="A716" s="10" t="s">
        <v>843</v>
      </c>
      <c r="B716" s="10">
        <f t="shared" si="0"/>
        <v>13</v>
      </c>
      <c r="C716" s="8" t="str">
        <f t="shared" si="1"/>
        <v xml:space="preserve">Gouveia, L. </v>
      </c>
      <c r="D716" s="8" t="str">
        <f t="shared" si="2"/>
        <v>2001</v>
      </c>
      <c r="E716" s="10" t="e">
        <f t="shared" si="3"/>
        <v>#VALUE!</v>
      </c>
      <c r="F716" s="10" t="e">
        <f t="shared" si="4"/>
        <v>#VALUE!</v>
      </c>
      <c r="G716" s="8" t="e">
        <f t="shared" si="5"/>
        <v>#VALUE!</v>
      </c>
      <c r="H716" s="10" t="str">
        <f t="shared" si="6"/>
        <v xml:space="preserve">Gouveia, L. </v>
      </c>
      <c r="I716" s="10" t="str">
        <f t="shared" si="7"/>
        <v xml:space="preserve">Gouveia, L. </v>
      </c>
      <c r="J716" s="10" t="str">
        <f t="shared" si="8"/>
        <v xml:space="preserve">Gouveia, L. </v>
      </c>
      <c r="K716" s="11" t="str">
        <f ca="1">IFERROR(__xludf.DUMMYFUNCTION("SPLIT(J716,"";"")"),"Gouveia, L. ")</f>
        <v xml:space="preserve">Gouveia, L. </v>
      </c>
      <c r="L716" s="10"/>
      <c r="M716" s="10"/>
      <c r="N716" s="10"/>
      <c r="O716" s="10"/>
      <c r="P716" s="10"/>
      <c r="Q716" s="10"/>
      <c r="R716" s="10"/>
      <c r="S716" s="10"/>
      <c r="T716" s="10"/>
      <c r="U716" s="10"/>
      <c r="V716" s="10"/>
      <c r="W716" s="10"/>
      <c r="X716" s="10"/>
      <c r="Y716" s="10"/>
      <c r="Z716" s="10"/>
    </row>
    <row r="717" spans="1:26" ht="17.25" customHeight="1" x14ac:dyDescent="0.3">
      <c r="A717" s="10" t="s">
        <v>844</v>
      </c>
      <c r="B717" s="10">
        <f t="shared" si="0"/>
        <v>13</v>
      </c>
      <c r="C717" s="8" t="str">
        <f t="shared" si="1"/>
        <v xml:space="preserve">Gouveia, L. </v>
      </c>
      <c r="D717" s="8" t="str">
        <f t="shared" si="2"/>
        <v>2000</v>
      </c>
      <c r="E717" s="10">
        <f t="shared" si="3"/>
        <v>18</v>
      </c>
      <c r="F717" s="10">
        <f t="shared" si="4"/>
        <v>51</v>
      </c>
      <c r="G717" s="8" t="str">
        <f t="shared" si="5"/>
        <v xml:space="preserve"> Eu, Nós e o Valor da diferença. </v>
      </c>
      <c r="H717" s="10" t="str">
        <f t="shared" si="6"/>
        <v xml:space="preserve">Gouveia, L. </v>
      </c>
      <c r="I717" s="10" t="str">
        <f t="shared" si="7"/>
        <v xml:space="preserve">Gouveia, L. </v>
      </c>
      <c r="J717" s="10" t="str">
        <f t="shared" si="8"/>
        <v xml:space="preserve">Gouveia, L. </v>
      </c>
      <c r="K717" s="11" t="str">
        <f ca="1">IFERROR(__xludf.DUMMYFUNCTION("SPLIT(J717,"";"")"),"Gouveia, L. ")</f>
        <v xml:space="preserve">Gouveia, L. </v>
      </c>
      <c r="L717" s="10"/>
      <c r="M717" s="10"/>
      <c r="N717" s="10"/>
      <c r="O717" s="10"/>
      <c r="P717" s="10"/>
      <c r="Q717" s="10"/>
      <c r="R717" s="10"/>
      <c r="S717" s="10"/>
      <c r="T717" s="10"/>
      <c r="U717" s="10"/>
      <c r="V717" s="10"/>
      <c r="W717" s="10"/>
      <c r="X717" s="10"/>
      <c r="Y717" s="10"/>
      <c r="Z717" s="10"/>
    </row>
    <row r="718" spans="1:26" ht="17.25" customHeight="1" x14ac:dyDescent="0.3">
      <c r="A718" s="10" t="s">
        <v>845</v>
      </c>
      <c r="B718" s="10">
        <f t="shared" si="0"/>
        <v>13</v>
      </c>
      <c r="C718" s="8" t="str">
        <f t="shared" si="1"/>
        <v xml:space="preserve">Gouveia, L. </v>
      </c>
      <c r="D718" s="8" t="str">
        <f t="shared" si="2"/>
        <v>1999</v>
      </c>
      <c r="E718" s="10">
        <f t="shared" si="3"/>
        <v>18</v>
      </c>
      <c r="F718" s="10">
        <f t="shared" si="4"/>
        <v>92</v>
      </c>
      <c r="G718" s="8" t="str">
        <f t="shared" si="5"/>
        <v xml:space="preserve"> Shared Visualisation and Virtual Environments for Co-operative Learning. </v>
      </c>
      <c r="H718" s="10" t="str">
        <f t="shared" si="6"/>
        <v xml:space="preserve">Gouveia, L. </v>
      </c>
      <c r="I718" s="10" t="str">
        <f t="shared" si="7"/>
        <v xml:space="preserve">Gouveia, L. </v>
      </c>
      <c r="J718" s="10" t="str">
        <f t="shared" si="8"/>
        <v xml:space="preserve">Gouveia, L. </v>
      </c>
      <c r="K718" s="11" t="str">
        <f ca="1">IFERROR(__xludf.DUMMYFUNCTION("SPLIT(J718,"";"")"),"Gouveia, L. ")</f>
        <v xml:space="preserve">Gouveia, L. </v>
      </c>
      <c r="L718" s="10"/>
      <c r="M718" s="10"/>
      <c r="N718" s="10"/>
      <c r="O718" s="10"/>
      <c r="P718" s="10"/>
      <c r="Q718" s="10"/>
      <c r="R718" s="10"/>
      <c r="S718" s="10"/>
      <c r="T718" s="10"/>
      <c r="U718" s="10"/>
      <c r="V718" s="10"/>
      <c r="W718" s="10"/>
      <c r="X718" s="10"/>
      <c r="Y718" s="10"/>
      <c r="Z718" s="10"/>
    </row>
    <row r="719" spans="1:26" ht="17.25" customHeight="1" x14ac:dyDescent="0.3">
      <c r="A719" s="10" t="s">
        <v>846</v>
      </c>
      <c r="B719" s="10" t="e">
        <f t="shared" si="0"/>
        <v>#VALUE!</v>
      </c>
      <c r="C719" s="8" t="e">
        <f t="shared" si="1"/>
        <v>#VALUE!</v>
      </c>
      <c r="D719" s="8" t="e">
        <f t="shared" si="2"/>
        <v>#VALUE!</v>
      </c>
      <c r="E719" s="10" t="e">
        <f t="shared" si="3"/>
        <v>#VALUE!</v>
      </c>
      <c r="F719" s="10" t="e">
        <f t="shared" si="4"/>
        <v>#VALUE!</v>
      </c>
      <c r="G719" s="8" t="e">
        <f t="shared" si="5"/>
        <v>#VALUE!</v>
      </c>
      <c r="H719" s="10" t="e">
        <f t="shared" si="6"/>
        <v>#VALUE!</v>
      </c>
      <c r="I719" s="10" t="e">
        <f t="shared" si="7"/>
        <v>#VALUE!</v>
      </c>
      <c r="J719" s="10" t="e">
        <f t="shared" si="8"/>
        <v>#VALUE!</v>
      </c>
      <c r="K719" s="11" t="str">
        <f ca="1">IFERROR(__xludf.DUMMYFUNCTION("SPLIT(J719,"";"")"),"#VALUE!")</f>
        <v>#VALUE!</v>
      </c>
      <c r="L719" s="10"/>
      <c r="M719" s="10"/>
      <c r="N719" s="10"/>
      <c r="O719" s="10"/>
      <c r="P719" s="10"/>
      <c r="Q719" s="10"/>
      <c r="R719" s="10"/>
      <c r="S719" s="10"/>
      <c r="T719" s="10"/>
      <c r="U719" s="10"/>
      <c r="V719" s="10"/>
      <c r="W719" s="10"/>
      <c r="X719" s="10"/>
      <c r="Y719" s="10"/>
      <c r="Z719" s="10"/>
    </row>
    <row r="720" spans="1:26" ht="17.25" customHeight="1" x14ac:dyDescent="0.3">
      <c r="A720" s="10" t="s">
        <v>847</v>
      </c>
      <c r="B720" s="10">
        <f t="shared" si="0"/>
        <v>13</v>
      </c>
      <c r="C720" s="8" t="str">
        <f t="shared" si="1"/>
        <v xml:space="preserve">Gouveia, L. </v>
      </c>
      <c r="D720" s="8" t="str">
        <f t="shared" si="2"/>
        <v>2017</v>
      </c>
      <c r="E720" s="10">
        <f t="shared" si="3"/>
        <v>18</v>
      </c>
      <c r="F720" s="10">
        <f t="shared" si="4"/>
        <v>86</v>
      </c>
      <c r="G720" s="8" t="str">
        <f t="shared" si="5"/>
        <v xml:space="preserve">  Notas e transparências sobre conceitos de Sistemas de Informação. </v>
      </c>
      <c r="H720" s="10" t="str">
        <f t="shared" si="6"/>
        <v xml:space="preserve">Gouveia, L. </v>
      </c>
      <c r="I720" s="10" t="str">
        <f t="shared" si="7"/>
        <v xml:space="preserve">Gouveia, L. </v>
      </c>
      <c r="J720" s="10" t="str">
        <f t="shared" si="8"/>
        <v xml:space="preserve">Gouveia, L. </v>
      </c>
      <c r="K720" s="11" t="str">
        <f ca="1">IFERROR(__xludf.DUMMYFUNCTION("SPLIT(J720,"";"")"),"Gouveia, L. ")</f>
        <v xml:space="preserve">Gouveia, L. </v>
      </c>
      <c r="L720" s="10"/>
      <c r="M720" s="10"/>
      <c r="N720" s="10"/>
      <c r="O720" s="10"/>
      <c r="P720" s="10"/>
      <c r="Q720" s="10"/>
      <c r="R720" s="10"/>
      <c r="S720" s="10"/>
      <c r="T720" s="10"/>
      <c r="U720" s="10"/>
      <c r="V720" s="10"/>
      <c r="W720" s="10"/>
      <c r="X720" s="10"/>
      <c r="Y720" s="10"/>
      <c r="Z720" s="10"/>
    </row>
    <row r="721" spans="1:26" ht="17.25" customHeight="1" x14ac:dyDescent="0.3">
      <c r="A721" s="10" t="s">
        <v>848</v>
      </c>
      <c r="B721" s="10">
        <f t="shared" si="0"/>
        <v>13</v>
      </c>
      <c r="C721" s="8" t="str">
        <f t="shared" si="1"/>
        <v xml:space="preserve">Gouveia, L. </v>
      </c>
      <c r="D721" s="8" t="str">
        <f t="shared" si="2"/>
        <v>2017</v>
      </c>
      <c r="E721" s="10">
        <f t="shared" si="3"/>
        <v>18</v>
      </c>
      <c r="F721" s="10">
        <f t="shared" si="4"/>
        <v>88</v>
      </c>
      <c r="G721" s="8" t="str">
        <f t="shared" si="5"/>
        <v xml:space="preserve">  Notas e transparências sobre Tecnologias em Sistemas de Informação. </v>
      </c>
      <c r="H721" s="10" t="str">
        <f t="shared" si="6"/>
        <v xml:space="preserve">Gouveia, L. </v>
      </c>
      <c r="I721" s="10" t="str">
        <f t="shared" si="7"/>
        <v xml:space="preserve">Gouveia, L. </v>
      </c>
      <c r="J721" s="10" t="str">
        <f t="shared" si="8"/>
        <v xml:space="preserve">Gouveia, L. </v>
      </c>
      <c r="K721" s="11" t="str">
        <f ca="1">IFERROR(__xludf.DUMMYFUNCTION("SPLIT(J721,"";"")"),"Gouveia, L. ")</f>
        <v xml:space="preserve">Gouveia, L. </v>
      </c>
      <c r="L721" s="10"/>
      <c r="M721" s="10"/>
      <c r="N721" s="10"/>
      <c r="O721" s="10"/>
      <c r="P721" s="10"/>
      <c r="Q721" s="10"/>
      <c r="R721" s="10"/>
      <c r="S721" s="10"/>
      <c r="T721" s="10"/>
      <c r="U721" s="10"/>
      <c r="V721" s="10"/>
      <c r="W721" s="10"/>
      <c r="X721" s="10"/>
      <c r="Y721" s="10"/>
      <c r="Z721" s="10"/>
    </row>
    <row r="722" spans="1:26" ht="17.25" customHeight="1" x14ac:dyDescent="0.3">
      <c r="A722" s="10" t="s">
        <v>849</v>
      </c>
      <c r="B722" s="10">
        <f t="shared" si="0"/>
        <v>13</v>
      </c>
      <c r="C722" s="8" t="str">
        <f t="shared" si="1"/>
        <v xml:space="preserve">Gouveia, L. </v>
      </c>
      <c r="D722" s="8" t="str">
        <f t="shared" si="2"/>
        <v>2017</v>
      </c>
      <c r="E722" s="10">
        <f t="shared" si="3"/>
        <v>18</v>
      </c>
      <c r="F722" s="10">
        <f t="shared" si="4"/>
        <v>108</v>
      </c>
      <c r="G722" s="8" t="str">
        <f t="shared" si="5"/>
        <v xml:space="preserve">  Sistemas de Informação para a Sociedade do Conhecimento: módulos 1 e 2, aulas práticas. </v>
      </c>
      <c r="H722" s="10" t="str">
        <f t="shared" si="6"/>
        <v xml:space="preserve">Gouveia, L. </v>
      </c>
      <c r="I722" s="10" t="str">
        <f t="shared" si="7"/>
        <v xml:space="preserve">Gouveia, L. </v>
      </c>
      <c r="J722" s="10" t="str">
        <f t="shared" si="8"/>
        <v xml:space="preserve">Gouveia, L. </v>
      </c>
      <c r="K722" s="11" t="str">
        <f ca="1">IFERROR(__xludf.DUMMYFUNCTION("SPLIT(J722,"";"")"),"Gouveia, L. ")</f>
        <v xml:space="preserve">Gouveia, L. </v>
      </c>
      <c r="L722" s="10"/>
      <c r="M722" s="10"/>
      <c r="N722" s="10"/>
      <c r="O722" s="10"/>
      <c r="P722" s="10"/>
      <c r="Q722" s="10"/>
      <c r="R722" s="10"/>
      <c r="S722" s="10"/>
      <c r="T722" s="10"/>
      <c r="U722" s="10"/>
      <c r="V722" s="10"/>
      <c r="W722" s="10"/>
      <c r="X722" s="10"/>
      <c r="Y722" s="10"/>
      <c r="Z722" s="10"/>
    </row>
    <row r="723" spans="1:26" ht="17.25" customHeight="1" x14ac:dyDescent="0.3">
      <c r="A723" s="10" t="s">
        <v>850</v>
      </c>
      <c r="B723" s="10">
        <f t="shared" si="0"/>
        <v>13</v>
      </c>
      <c r="C723" s="8" t="str">
        <f t="shared" si="1"/>
        <v xml:space="preserve">Gouveia, L. </v>
      </c>
      <c r="D723" s="8" t="str">
        <f t="shared" si="2"/>
        <v>2017</v>
      </c>
      <c r="E723" s="10">
        <f t="shared" si="3"/>
        <v>18</v>
      </c>
      <c r="F723" s="10">
        <f t="shared" si="4"/>
        <v>54</v>
      </c>
      <c r="G723" s="8" t="str">
        <f t="shared" si="5"/>
        <v xml:space="preserve"> Gestão da Segurança da Informação. </v>
      </c>
      <c r="H723" s="10" t="str">
        <f t="shared" si="6"/>
        <v xml:space="preserve">Gouveia, L. </v>
      </c>
      <c r="I723" s="10" t="str">
        <f t="shared" si="7"/>
        <v xml:space="preserve">Gouveia, L. </v>
      </c>
      <c r="J723" s="10" t="str">
        <f t="shared" si="8"/>
        <v xml:space="preserve">Gouveia, L. </v>
      </c>
      <c r="K723" s="11" t="str">
        <f ca="1">IFERROR(__xludf.DUMMYFUNCTION("SPLIT(J723,"";"")"),"Gouveia, L. ")</f>
        <v xml:space="preserve">Gouveia, L. </v>
      </c>
      <c r="L723" s="10"/>
      <c r="M723" s="10"/>
      <c r="N723" s="10"/>
      <c r="O723" s="10"/>
      <c r="P723" s="10"/>
      <c r="Q723" s="10"/>
      <c r="R723" s="10"/>
      <c r="S723" s="10"/>
      <c r="T723" s="10"/>
      <c r="U723" s="10"/>
      <c r="V723" s="10"/>
      <c r="W723" s="10"/>
      <c r="X723" s="10"/>
      <c r="Y723" s="10"/>
      <c r="Z723" s="10"/>
    </row>
    <row r="724" spans="1:26" ht="17.25" customHeight="1" x14ac:dyDescent="0.3">
      <c r="A724" s="10" t="s">
        <v>851</v>
      </c>
      <c r="B724" s="10">
        <f t="shared" si="0"/>
        <v>13</v>
      </c>
      <c r="C724" s="8" t="str">
        <f t="shared" si="1"/>
        <v xml:space="preserve">Gouveia, L. </v>
      </c>
      <c r="D724" s="8" t="str">
        <f t="shared" si="2"/>
        <v>2017</v>
      </c>
      <c r="E724" s="10">
        <f t="shared" si="3"/>
        <v>18</v>
      </c>
      <c r="F724" s="10">
        <f t="shared" si="4"/>
        <v>79</v>
      </c>
      <c r="G724" s="8" t="str">
        <f t="shared" si="5"/>
        <v xml:space="preserve"> Uma breve introdução ao R: Exploração prática e exercícios. </v>
      </c>
      <c r="H724" s="10" t="str">
        <f t="shared" si="6"/>
        <v xml:space="preserve">Gouveia, L. </v>
      </c>
      <c r="I724" s="10" t="str">
        <f t="shared" si="7"/>
        <v xml:space="preserve">Gouveia, L. </v>
      </c>
      <c r="J724" s="10" t="str">
        <f t="shared" si="8"/>
        <v xml:space="preserve">Gouveia, L. </v>
      </c>
      <c r="K724" s="11" t="str">
        <f ca="1">IFERROR(__xludf.DUMMYFUNCTION("SPLIT(J724,"";"")"),"Gouveia, L. ")</f>
        <v xml:space="preserve">Gouveia, L. </v>
      </c>
      <c r="L724" s="10"/>
      <c r="M724" s="10"/>
      <c r="N724" s="10"/>
      <c r="O724" s="10"/>
      <c r="P724" s="10"/>
      <c r="Q724" s="10"/>
      <c r="R724" s="10"/>
      <c r="S724" s="10"/>
      <c r="T724" s="10"/>
      <c r="U724" s="10"/>
      <c r="V724" s="10"/>
      <c r="W724" s="10"/>
      <c r="X724" s="10"/>
      <c r="Y724" s="10"/>
      <c r="Z724" s="10"/>
    </row>
    <row r="725" spans="1:26" ht="17.25" customHeight="1" x14ac:dyDescent="0.3">
      <c r="A725" s="10" t="s">
        <v>852</v>
      </c>
      <c r="B725" s="10">
        <f t="shared" si="0"/>
        <v>13</v>
      </c>
      <c r="C725" s="8" t="str">
        <f t="shared" si="1"/>
        <v xml:space="preserve">Gouveia, L. </v>
      </c>
      <c r="D725" s="8" t="str">
        <f t="shared" si="2"/>
        <v>2015</v>
      </c>
      <c r="E725" s="10">
        <f t="shared" si="3"/>
        <v>18</v>
      </c>
      <c r="F725" s="10">
        <f t="shared" si="4"/>
        <v>47</v>
      </c>
      <c r="G725" s="8" t="str">
        <f t="shared" si="5"/>
        <v xml:space="preserve"> Human Computer Interaction. </v>
      </c>
      <c r="H725" s="10" t="str">
        <f t="shared" si="6"/>
        <v xml:space="preserve">Gouveia, L. </v>
      </c>
      <c r="I725" s="10" t="str">
        <f t="shared" si="7"/>
        <v xml:space="preserve">Gouveia, L. </v>
      </c>
      <c r="J725" s="10" t="str">
        <f t="shared" si="8"/>
        <v xml:space="preserve">Gouveia, L. </v>
      </c>
      <c r="K725" s="11" t="str">
        <f ca="1">IFERROR(__xludf.DUMMYFUNCTION("SPLIT(J725,"";"")"),"Gouveia, L. ")</f>
        <v xml:space="preserve">Gouveia, L. </v>
      </c>
      <c r="L725" s="10"/>
      <c r="M725" s="10"/>
      <c r="N725" s="10"/>
      <c r="O725" s="10"/>
      <c r="P725" s="10"/>
      <c r="Q725" s="10"/>
      <c r="R725" s="10"/>
      <c r="S725" s="10"/>
      <c r="T725" s="10"/>
      <c r="U725" s="10"/>
      <c r="V725" s="10"/>
      <c r="W725" s="10"/>
      <c r="X725" s="10"/>
      <c r="Y725" s="10"/>
      <c r="Z725" s="10"/>
    </row>
    <row r="726" spans="1:26" ht="17.25" customHeight="1" x14ac:dyDescent="0.3">
      <c r="A726" s="10" t="s">
        <v>853</v>
      </c>
      <c r="B726" s="10">
        <f t="shared" si="0"/>
        <v>13</v>
      </c>
      <c r="C726" s="8" t="str">
        <f t="shared" si="1"/>
        <v xml:space="preserve">Gouveia, L. </v>
      </c>
      <c r="D726" s="8" t="str">
        <f t="shared" si="2"/>
        <v>2015</v>
      </c>
      <c r="E726" s="10">
        <f t="shared" si="3"/>
        <v>18</v>
      </c>
      <c r="F726" s="10">
        <f t="shared" si="4"/>
        <v>57</v>
      </c>
      <c r="G726" s="8" t="str">
        <f t="shared" si="5"/>
        <v xml:space="preserve"> Arquivo Empresarial e Administrativo. </v>
      </c>
      <c r="H726" s="10" t="str">
        <f t="shared" si="6"/>
        <v xml:space="preserve">Gouveia, L. </v>
      </c>
      <c r="I726" s="10" t="str">
        <f t="shared" si="7"/>
        <v xml:space="preserve">Gouveia, L. </v>
      </c>
      <c r="J726" s="10" t="str">
        <f t="shared" si="8"/>
        <v xml:space="preserve">Gouveia, L. </v>
      </c>
      <c r="K726" s="11" t="str">
        <f ca="1">IFERROR(__xludf.DUMMYFUNCTION("SPLIT(J726,"";"")"),"Gouveia, L. ")</f>
        <v xml:space="preserve">Gouveia, L. </v>
      </c>
      <c r="L726" s="10"/>
      <c r="M726" s="10"/>
      <c r="N726" s="10"/>
      <c r="O726" s="10"/>
      <c r="P726" s="10"/>
      <c r="Q726" s="10"/>
      <c r="R726" s="10"/>
      <c r="S726" s="10"/>
      <c r="T726" s="10"/>
      <c r="U726" s="10"/>
      <c r="V726" s="10"/>
      <c r="W726" s="10"/>
      <c r="X726" s="10"/>
      <c r="Y726" s="10"/>
      <c r="Z726" s="10"/>
    </row>
    <row r="727" spans="1:26" ht="17.25" customHeight="1" x14ac:dyDescent="0.3">
      <c r="A727" s="10" t="s">
        <v>854</v>
      </c>
      <c r="B727" s="10">
        <f t="shared" si="0"/>
        <v>13</v>
      </c>
      <c r="C727" s="8" t="str">
        <f t="shared" si="1"/>
        <v xml:space="preserve">Gouveia, L. </v>
      </c>
      <c r="D727" s="8" t="str">
        <f t="shared" si="2"/>
        <v>2015</v>
      </c>
      <c r="E727" s="10">
        <f t="shared" si="3"/>
        <v>18</v>
      </c>
      <c r="F727" s="10">
        <f t="shared" si="4"/>
        <v>54</v>
      </c>
      <c r="G727" s="8" t="str">
        <f t="shared" si="5"/>
        <v xml:space="preserve"> Knowledge Management in 20 slides. </v>
      </c>
      <c r="H727" s="10" t="str">
        <f t="shared" si="6"/>
        <v xml:space="preserve">Gouveia, L. </v>
      </c>
      <c r="I727" s="10" t="str">
        <f t="shared" si="7"/>
        <v xml:space="preserve">Gouveia, L. </v>
      </c>
      <c r="J727" s="10" t="str">
        <f t="shared" si="8"/>
        <v xml:space="preserve">Gouveia, L. </v>
      </c>
      <c r="K727" s="11" t="str">
        <f ca="1">IFERROR(__xludf.DUMMYFUNCTION("SPLIT(J727,"";"")"),"Gouveia, L. ")</f>
        <v xml:space="preserve">Gouveia, L. </v>
      </c>
      <c r="L727" s="10"/>
      <c r="M727" s="10"/>
      <c r="N727" s="10"/>
      <c r="O727" s="10"/>
      <c r="P727" s="10"/>
      <c r="Q727" s="10"/>
      <c r="R727" s="10"/>
      <c r="S727" s="10"/>
      <c r="T727" s="10"/>
      <c r="U727" s="10"/>
      <c r="V727" s="10"/>
      <c r="W727" s="10"/>
      <c r="X727" s="10"/>
      <c r="Y727" s="10"/>
      <c r="Z727" s="10"/>
    </row>
    <row r="728" spans="1:26" ht="17.25" customHeight="1" x14ac:dyDescent="0.3">
      <c r="A728" s="10" t="s">
        <v>855</v>
      </c>
      <c r="B728" s="10">
        <f t="shared" si="0"/>
        <v>13</v>
      </c>
      <c r="C728" s="8" t="str">
        <f t="shared" si="1"/>
        <v xml:space="preserve">Gouveia, L. </v>
      </c>
      <c r="D728" s="8" t="str">
        <f t="shared" si="2"/>
        <v>2015</v>
      </c>
      <c r="E728" s="10">
        <f t="shared" si="3"/>
        <v>18</v>
      </c>
      <c r="F728" s="10">
        <f t="shared" si="4"/>
        <v>64</v>
      </c>
      <c r="G728" s="8" t="str">
        <f t="shared" si="5"/>
        <v xml:space="preserve"> Segurança da Informação e proteção de dados. </v>
      </c>
      <c r="H728" s="10" t="str">
        <f t="shared" si="6"/>
        <v xml:space="preserve">Gouveia, L. </v>
      </c>
      <c r="I728" s="10" t="str">
        <f t="shared" si="7"/>
        <v xml:space="preserve">Gouveia, L. </v>
      </c>
      <c r="J728" s="10" t="str">
        <f t="shared" si="8"/>
        <v xml:space="preserve">Gouveia, L. </v>
      </c>
      <c r="K728" s="11" t="str">
        <f ca="1">IFERROR(__xludf.DUMMYFUNCTION("SPLIT(J728,"";"")"),"Gouveia, L. ")</f>
        <v xml:space="preserve">Gouveia, L. </v>
      </c>
      <c r="L728" s="10"/>
      <c r="M728" s="10"/>
      <c r="N728" s="10"/>
      <c r="O728" s="10"/>
      <c r="P728" s="10"/>
      <c r="Q728" s="10"/>
      <c r="R728" s="10"/>
      <c r="S728" s="10"/>
      <c r="T728" s="10"/>
      <c r="U728" s="10"/>
      <c r="V728" s="10"/>
      <c r="W728" s="10"/>
      <c r="X728" s="10"/>
      <c r="Y728" s="10"/>
      <c r="Z728" s="10"/>
    </row>
    <row r="729" spans="1:26" ht="17.25" customHeight="1" x14ac:dyDescent="0.3">
      <c r="A729" s="10" t="s">
        <v>856</v>
      </c>
      <c r="B729" s="10">
        <f t="shared" si="0"/>
        <v>13</v>
      </c>
      <c r="C729" s="8" t="str">
        <f t="shared" si="1"/>
        <v xml:space="preserve">Gouveia, L. </v>
      </c>
      <c r="D729" s="8" t="str">
        <f t="shared" si="2"/>
        <v>2015</v>
      </c>
      <c r="E729" s="10">
        <f t="shared" si="3"/>
        <v>18</v>
      </c>
      <c r="F729" s="10">
        <f t="shared" si="4"/>
        <v>61</v>
      </c>
      <c r="G729" s="8" t="str">
        <f t="shared" si="5"/>
        <v xml:space="preserve"> Análise de Sistemas: conceitos, módulo 1. </v>
      </c>
      <c r="H729" s="10" t="str">
        <f t="shared" si="6"/>
        <v xml:space="preserve">Gouveia, L. </v>
      </c>
      <c r="I729" s="10" t="str">
        <f t="shared" si="7"/>
        <v xml:space="preserve">Gouveia, L. </v>
      </c>
      <c r="J729" s="10" t="str">
        <f t="shared" si="8"/>
        <v xml:space="preserve">Gouveia, L. </v>
      </c>
      <c r="K729" s="11" t="str">
        <f ca="1">IFERROR(__xludf.DUMMYFUNCTION("SPLIT(J729,"";"")"),"Gouveia, L. ")</f>
        <v xml:space="preserve">Gouveia, L. </v>
      </c>
      <c r="L729" s="10"/>
      <c r="M729" s="10"/>
      <c r="N729" s="10"/>
      <c r="O729" s="10"/>
      <c r="P729" s="10"/>
      <c r="Q729" s="10"/>
      <c r="R729" s="10"/>
      <c r="S729" s="10"/>
      <c r="T729" s="10"/>
      <c r="U729" s="10"/>
      <c r="V729" s="10"/>
      <c r="W729" s="10"/>
      <c r="X729" s="10"/>
      <c r="Y729" s="10"/>
      <c r="Z729" s="10"/>
    </row>
    <row r="730" spans="1:26" ht="17.25" customHeight="1" x14ac:dyDescent="0.3">
      <c r="A730" s="10" t="s">
        <v>857</v>
      </c>
      <c r="B730" s="10">
        <f t="shared" si="0"/>
        <v>13</v>
      </c>
      <c r="C730" s="8" t="str">
        <f t="shared" si="1"/>
        <v xml:space="preserve">Gouveia, L. </v>
      </c>
      <c r="D730" s="8" t="str">
        <f t="shared" si="2"/>
        <v>2015</v>
      </c>
      <c r="E730" s="10">
        <f t="shared" si="3"/>
        <v>18</v>
      </c>
      <c r="F730" s="10">
        <f t="shared" si="4"/>
        <v>75</v>
      </c>
      <c r="G730" s="8" t="str">
        <f t="shared" si="5"/>
        <v xml:space="preserve"> Análise de Sistemas: a abordagem estruturada, módulo 2. </v>
      </c>
      <c r="H730" s="10" t="str">
        <f t="shared" si="6"/>
        <v xml:space="preserve">Gouveia, L. </v>
      </c>
      <c r="I730" s="10" t="str">
        <f t="shared" si="7"/>
        <v xml:space="preserve">Gouveia, L. </v>
      </c>
      <c r="J730" s="10" t="str">
        <f t="shared" si="8"/>
        <v xml:space="preserve">Gouveia, L. </v>
      </c>
      <c r="K730" s="11" t="str">
        <f ca="1">IFERROR(__xludf.DUMMYFUNCTION("SPLIT(J730,"";"")"),"Gouveia, L. ")</f>
        <v xml:space="preserve">Gouveia, L. </v>
      </c>
      <c r="L730" s="10"/>
      <c r="M730" s="10"/>
      <c r="N730" s="10"/>
      <c r="O730" s="10"/>
      <c r="P730" s="10"/>
      <c r="Q730" s="10"/>
      <c r="R730" s="10"/>
      <c r="S730" s="10"/>
      <c r="T730" s="10"/>
      <c r="U730" s="10"/>
      <c r="V730" s="10"/>
      <c r="W730" s="10"/>
      <c r="X730" s="10"/>
      <c r="Y730" s="10"/>
      <c r="Z730" s="10"/>
    </row>
    <row r="731" spans="1:26" ht="17.25" customHeight="1" x14ac:dyDescent="0.3">
      <c r="A731" s="10" t="s">
        <v>858</v>
      </c>
      <c r="B731" s="10">
        <f t="shared" si="0"/>
        <v>13</v>
      </c>
      <c r="C731" s="8" t="str">
        <f t="shared" si="1"/>
        <v xml:space="preserve">Gouveia, L. </v>
      </c>
      <c r="D731" s="8" t="str">
        <f t="shared" si="2"/>
        <v>2015</v>
      </c>
      <c r="E731" s="10">
        <f t="shared" si="3"/>
        <v>18</v>
      </c>
      <c r="F731" s="10">
        <f t="shared" si="4"/>
        <v>85</v>
      </c>
      <c r="G731" s="8" t="str">
        <f t="shared" si="5"/>
        <v xml:space="preserve"> Análise de Sistemas: a abordagem orientada aos objetos, módulo 3. </v>
      </c>
      <c r="H731" s="10" t="str">
        <f t="shared" si="6"/>
        <v xml:space="preserve">Gouveia, L. </v>
      </c>
      <c r="I731" s="10" t="str">
        <f t="shared" si="7"/>
        <v xml:space="preserve">Gouveia, L. </v>
      </c>
      <c r="J731" s="10" t="str">
        <f t="shared" si="8"/>
        <v xml:space="preserve">Gouveia, L. </v>
      </c>
      <c r="K731" s="11" t="str">
        <f ca="1">IFERROR(__xludf.DUMMYFUNCTION("SPLIT(J731,"";"")"),"Gouveia, L. ")</f>
        <v xml:space="preserve">Gouveia, L. </v>
      </c>
      <c r="L731" s="10"/>
      <c r="M731" s="10"/>
      <c r="N731" s="10"/>
      <c r="O731" s="10"/>
      <c r="P731" s="10"/>
      <c r="Q731" s="10"/>
      <c r="R731" s="10"/>
      <c r="S731" s="10"/>
      <c r="T731" s="10"/>
      <c r="U731" s="10"/>
      <c r="V731" s="10"/>
      <c r="W731" s="10"/>
      <c r="X731" s="10"/>
      <c r="Y731" s="10"/>
      <c r="Z731" s="10"/>
    </row>
    <row r="732" spans="1:26" ht="17.25" customHeight="1" x14ac:dyDescent="0.3">
      <c r="A732" s="10" t="s">
        <v>859</v>
      </c>
      <c r="B732" s="10">
        <f t="shared" si="0"/>
        <v>13</v>
      </c>
      <c r="C732" s="8" t="str">
        <f t="shared" si="1"/>
        <v xml:space="preserve">Gouveia, L. </v>
      </c>
      <c r="D732" s="8" t="str">
        <f t="shared" si="2"/>
        <v>2015</v>
      </c>
      <c r="E732" s="10">
        <f t="shared" si="3"/>
        <v>18</v>
      </c>
      <c r="F732" s="10">
        <f t="shared" si="4"/>
        <v>67</v>
      </c>
      <c r="G732" s="8" t="str">
        <f t="shared" si="5"/>
        <v xml:space="preserve"> Análise de Sistemas: a abordagem SSM, módulo 4. </v>
      </c>
      <c r="H732" s="10" t="str">
        <f t="shared" si="6"/>
        <v xml:space="preserve">Gouveia, L. </v>
      </c>
      <c r="I732" s="10" t="str">
        <f t="shared" si="7"/>
        <v xml:space="preserve">Gouveia, L. </v>
      </c>
      <c r="J732" s="10" t="str">
        <f t="shared" si="8"/>
        <v xml:space="preserve">Gouveia, L. </v>
      </c>
      <c r="K732" s="11" t="str">
        <f ca="1">IFERROR(__xludf.DUMMYFUNCTION("SPLIT(J732,"";"")"),"Gouveia, L. ")</f>
        <v xml:space="preserve">Gouveia, L. </v>
      </c>
      <c r="L732" s="10"/>
      <c r="M732" s="10"/>
      <c r="N732" s="10"/>
      <c r="O732" s="10"/>
      <c r="P732" s="10"/>
      <c r="Q732" s="10"/>
      <c r="R732" s="10"/>
      <c r="S732" s="10"/>
      <c r="T732" s="10"/>
      <c r="U732" s="10"/>
      <c r="V732" s="10"/>
      <c r="W732" s="10"/>
      <c r="X732" s="10"/>
      <c r="Y732" s="10"/>
      <c r="Z732" s="10"/>
    </row>
    <row r="733" spans="1:26" ht="17.25" customHeight="1" x14ac:dyDescent="0.3">
      <c r="A733" s="10" t="s">
        <v>860</v>
      </c>
      <c r="B733" s="10">
        <f t="shared" si="0"/>
        <v>13</v>
      </c>
      <c r="C733" s="8" t="str">
        <f t="shared" si="1"/>
        <v xml:space="preserve">Gouveia, L. </v>
      </c>
      <c r="D733" s="8" t="str">
        <f t="shared" si="2"/>
        <v>2015</v>
      </c>
      <c r="E733" s="10">
        <f t="shared" si="3"/>
        <v>18</v>
      </c>
      <c r="F733" s="10">
        <f t="shared" si="4"/>
        <v>62</v>
      </c>
      <c r="G733" s="8" t="str">
        <f t="shared" si="5"/>
        <v xml:space="preserve"> O que é a Ciência de Dados (data science). </v>
      </c>
      <c r="H733" s="10" t="str">
        <f t="shared" si="6"/>
        <v xml:space="preserve">Gouveia, L. </v>
      </c>
      <c r="I733" s="10" t="str">
        <f t="shared" si="7"/>
        <v xml:space="preserve">Gouveia, L. </v>
      </c>
      <c r="J733" s="10" t="str">
        <f t="shared" si="8"/>
        <v xml:space="preserve">Gouveia, L. </v>
      </c>
      <c r="K733" s="11" t="str">
        <f ca="1">IFERROR(__xludf.DUMMYFUNCTION("SPLIT(J733,"";"")"),"Gouveia, L. ")</f>
        <v xml:space="preserve">Gouveia, L. </v>
      </c>
      <c r="L733" s="10"/>
      <c r="M733" s="10"/>
      <c r="N733" s="10"/>
      <c r="O733" s="10"/>
      <c r="P733" s="10"/>
      <c r="Q733" s="10"/>
      <c r="R733" s="10"/>
      <c r="S733" s="10"/>
      <c r="T733" s="10"/>
      <c r="U733" s="10"/>
      <c r="V733" s="10"/>
      <c r="W733" s="10"/>
      <c r="X733" s="10"/>
      <c r="Y733" s="10"/>
      <c r="Z733" s="10"/>
    </row>
    <row r="734" spans="1:26" ht="17.25" customHeight="1" x14ac:dyDescent="0.3">
      <c r="A734" s="10" t="s">
        <v>861</v>
      </c>
      <c r="B734" s="10">
        <f t="shared" si="0"/>
        <v>13</v>
      </c>
      <c r="C734" s="8" t="str">
        <f t="shared" si="1"/>
        <v xml:space="preserve">Gouveia, L. </v>
      </c>
      <c r="D734" s="8" t="str">
        <f t="shared" si="2"/>
        <v>2014</v>
      </c>
      <c r="E734" s="10">
        <f t="shared" si="3"/>
        <v>18</v>
      </c>
      <c r="F734" s="10">
        <f t="shared" si="4"/>
        <v>46</v>
      </c>
      <c r="G734" s="8" t="str">
        <f t="shared" si="5"/>
        <v xml:space="preserve"> Segurança e redes sociais. </v>
      </c>
      <c r="H734" s="10" t="str">
        <f t="shared" si="6"/>
        <v xml:space="preserve">Gouveia, L. </v>
      </c>
      <c r="I734" s="10" t="str">
        <f t="shared" si="7"/>
        <v xml:space="preserve">Gouveia, L. </v>
      </c>
      <c r="J734" s="10" t="str">
        <f t="shared" si="8"/>
        <v xml:space="preserve">Gouveia, L. </v>
      </c>
      <c r="K734" s="11" t="str">
        <f ca="1">IFERROR(__xludf.DUMMYFUNCTION("SPLIT(J734,"";"")"),"Gouveia, L. ")</f>
        <v xml:space="preserve">Gouveia, L. </v>
      </c>
      <c r="L734" s="10"/>
      <c r="M734" s="10"/>
      <c r="N734" s="10"/>
      <c r="O734" s="10"/>
      <c r="P734" s="10"/>
      <c r="Q734" s="10"/>
      <c r="R734" s="10"/>
      <c r="S734" s="10"/>
      <c r="T734" s="10"/>
      <c r="U734" s="10"/>
      <c r="V734" s="10"/>
      <c r="W734" s="10"/>
      <c r="X734" s="10"/>
      <c r="Y734" s="10"/>
      <c r="Z734" s="10"/>
    </row>
    <row r="735" spans="1:26" ht="17.25" customHeight="1" x14ac:dyDescent="0.3">
      <c r="A735" s="10" t="s">
        <v>862</v>
      </c>
      <c r="B735" s="10">
        <f t="shared" si="0"/>
        <v>13</v>
      </c>
      <c r="C735" s="8" t="str">
        <f t="shared" si="1"/>
        <v xml:space="preserve">Gouveia, L. </v>
      </c>
      <c r="D735" s="8" t="str">
        <f t="shared" si="2"/>
        <v>2006</v>
      </c>
      <c r="E735" s="10">
        <f t="shared" si="3"/>
        <v>18</v>
      </c>
      <c r="F735" s="10">
        <f t="shared" si="4"/>
        <v>106</v>
      </c>
      <c r="G735" s="8" t="str">
        <f t="shared" si="5"/>
        <v xml:space="preserve"> Transparências sobre Negócio Electrónico: conceitos e perspectivas de desenvolvimento. </v>
      </c>
      <c r="H735" s="10" t="str">
        <f t="shared" si="6"/>
        <v xml:space="preserve">Gouveia, L. </v>
      </c>
      <c r="I735" s="10" t="str">
        <f t="shared" si="7"/>
        <v xml:space="preserve">Gouveia, L. </v>
      </c>
      <c r="J735" s="10" t="str">
        <f t="shared" si="8"/>
        <v xml:space="preserve">Gouveia, L. </v>
      </c>
      <c r="K735" s="11" t="str">
        <f ca="1">IFERROR(__xludf.DUMMYFUNCTION("SPLIT(J735,"";"")"),"Gouveia, L. ")</f>
        <v xml:space="preserve">Gouveia, L. </v>
      </c>
      <c r="L735" s="10"/>
      <c r="M735" s="10"/>
      <c r="N735" s="10"/>
      <c r="O735" s="10"/>
      <c r="P735" s="10"/>
      <c r="Q735" s="10"/>
      <c r="R735" s="10"/>
      <c r="S735" s="10"/>
      <c r="T735" s="10"/>
      <c r="U735" s="10"/>
      <c r="V735" s="10"/>
      <c r="W735" s="10"/>
      <c r="X735" s="10"/>
      <c r="Y735" s="10"/>
      <c r="Z735" s="10"/>
    </row>
    <row r="736" spans="1:26" ht="17.25" customHeight="1" x14ac:dyDescent="0.3">
      <c r="A736" s="10" t="s">
        <v>863</v>
      </c>
      <c r="B736" s="10">
        <f t="shared" si="0"/>
        <v>13</v>
      </c>
      <c r="C736" s="8" t="str">
        <f t="shared" si="1"/>
        <v xml:space="preserve">Gouveia, L. </v>
      </c>
      <c r="D736" s="8" t="str">
        <f t="shared" si="2"/>
        <v>2005</v>
      </c>
      <c r="E736" s="10">
        <f t="shared" si="3"/>
        <v>18</v>
      </c>
      <c r="F736" s="10">
        <f t="shared" si="4"/>
        <v>95</v>
      </c>
      <c r="G736" s="8" t="str">
        <f t="shared" si="5"/>
        <v xml:space="preserve"> Transparências sobre Local e-government: a governação digital na autarquia. </v>
      </c>
      <c r="H736" s="10" t="str">
        <f t="shared" si="6"/>
        <v xml:space="preserve">Gouveia, L. </v>
      </c>
      <c r="I736" s="10" t="str">
        <f t="shared" si="7"/>
        <v xml:space="preserve">Gouveia, L. </v>
      </c>
      <c r="J736" s="10" t="str">
        <f t="shared" si="8"/>
        <v xml:space="preserve">Gouveia, L. </v>
      </c>
      <c r="K736" s="11" t="str">
        <f ca="1">IFERROR(__xludf.DUMMYFUNCTION("SPLIT(J736,"";"")"),"Gouveia, L. ")</f>
        <v xml:space="preserve">Gouveia, L. </v>
      </c>
      <c r="L736" s="10"/>
      <c r="M736" s="10"/>
      <c r="N736" s="10"/>
      <c r="O736" s="10"/>
      <c r="P736" s="10"/>
      <c r="Q736" s="10"/>
      <c r="R736" s="10"/>
      <c r="S736" s="10"/>
      <c r="T736" s="10"/>
      <c r="U736" s="10"/>
      <c r="V736" s="10"/>
      <c r="W736" s="10"/>
      <c r="X736" s="10"/>
      <c r="Y736" s="10"/>
      <c r="Z736" s="10"/>
    </row>
    <row r="737" spans="1:26" ht="17.25" customHeight="1" x14ac:dyDescent="0.3">
      <c r="A737" s="10" t="s">
        <v>864</v>
      </c>
      <c r="B737" s="10">
        <f t="shared" si="0"/>
        <v>13</v>
      </c>
      <c r="C737" s="8" t="str">
        <f t="shared" si="1"/>
        <v xml:space="preserve">Gouveia, L. </v>
      </c>
      <c r="D737" s="8" t="str">
        <f t="shared" si="2"/>
        <v>2005</v>
      </c>
      <c r="E737" s="10">
        <f t="shared" si="3"/>
        <v>18</v>
      </c>
      <c r="F737" s="10">
        <f t="shared" si="4"/>
        <v>83</v>
      </c>
      <c r="G737" s="8" t="str">
        <f t="shared" si="5"/>
        <v xml:space="preserve"> Transparências sobre Sistemas de Informação de Apoio à Decisão. </v>
      </c>
      <c r="H737" s="10" t="str">
        <f t="shared" si="6"/>
        <v xml:space="preserve">Gouveia, L. </v>
      </c>
      <c r="I737" s="10" t="str">
        <f t="shared" si="7"/>
        <v xml:space="preserve">Gouveia, L. </v>
      </c>
      <c r="J737" s="10" t="str">
        <f t="shared" si="8"/>
        <v xml:space="preserve">Gouveia, L. </v>
      </c>
      <c r="K737" s="11" t="str">
        <f ca="1">IFERROR(__xludf.DUMMYFUNCTION("SPLIT(J737,"";"")"),"Gouveia, L. ")</f>
        <v xml:space="preserve">Gouveia, L. </v>
      </c>
      <c r="L737" s="10"/>
      <c r="M737" s="10"/>
      <c r="N737" s="10"/>
      <c r="O737" s="10"/>
      <c r="P737" s="10"/>
      <c r="Q737" s="10"/>
      <c r="R737" s="10"/>
      <c r="S737" s="10"/>
      <c r="T737" s="10"/>
      <c r="U737" s="10"/>
      <c r="V737" s="10"/>
      <c r="W737" s="10"/>
      <c r="X737" s="10"/>
      <c r="Y737" s="10"/>
      <c r="Z737" s="10"/>
    </row>
    <row r="738" spans="1:26" ht="17.25" customHeight="1" x14ac:dyDescent="0.3">
      <c r="A738" s="10" t="s">
        <v>865</v>
      </c>
      <c r="B738" s="10">
        <f t="shared" si="0"/>
        <v>13</v>
      </c>
      <c r="C738" s="8" t="str">
        <f t="shared" si="1"/>
        <v xml:space="preserve">Gouveia, L. </v>
      </c>
      <c r="D738" s="8" t="str">
        <f t="shared" si="2"/>
        <v>2005</v>
      </c>
      <c r="E738" s="10">
        <f t="shared" si="3"/>
        <v>18</v>
      </c>
      <c r="F738" s="10">
        <f t="shared" si="4"/>
        <v>76</v>
      </c>
      <c r="G738" s="8" t="str">
        <f t="shared" si="5"/>
        <v xml:space="preserve"> Sistemas de Informação para e-marketing e e-publicidade. </v>
      </c>
      <c r="H738" s="10" t="str">
        <f t="shared" si="6"/>
        <v xml:space="preserve">Gouveia, L. </v>
      </c>
      <c r="I738" s="10" t="str">
        <f t="shared" si="7"/>
        <v xml:space="preserve">Gouveia, L. </v>
      </c>
      <c r="J738" s="10" t="str">
        <f t="shared" si="8"/>
        <v xml:space="preserve">Gouveia, L. </v>
      </c>
      <c r="K738" s="11" t="str">
        <f ca="1">IFERROR(__xludf.DUMMYFUNCTION("SPLIT(J738,"";"")"),"Gouveia, L. ")</f>
        <v xml:space="preserve">Gouveia, L. </v>
      </c>
      <c r="L738" s="10"/>
      <c r="M738" s="10"/>
      <c r="N738" s="10"/>
      <c r="O738" s="10"/>
      <c r="P738" s="10"/>
      <c r="Q738" s="10"/>
      <c r="R738" s="10"/>
      <c r="S738" s="10"/>
      <c r="T738" s="10"/>
      <c r="U738" s="10"/>
      <c r="V738" s="10"/>
      <c r="W738" s="10"/>
      <c r="X738" s="10"/>
      <c r="Y738" s="10"/>
      <c r="Z738" s="10"/>
    </row>
    <row r="739" spans="1:26" ht="17.25" customHeight="1" x14ac:dyDescent="0.3">
      <c r="A739" s="10" t="s">
        <v>866</v>
      </c>
      <c r="B739" s="10">
        <f t="shared" si="0"/>
        <v>13</v>
      </c>
      <c r="C739" s="8" t="str">
        <f t="shared" si="1"/>
        <v xml:space="preserve">Gouveia, L. </v>
      </c>
      <c r="D739" s="8" t="str">
        <f t="shared" si="2"/>
        <v>2004</v>
      </c>
      <c r="E739" s="10">
        <f t="shared" si="3"/>
        <v>18</v>
      </c>
      <c r="F739" s="10">
        <f t="shared" si="4"/>
        <v>92</v>
      </c>
      <c r="G739" s="8" t="str">
        <f t="shared" si="5"/>
        <v xml:space="preserve"> Sistemas de Informação para a Sociedade da Informação e do Conhecimento. </v>
      </c>
      <c r="H739" s="10" t="str">
        <f t="shared" si="6"/>
        <v xml:space="preserve">Gouveia, L. </v>
      </c>
      <c r="I739" s="10" t="str">
        <f t="shared" si="7"/>
        <v xml:space="preserve">Gouveia, L. </v>
      </c>
      <c r="J739" s="10" t="str">
        <f t="shared" si="8"/>
        <v xml:space="preserve">Gouveia, L. </v>
      </c>
      <c r="K739" s="11" t="str">
        <f ca="1">IFERROR(__xludf.DUMMYFUNCTION("SPLIT(J739,"";"")"),"Gouveia, L. ")</f>
        <v xml:space="preserve">Gouveia, L. </v>
      </c>
      <c r="L739" s="10"/>
      <c r="M739" s="10"/>
      <c r="N739" s="10"/>
      <c r="O739" s="10"/>
      <c r="P739" s="10"/>
      <c r="Q739" s="10"/>
      <c r="R739" s="10"/>
      <c r="S739" s="10"/>
      <c r="T739" s="10"/>
      <c r="U739" s="10"/>
      <c r="V739" s="10"/>
      <c r="W739" s="10"/>
      <c r="X739" s="10"/>
      <c r="Y739" s="10"/>
      <c r="Z739" s="10"/>
    </row>
    <row r="740" spans="1:26" ht="17.25" customHeight="1" x14ac:dyDescent="0.3">
      <c r="A740" s="10" t="s">
        <v>867</v>
      </c>
      <c r="B740" s="10">
        <f t="shared" si="0"/>
        <v>13</v>
      </c>
      <c r="C740" s="8" t="str">
        <f t="shared" si="1"/>
        <v xml:space="preserve">Gouveia, L. </v>
      </c>
      <c r="D740" s="8" t="str">
        <f t="shared" si="2"/>
        <v>2003</v>
      </c>
      <c r="E740" s="10">
        <f t="shared" si="3"/>
        <v>18</v>
      </c>
      <c r="F740" s="10">
        <f t="shared" si="4"/>
        <v>48</v>
      </c>
      <c r="G740" s="8" t="str">
        <f t="shared" si="5"/>
        <v xml:space="preserve"> A Mobilidade no Gaia Global. </v>
      </c>
      <c r="H740" s="10" t="str">
        <f t="shared" si="6"/>
        <v xml:space="preserve">Gouveia, L. </v>
      </c>
      <c r="I740" s="10" t="str">
        <f t="shared" si="7"/>
        <v xml:space="preserve">Gouveia, L. </v>
      </c>
      <c r="J740" s="10" t="str">
        <f t="shared" si="8"/>
        <v xml:space="preserve">Gouveia, L. </v>
      </c>
      <c r="K740" s="11" t="str">
        <f ca="1">IFERROR(__xludf.DUMMYFUNCTION("SPLIT(J740,"";"")"),"Gouveia, L. ")</f>
        <v xml:space="preserve">Gouveia, L. </v>
      </c>
      <c r="L740" s="10"/>
      <c r="M740" s="10"/>
      <c r="N740" s="10"/>
      <c r="O740" s="10"/>
      <c r="P740" s="10"/>
      <c r="Q740" s="10"/>
      <c r="R740" s="10"/>
      <c r="S740" s="10"/>
      <c r="T740" s="10"/>
      <c r="U740" s="10"/>
      <c r="V740" s="10"/>
      <c r="W740" s="10"/>
      <c r="X740" s="10"/>
      <c r="Y740" s="10"/>
      <c r="Z740" s="10"/>
    </row>
    <row r="741" spans="1:26" ht="17.25" customHeight="1" x14ac:dyDescent="0.3">
      <c r="A741" s="10" t="s">
        <v>868</v>
      </c>
      <c r="B741" s="10">
        <f t="shared" si="0"/>
        <v>13</v>
      </c>
      <c r="C741" s="8" t="str">
        <f t="shared" si="1"/>
        <v xml:space="preserve">Gouveia, L. </v>
      </c>
      <c r="D741" s="8" t="str">
        <f t="shared" si="2"/>
        <v>2003</v>
      </c>
      <c r="E741" s="10">
        <f t="shared" si="3"/>
        <v>18</v>
      </c>
      <c r="F741" s="10">
        <f t="shared" si="4"/>
        <v>74</v>
      </c>
      <c r="G741" s="8" t="str">
        <f t="shared" si="5"/>
        <v xml:space="preserve"> Apontamentos de Tecnologias de Informação e Sociedade. </v>
      </c>
      <c r="H741" s="10" t="str">
        <f t="shared" si="6"/>
        <v xml:space="preserve">Gouveia, L. </v>
      </c>
      <c r="I741" s="10" t="str">
        <f t="shared" si="7"/>
        <v xml:space="preserve">Gouveia, L. </v>
      </c>
      <c r="J741" s="10" t="str">
        <f t="shared" si="8"/>
        <v xml:space="preserve">Gouveia, L. </v>
      </c>
      <c r="K741" s="11" t="str">
        <f ca="1">IFERROR(__xludf.DUMMYFUNCTION("SPLIT(J741,"";"")"),"Gouveia, L. ")</f>
        <v xml:space="preserve">Gouveia, L. </v>
      </c>
      <c r="L741" s="10"/>
      <c r="M741" s="10"/>
      <c r="N741" s="10"/>
      <c r="O741" s="10"/>
      <c r="P741" s="10"/>
      <c r="Q741" s="10"/>
      <c r="R741" s="10"/>
      <c r="S741" s="10"/>
      <c r="T741" s="10"/>
      <c r="U741" s="10"/>
      <c r="V741" s="10"/>
      <c r="W741" s="10"/>
      <c r="X741" s="10"/>
      <c r="Y741" s="10"/>
      <c r="Z741" s="10"/>
    </row>
    <row r="742" spans="1:26" ht="17.25" customHeight="1" x14ac:dyDescent="0.3">
      <c r="A742" s="10" t="s">
        <v>869</v>
      </c>
      <c r="B742" s="10">
        <f t="shared" si="0"/>
        <v>40</v>
      </c>
      <c r="C742" s="8" t="str">
        <f t="shared" si="1"/>
        <v xml:space="preserve">Gouveia, J. e Gouveia, L. e Xavier, J. </v>
      </c>
      <c r="D742" s="8" t="str">
        <f t="shared" si="2"/>
        <v>2003</v>
      </c>
      <c r="E742" s="10">
        <f t="shared" si="3"/>
        <v>45</v>
      </c>
      <c r="F742" s="10">
        <f t="shared" si="4"/>
        <v>90</v>
      </c>
      <c r="G742" s="8" t="str">
        <f t="shared" si="5"/>
        <v xml:space="preserve"> Gaia Global: o concelho de Gaia no digital. </v>
      </c>
      <c r="H742" s="10" t="str">
        <f t="shared" si="6"/>
        <v xml:space="preserve">Gouveia, J. e Gouveia, L. e Xavier, J. </v>
      </c>
      <c r="I742" s="10" t="str">
        <f t="shared" si="7"/>
        <v xml:space="preserve">Gouveia, J. e Gouveia, L. e Xavier, J. </v>
      </c>
      <c r="J742" s="10" t="str">
        <f t="shared" si="8"/>
        <v xml:space="preserve">Gouveia, J.;Gouveia, L.;Xavier, J. </v>
      </c>
      <c r="K742" s="11" t="str">
        <f ca="1">IFERROR(__xludf.DUMMYFUNCTION("SPLIT(J742,"";"")"),"Gouveia, J.")</f>
        <v>Gouveia, J.</v>
      </c>
      <c r="L742" s="10" t="str">
        <f ca="1">IFERROR(__xludf.DUMMYFUNCTION("""COMPUTED_VALUE"""),"Gouveia, L.")</f>
        <v>Gouveia, L.</v>
      </c>
      <c r="M742" s="10" t="str">
        <f ca="1">IFERROR(__xludf.DUMMYFUNCTION("""COMPUTED_VALUE"""),"Xavier, J. ")</f>
        <v xml:space="preserve">Xavier, J. </v>
      </c>
      <c r="N742" s="10"/>
      <c r="O742" s="10"/>
      <c r="P742" s="10"/>
      <c r="Q742" s="10"/>
      <c r="R742" s="10"/>
      <c r="S742" s="10"/>
      <c r="T742" s="10"/>
      <c r="U742" s="10"/>
      <c r="V742" s="10"/>
      <c r="W742" s="10"/>
      <c r="X742" s="10"/>
      <c r="Y742" s="10"/>
      <c r="Z742" s="10"/>
    </row>
    <row r="743" spans="1:26" ht="17.25" customHeight="1" x14ac:dyDescent="0.3">
      <c r="A743" s="10" t="s">
        <v>870</v>
      </c>
      <c r="B743" s="10">
        <f t="shared" si="0"/>
        <v>13</v>
      </c>
      <c r="C743" s="8" t="str">
        <f t="shared" si="1"/>
        <v xml:space="preserve">Gouveia, L. </v>
      </c>
      <c r="D743" s="8" t="str">
        <f t="shared" si="2"/>
        <v>2003</v>
      </c>
      <c r="E743" s="10">
        <f t="shared" si="3"/>
        <v>18</v>
      </c>
      <c r="F743" s="10">
        <f t="shared" si="4"/>
        <v>68</v>
      </c>
      <c r="G743" s="8" t="str">
        <f t="shared" si="5"/>
        <v xml:space="preserve"> Notas complementares sobre Informática Aplicada. </v>
      </c>
      <c r="H743" s="10" t="str">
        <f t="shared" si="6"/>
        <v xml:space="preserve">Gouveia, L. </v>
      </c>
      <c r="I743" s="10" t="str">
        <f t="shared" si="7"/>
        <v xml:space="preserve">Gouveia, L. </v>
      </c>
      <c r="J743" s="10" t="str">
        <f t="shared" si="8"/>
        <v xml:space="preserve">Gouveia, L. </v>
      </c>
      <c r="K743" s="11" t="str">
        <f ca="1">IFERROR(__xludf.DUMMYFUNCTION("SPLIT(J743,"";"")"),"Gouveia, L. ")</f>
        <v xml:space="preserve">Gouveia, L. </v>
      </c>
      <c r="L743" s="10"/>
      <c r="M743" s="10"/>
      <c r="N743" s="10"/>
      <c r="O743" s="10"/>
      <c r="P743" s="10"/>
      <c r="Q743" s="10"/>
      <c r="R743" s="10"/>
      <c r="S743" s="10"/>
      <c r="T743" s="10"/>
      <c r="U743" s="10"/>
      <c r="V743" s="10"/>
      <c r="W743" s="10"/>
      <c r="X743" s="10"/>
      <c r="Y743" s="10"/>
      <c r="Z743" s="10"/>
    </row>
    <row r="744" spans="1:26" ht="17.25" customHeight="1" x14ac:dyDescent="0.3">
      <c r="A744" s="10" t="s">
        <v>871</v>
      </c>
      <c r="B744" s="10">
        <f t="shared" si="0"/>
        <v>13</v>
      </c>
      <c r="C744" s="8" t="str">
        <f t="shared" si="1"/>
        <v xml:space="preserve">Gouveia, L. </v>
      </c>
      <c r="D744" s="8" t="str">
        <f t="shared" si="2"/>
        <v>2003</v>
      </c>
      <c r="E744" s="10">
        <f t="shared" si="3"/>
        <v>18</v>
      </c>
      <c r="F744" s="10">
        <f t="shared" si="4"/>
        <v>68</v>
      </c>
      <c r="G744" s="8" t="str">
        <f t="shared" si="5"/>
        <v xml:space="preserve"> Complementos de Novas Tecnologias e Comunicação. </v>
      </c>
      <c r="H744" s="10" t="str">
        <f t="shared" si="6"/>
        <v xml:space="preserve">Gouveia, L. </v>
      </c>
      <c r="I744" s="10" t="str">
        <f t="shared" si="7"/>
        <v xml:space="preserve">Gouveia, L. </v>
      </c>
      <c r="J744" s="10" t="str">
        <f t="shared" si="8"/>
        <v xml:space="preserve">Gouveia, L. </v>
      </c>
      <c r="K744" s="11" t="str">
        <f ca="1">IFERROR(__xludf.DUMMYFUNCTION("SPLIT(J744,"";"")"),"Gouveia, L. ")</f>
        <v xml:space="preserve">Gouveia, L. </v>
      </c>
      <c r="L744" s="10"/>
      <c r="M744" s="10"/>
      <c r="N744" s="10"/>
      <c r="O744" s="10"/>
      <c r="P744" s="10"/>
      <c r="Q744" s="10"/>
      <c r="R744" s="10"/>
      <c r="S744" s="10"/>
      <c r="T744" s="10"/>
      <c r="U744" s="10"/>
      <c r="V744" s="10"/>
      <c r="W744" s="10"/>
      <c r="X744" s="10"/>
      <c r="Y744" s="10"/>
      <c r="Z744" s="10"/>
    </row>
    <row r="745" spans="1:26" ht="17.25" customHeight="1" x14ac:dyDescent="0.3">
      <c r="A745" s="10" t="s">
        <v>872</v>
      </c>
      <c r="B745" s="10">
        <f t="shared" si="0"/>
        <v>13</v>
      </c>
      <c r="C745" s="8" t="str">
        <f t="shared" si="1"/>
        <v xml:space="preserve">Gouveia, L. </v>
      </c>
      <c r="D745" s="8" t="str">
        <f t="shared" si="2"/>
        <v>2003</v>
      </c>
      <c r="E745" s="10">
        <f t="shared" si="3"/>
        <v>18</v>
      </c>
      <c r="F745" s="10">
        <f t="shared" si="4"/>
        <v>68</v>
      </c>
      <c r="G745" s="8" t="str">
        <f t="shared" si="5"/>
        <v xml:space="preserve"> Apontamentos de Novas Tecnologias e Comunicação. </v>
      </c>
      <c r="H745" s="10" t="str">
        <f t="shared" si="6"/>
        <v xml:space="preserve">Gouveia, L. </v>
      </c>
      <c r="I745" s="10" t="str">
        <f t="shared" si="7"/>
        <v xml:space="preserve">Gouveia, L. </v>
      </c>
      <c r="J745" s="10" t="str">
        <f t="shared" si="8"/>
        <v xml:space="preserve">Gouveia, L. </v>
      </c>
      <c r="K745" s="11" t="str">
        <f ca="1">IFERROR(__xludf.DUMMYFUNCTION("SPLIT(J745,"";"")"),"Gouveia, L. ")</f>
        <v xml:space="preserve">Gouveia, L. </v>
      </c>
      <c r="L745" s="10"/>
      <c r="M745" s="10"/>
      <c r="N745" s="10"/>
      <c r="O745" s="10"/>
      <c r="P745" s="10"/>
      <c r="Q745" s="10"/>
      <c r="R745" s="10"/>
      <c r="S745" s="10"/>
      <c r="T745" s="10"/>
      <c r="U745" s="10"/>
      <c r="V745" s="10"/>
      <c r="W745" s="10"/>
      <c r="X745" s="10"/>
      <c r="Y745" s="10"/>
      <c r="Z745" s="10"/>
    </row>
    <row r="746" spans="1:26" ht="17.25" customHeight="1" x14ac:dyDescent="0.3">
      <c r="A746" s="10" t="s">
        <v>873</v>
      </c>
      <c r="B746" s="10">
        <f t="shared" si="0"/>
        <v>13</v>
      </c>
      <c r="C746" s="8" t="str">
        <f t="shared" si="1"/>
        <v xml:space="preserve">Gouveia, L. </v>
      </c>
      <c r="D746" s="8" t="str">
        <f t="shared" si="2"/>
        <v>2002</v>
      </c>
      <c r="E746" s="10">
        <f t="shared" si="3"/>
        <v>18</v>
      </c>
      <c r="F746" s="10">
        <f t="shared" si="4"/>
        <v>68</v>
      </c>
      <c r="G746" s="8" t="str">
        <f t="shared" si="5"/>
        <v xml:space="preserve"> Exercícios práticos para Sistemas de Informação. </v>
      </c>
      <c r="H746" s="10" t="str">
        <f t="shared" si="6"/>
        <v xml:space="preserve">Gouveia, L. </v>
      </c>
      <c r="I746" s="10" t="str">
        <f t="shared" si="7"/>
        <v xml:space="preserve">Gouveia, L. </v>
      </c>
      <c r="J746" s="10" t="str">
        <f t="shared" si="8"/>
        <v xml:space="preserve">Gouveia, L. </v>
      </c>
      <c r="K746" s="11" t="str">
        <f ca="1">IFERROR(__xludf.DUMMYFUNCTION("SPLIT(J746,"";"")"),"Gouveia, L. ")</f>
        <v xml:space="preserve">Gouveia, L. </v>
      </c>
      <c r="L746" s="10"/>
      <c r="M746" s="10"/>
      <c r="N746" s="10"/>
      <c r="O746" s="10"/>
      <c r="P746" s="10"/>
      <c r="Q746" s="10"/>
      <c r="R746" s="10"/>
      <c r="S746" s="10"/>
      <c r="T746" s="10"/>
      <c r="U746" s="10"/>
      <c r="V746" s="10"/>
      <c r="W746" s="10"/>
      <c r="X746" s="10"/>
      <c r="Y746" s="10"/>
      <c r="Z746" s="10"/>
    </row>
    <row r="747" spans="1:26" ht="17.25" customHeight="1" x14ac:dyDescent="0.3">
      <c r="A747" s="10" t="s">
        <v>874</v>
      </c>
      <c r="B747" s="10">
        <f t="shared" si="0"/>
        <v>13</v>
      </c>
      <c r="C747" s="8" t="str">
        <f t="shared" si="1"/>
        <v xml:space="preserve">Gouveia, L. </v>
      </c>
      <c r="D747" s="8" t="str">
        <f t="shared" si="2"/>
        <v>2000</v>
      </c>
      <c r="E747" s="10">
        <f t="shared" si="3"/>
        <v>18</v>
      </c>
      <c r="F747" s="10">
        <f t="shared" si="4"/>
        <v>74</v>
      </c>
      <c r="G747" s="8" t="str">
        <f t="shared" si="5"/>
        <v xml:space="preserve"> It's time to rethink the way we deal with information. </v>
      </c>
      <c r="H747" s="10" t="str">
        <f t="shared" si="6"/>
        <v xml:space="preserve">Gouveia, L. </v>
      </c>
      <c r="I747" s="10" t="str">
        <f t="shared" si="7"/>
        <v xml:space="preserve">Gouveia, L. </v>
      </c>
      <c r="J747" s="10" t="str">
        <f t="shared" si="8"/>
        <v xml:space="preserve">Gouveia, L. </v>
      </c>
      <c r="K747" s="11" t="str">
        <f ca="1">IFERROR(__xludf.DUMMYFUNCTION("SPLIT(J747,"";"")"),"Gouveia, L. ")</f>
        <v xml:space="preserve">Gouveia, L. </v>
      </c>
      <c r="L747" s="10"/>
      <c r="M747" s="10"/>
      <c r="N747" s="10"/>
      <c r="O747" s="10"/>
      <c r="P747" s="10"/>
      <c r="Q747" s="10"/>
      <c r="R747" s="10"/>
      <c r="S747" s="10"/>
      <c r="T747" s="10"/>
      <c r="U747" s="10"/>
      <c r="V747" s="10"/>
      <c r="W747" s="10"/>
      <c r="X747" s="10"/>
      <c r="Y747" s="10"/>
      <c r="Z747" s="10"/>
    </row>
    <row r="748" spans="1:26" ht="17.25" customHeight="1" x14ac:dyDescent="0.3">
      <c r="A748" s="10" t="s">
        <v>875</v>
      </c>
      <c r="B748" s="10">
        <f t="shared" si="0"/>
        <v>13</v>
      </c>
      <c r="C748" s="8" t="str">
        <f t="shared" si="1"/>
        <v xml:space="preserve">Gouveia, L. </v>
      </c>
      <c r="D748" s="8" t="str">
        <f t="shared" si="2"/>
        <v>1999</v>
      </c>
      <c r="E748" s="10">
        <f t="shared" si="3"/>
        <v>18</v>
      </c>
      <c r="F748" s="10">
        <f t="shared" si="4"/>
        <v>67</v>
      </c>
      <c r="G748" s="8" t="str">
        <f t="shared" si="5"/>
        <v xml:space="preserve"> Apontamentos de Gestão de Informação, versão 2.0</v>
      </c>
      <c r="H748" s="10" t="str">
        <f t="shared" si="6"/>
        <v xml:space="preserve">Gouveia, L. </v>
      </c>
      <c r="I748" s="10" t="str">
        <f t="shared" si="7"/>
        <v xml:space="preserve">Gouveia, L. </v>
      </c>
      <c r="J748" s="10" t="str">
        <f t="shared" si="8"/>
        <v xml:space="preserve">Gouveia, L. </v>
      </c>
      <c r="K748" s="11" t="str">
        <f ca="1">IFERROR(__xludf.DUMMYFUNCTION("SPLIT(J748,"";"")"),"Gouveia, L. ")</f>
        <v xml:space="preserve">Gouveia, L. </v>
      </c>
      <c r="L748" s="10"/>
      <c r="M748" s="10"/>
      <c r="N748" s="10"/>
      <c r="O748" s="10"/>
      <c r="P748" s="10"/>
      <c r="Q748" s="10"/>
      <c r="R748" s="10"/>
      <c r="S748" s="10"/>
      <c r="T748" s="10"/>
      <c r="U748" s="10"/>
      <c r="V748" s="10"/>
      <c r="W748" s="10"/>
      <c r="X748" s="10"/>
      <c r="Y748" s="10"/>
      <c r="Z748" s="10"/>
    </row>
    <row r="749" spans="1:26" ht="17.25" customHeight="1" x14ac:dyDescent="0.3">
      <c r="A749" s="10" t="s">
        <v>876</v>
      </c>
      <c r="B749" s="10">
        <f t="shared" si="0"/>
        <v>13</v>
      </c>
      <c r="C749" s="8" t="str">
        <f t="shared" si="1"/>
        <v xml:space="preserve">Gouveia, L. </v>
      </c>
      <c r="D749" s="8" t="str">
        <f t="shared" si="2"/>
        <v>1999</v>
      </c>
      <c r="E749" s="10">
        <f t="shared" si="3"/>
        <v>18</v>
      </c>
      <c r="F749" s="10">
        <f t="shared" si="4"/>
        <v>55</v>
      </c>
      <c r="G749" s="8" t="str">
        <f t="shared" si="5"/>
        <v xml:space="preserve"> Apontamentos de Media Interactivos. </v>
      </c>
      <c r="H749" s="10" t="str">
        <f t="shared" si="6"/>
        <v xml:space="preserve">Gouveia, L. </v>
      </c>
      <c r="I749" s="10" t="str">
        <f t="shared" si="7"/>
        <v xml:space="preserve">Gouveia, L. </v>
      </c>
      <c r="J749" s="10" t="str">
        <f t="shared" si="8"/>
        <v xml:space="preserve">Gouveia, L. </v>
      </c>
      <c r="K749" s="11" t="str">
        <f ca="1">IFERROR(__xludf.DUMMYFUNCTION("SPLIT(J749,"";"")"),"Gouveia, L. ")</f>
        <v xml:space="preserve">Gouveia, L. </v>
      </c>
      <c r="L749" s="10"/>
      <c r="M749" s="10"/>
      <c r="N749" s="10"/>
      <c r="O749" s="10"/>
      <c r="P749" s="10"/>
      <c r="Q749" s="10"/>
      <c r="R749" s="10"/>
      <c r="S749" s="10"/>
      <c r="T749" s="10"/>
      <c r="U749" s="10"/>
      <c r="V749" s="10"/>
      <c r="W749" s="10"/>
      <c r="X749" s="10"/>
      <c r="Y749" s="10"/>
      <c r="Z749" s="10"/>
    </row>
    <row r="750" spans="1:26" ht="17.25" customHeight="1" x14ac:dyDescent="0.3">
      <c r="A750" s="10" t="s">
        <v>877</v>
      </c>
      <c r="B750" s="10">
        <f t="shared" si="0"/>
        <v>13</v>
      </c>
      <c r="C750" s="8" t="str">
        <f t="shared" si="1"/>
        <v xml:space="preserve">Gouveia, L. </v>
      </c>
      <c r="D750" s="8" t="str">
        <f t="shared" si="2"/>
        <v>1999</v>
      </c>
      <c r="E750" s="10">
        <f t="shared" si="3"/>
        <v>18</v>
      </c>
      <c r="F750" s="10">
        <f t="shared" si="4"/>
        <v>42</v>
      </c>
      <c r="G750" s="8" t="str">
        <f t="shared" si="5"/>
        <v xml:space="preserve"> A Análise de Sistemas. </v>
      </c>
      <c r="H750" s="10" t="str">
        <f t="shared" si="6"/>
        <v xml:space="preserve">Gouveia, L. </v>
      </c>
      <c r="I750" s="10" t="str">
        <f t="shared" si="7"/>
        <v xml:space="preserve">Gouveia, L. </v>
      </c>
      <c r="J750" s="10" t="str">
        <f t="shared" si="8"/>
        <v xml:space="preserve">Gouveia, L. </v>
      </c>
      <c r="K750" s="11" t="str">
        <f ca="1">IFERROR(__xludf.DUMMYFUNCTION("SPLIT(J750,"";"")"),"Gouveia, L. ")</f>
        <v xml:space="preserve">Gouveia, L. </v>
      </c>
      <c r="L750" s="10"/>
      <c r="M750" s="10"/>
      <c r="N750" s="10"/>
      <c r="O750" s="10"/>
      <c r="P750" s="10"/>
      <c r="Q750" s="10"/>
      <c r="R750" s="10"/>
      <c r="S750" s="10"/>
      <c r="T750" s="10"/>
      <c r="U750" s="10"/>
      <c r="V750" s="10"/>
      <c r="W750" s="10"/>
      <c r="X750" s="10"/>
      <c r="Y750" s="10"/>
      <c r="Z750" s="10"/>
    </row>
    <row r="751" spans="1:26" ht="17.25" customHeight="1" x14ac:dyDescent="0.3">
      <c r="A751" s="10" t="s">
        <v>878</v>
      </c>
      <c r="B751" s="10">
        <f t="shared" si="0"/>
        <v>13</v>
      </c>
      <c r="C751" s="8" t="str">
        <f t="shared" si="1"/>
        <v xml:space="preserve">Gouveia, L. </v>
      </c>
      <c r="D751" s="8" t="str">
        <f t="shared" si="2"/>
        <v>1999</v>
      </c>
      <c r="E751" s="10">
        <f t="shared" si="3"/>
        <v>18</v>
      </c>
      <c r="F751" s="10">
        <f t="shared" si="4"/>
        <v>66</v>
      </c>
      <c r="G751" s="8" t="str">
        <f t="shared" si="5"/>
        <v xml:space="preserve"> Introdução aos conceitos de Realidade Virtual. </v>
      </c>
      <c r="H751" s="10" t="str">
        <f t="shared" si="6"/>
        <v xml:space="preserve">Gouveia, L. </v>
      </c>
      <c r="I751" s="10" t="str">
        <f t="shared" si="7"/>
        <v xml:space="preserve">Gouveia, L. </v>
      </c>
      <c r="J751" s="10" t="str">
        <f t="shared" si="8"/>
        <v xml:space="preserve">Gouveia, L. </v>
      </c>
      <c r="K751" s="11" t="str">
        <f ca="1">IFERROR(__xludf.DUMMYFUNCTION("SPLIT(J751,"";"")"),"Gouveia, L. ")</f>
        <v xml:space="preserve">Gouveia, L. </v>
      </c>
      <c r="L751" s="10"/>
      <c r="M751" s="10"/>
      <c r="N751" s="10"/>
      <c r="O751" s="10"/>
      <c r="P751" s="10"/>
      <c r="Q751" s="10"/>
      <c r="R751" s="10"/>
      <c r="S751" s="10"/>
      <c r="T751" s="10"/>
      <c r="U751" s="10"/>
      <c r="V751" s="10"/>
      <c r="W751" s="10"/>
      <c r="X751" s="10"/>
      <c r="Y751" s="10"/>
      <c r="Z751" s="10"/>
    </row>
    <row r="752" spans="1:26" ht="17.25" customHeight="1" x14ac:dyDescent="0.3">
      <c r="A752" s="10" t="s">
        <v>879</v>
      </c>
      <c r="B752" s="10">
        <f t="shared" si="0"/>
        <v>13</v>
      </c>
      <c r="C752" s="8" t="str">
        <f t="shared" si="1"/>
        <v xml:space="preserve">Gouveia, L. </v>
      </c>
      <c r="D752" s="8" t="str">
        <f t="shared" si="2"/>
        <v>1999</v>
      </c>
      <c r="E752" s="10">
        <f t="shared" si="3"/>
        <v>18</v>
      </c>
      <c r="F752" s="10">
        <f t="shared" si="4"/>
        <v>48</v>
      </c>
      <c r="G752" s="8" t="str">
        <f t="shared" si="5"/>
        <v xml:space="preserve"> Introdução à Linguagem JAVA. </v>
      </c>
      <c r="H752" s="10" t="str">
        <f t="shared" si="6"/>
        <v xml:space="preserve">Gouveia, L. </v>
      </c>
      <c r="I752" s="10" t="str">
        <f t="shared" si="7"/>
        <v xml:space="preserve">Gouveia, L. </v>
      </c>
      <c r="J752" s="10" t="str">
        <f t="shared" si="8"/>
        <v xml:space="preserve">Gouveia, L. </v>
      </c>
      <c r="K752" s="11" t="str">
        <f ca="1">IFERROR(__xludf.DUMMYFUNCTION("SPLIT(J752,"";"")"),"Gouveia, L. ")</f>
        <v xml:space="preserve">Gouveia, L. </v>
      </c>
      <c r="L752" s="10"/>
      <c r="M752" s="10"/>
      <c r="N752" s="10"/>
      <c r="O752" s="10"/>
      <c r="P752" s="10"/>
      <c r="Q752" s="10"/>
      <c r="R752" s="10"/>
      <c r="S752" s="10"/>
      <c r="T752" s="10"/>
      <c r="U752" s="10"/>
      <c r="V752" s="10"/>
      <c r="W752" s="10"/>
      <c r="X752" s="10"/>
      <c r="Y752" s="10"/>
      <c r="Z752" s="10"/>
    </row>
    <row r="753" spans="1:26" ht="17.25" customHeight="1" x14ac:dyDescent="0.3">
      <c r="A753" s="10" t="s">
        <v>880</v>
      </c>
      <c r="B753" s="10">
        <f t="shared" si="0"/>
        <v>13</v>
      </c>
      <c r="C753" s="8" t="str">
        <f t="shared" si="1"/>
        <v xml:space="preserve">Gouveia, L. </v>
      </c>
      <c r="D753" s="8" t="str">
        <f t="shared" si="2"/>
        <v>1998</v>
      </c>
      <c r="E753" s="10">
        <f t="shared" si="3"/>
        <v>18</v>
      </c>
      <c r="F753" s="10">
        <f t="shared" si="4"/>
        <v>74</v>
      </c>
      <c r="G753" s="8" t="str">
        <f t="shared" si="5"/>
        <v xml:space="preserve"> Introdução ao VRML -Virtual Reality Modeling Language. </v>
      </c>
      <c r="H753" s="10" t="str">
        <f t="shared" si="6"/>
        <v xml:space="preserve">Gouveia, L. </v>
      </c>
      <c r="I753" s="10" t="str">
        <f t="shared" si="7"/>
        <v xml:space="preserve">Gouveia, L. </v>
      </c>
      <c r="J753" s="10" t="str">
        <f t="shared" si="8"/>
        <v xml:space="preserve">Gouveia, L. </v>
      </c>
      <c r="K753" s="11" t="str">
        <f ca="1">IFERROR(__xludf.DUMMYFUNCTION("SPLIT(J753,"";"")"),"Gouveia, L. ")</f>
        <v xml:space="preserve">Gouveia, L. </v>
      </c>
      <c r="L753" s="10"/>
      <c r="M753" s="10"/>
      <c r="N753" s="10"/>
      <c r="O753" s="10"/>
      <c r="P753" s="10"/>
      <c r="Q753" s="10"/>
      <c r="R753" s="10"/>
      <c r="S753" s="10"/>
      <c r="T753" s="10"/>
      <c r="U753" s="10"/>
      <c r="V753" s="10"/>
      <c r="W753" s="10"/>
      <c r="X753" s="10"/>
      <c r="Y753" s="10"/>
      <c r="Z753" s="10"/>
    </row>
    <row r="754" spans="1:26" ht="17.25" customHeight="1" x14ac:dyDescent="0.3">
      <c r="A754" s="10" t="s">
        <v>881</v>
      </c>
      <c r="B754" s="10">
        <f t="shared" si="0"/>
        <v>13</v>
      </c>
      <c r="C754" s="8" t="str">
        <f t="shared" si="1"/>
        <v xml:space="preserve">Gouveia, L. </v>
      </c>
      <c r="D754" s="8" t="str">
        <f t="shared" si="2"/>
        <v>1998</v>
      </c>
      <c r="E754" s="10">
        <f t="shared" si="3"/>
        <v>18</v>
      </c>
      <c r="F754" s="10">
        <f t="shared" si="4"/>
        <v>78</v>
      </c>
      <c r="G754" s="8" t="str">
        <f t="shared" si="5"/>
        <v xml:space="preserve"> Apontamentos de Sistemas de Informação, versão 1992-1995 . </v>
      </c>
      <c r="H754" s="10" t="str">
        <f t="shared" si="6"/>
        <v xml:space="preserve">Gouveia, L. </v>
      </c>
      <c r="I754" s="10" t="str">
        <f t="shared" si="7"/>
        <v xml:space="preserve">Gouveia, L. </v>
      </c>
      <c r="J754" s="10" t="str">
        <f t="shared" si="8"/>
        <v xml:space="preserve">Gouveia, L. </v>
      </c>
      <c r="K754" s="11" t="str">
        <f ca="1">IFERROR(__xludf.DUMMYFUNCTION("SPLIT(J754,"";"")"),"Gouveia, L. ")</f>
        <v xml:space="preserve">Gouveia, L. </v>
      </c>
      <c r="L754" s="10"/>
      <c r="M754" s="10"/>
      <c r="N754" s="10"/>
      <c r="O754" s="10"/>
      <c r="P754" s="10"/>
      <c r="Q754" s="10"/>
      <c r="R754" s="10"/>
      <c r="S754" s="10"/>
      <c r="T754" s="10"/>
      <c r="U754" s="10"/>
      <c r="V754" s="10"/>
      <c r="W754" s="10"/>
      <c r="X754" s="10"/>
      <c r="Y754" s="10"/>
      <c r="Z754" s="10"/>
    </row>
    <row r="755" spans="1:26" ht="17.25" customHeight="1" x14ac:dyDescent="0.3">
      <c r="A755" s="10" t="s">
        <v>882</v>
      </c>
      <c r="B755" s="10">
        <f t="shared" si="0"/>
        <v>13</v>
      </c>
      <c r="C755" s="8" t="str">
        <f t="shared" si="1"/>
        <v xml:space="preserve">Gouveia, L. </v>
      </c>
      <c r="D755" s="8" t="str">
        <f t="shared" si="2"/>
        <v>1997</v>
      </c>
      <c r="E755" s="10">
        <f t="shared" si="3"/>
        <v>18</v>
      </c>
      <c r="F755" s="10">
        <f t="shared" si="4"/>
        <v>69</v>
      </c>
      <c r="G755" s="8" t="str">
        <f t="shared" si="5"/>
        <v xml:space="preserve"> Uso básico do sistema operativo UNIX, introdução. </v>
      </c>
      <c r="H755" s="10" t="str">
        <f t="shared" si="6"/>
        <v xml:space="preserve">Gouveia, L. </v>
      </c>
      <c r="I755" s="10" t="str">
        <f t="shared" si="7"/>
        <v xml:space="preserve">Gouveia, L. </v>
      </c>
      <c r="J755" s="10" t="str">
        <f t="shared" si="8"/>
        <v xml:space="preserve">Gouveia, L. </v>
      </c>
      <c r="K755" s="11" t="str">
        <f ca="1">IFERROR(__xludf.DUMMYFUNCTION("SPLIT(J755,"";"")"),"Gouveia, L. ")</f>
        <v xml:space="preserve">Gouveia, L. </v>
      </c>
      <c r="L755" s="10"/>
      <c r="M755" s="10"/>
      <c r="N755" s="10"/>
      <c r="O755" s="10"/>
      <c r="P755" s="10"/>
      <c r="Q755" s="10"/>
      <c r="R755" s="10"/>
      <c r="S755" s="10"/>
      <c r="T755" s="10"/>
      <c r="U755" s="10"/>
      <c r="V755" s="10"/>
      <c r="W755" s="10"/>
      <c r="X755" s="10"/>
      <c r="Y755" s="10"/>
      <c r="Z755" s="10"/>
    </row>
    <row r="756" spans="1:26" ht="17.25" customHeight="1" x14ac:dyDescent="0.3">
      <c r="A756" s="10" t="s">
        <v>883</v>
      </c>
      <c r="B756" s="10">
        <f t="shared" si="0"/>
        <v>13</v>
      </c>
      <c r="C756" s="8" t="str">
        <f t="shared" si="1"/>
        <v xml:space="preserve">Gouveia, L. </v>
      </c>
      <c r="D756" s="8" t="str">
        <f t="shared" si="2"/>
        <v>1997</v>
      </c>
      <c r="E756" s="10">
        <f t="shared" si="3"/>
        <v>18</v>
      </c>
      <c r="F756" s="10">
        <f t="shared" si="4"/>
        <v>87</v>
      </c>
      <c r="G756" s="8" t="str">
        <f t="shared" si="5"/>
        <v xml:space="preserve"> O modelo OSI e os esforços de normalização em comunicação de dados. </v>
      </c>
      <c r="H756" s="10" t="str">
        <f t="shared" si="6"/>
        <v xml:space="preserve">Gouveia, L. </v>
      </c>
      <c r="I756" s="10" t="str">
        <f t="shared" si="7"/>
        <v xml:space="preserve">Gouveia, L. </v>
      </c>
      <c r="J756" s="10" t="str">
        <f t="shared" si="8"/>
        <v xml:space="preserve">Gouveia, L. </v>
      </c>
      <c r="K756" s="11" t="str">
        <f ca="1">IFERROR(__xludf.DUMMYFUNCTION("SPLIT(J756,"";"")"),"Gouveia, L. ")</f>
        <v xml:space="preserve">Gouveia, L. </v>
      </c>
      <c r="L756" s="10"/>
      <c r="M756" s="10"/>
      <c r="N756" s="10"/>
      <c r="O756" s="10"/>
      <c r="P756" s="10"/>
      <c r="Q756" s="10"/>
      <c r="R756" s="10"/>
      <c r="S756" s="10"/>
      <c r="T756" s="10"/>
      <c r="U756" s="10"/>
      <c r="V756" s="10"/>
      <c r="W756" s="10"/>
      <c r="X756" s="10"/>
      <c r="Y756" s="10"/>
      <c r="Z756" s="10"/>
    </row>
    <row r="757" spans="1:26" ht="17.25" customHeight="1" x14ac:dyDescent="0.3">
      <c r="A757" s="10" t="s">
        <v>884</v>
      </c>
      <c r="B757" s="10">
        <f t="shared" si="0"/>
        <v>13</v>
      </c>
      <c r="C757" s="8" t="str">
        <f t="shared" si="1"/>
        <v xml:space="preserve">Gouveia, L. </v>
      </c>
      <c r="D757" s="8" t="str">
        <f t="shared" si="2"/>
        <v>1997</v>
      </c>
      <c r="E757" s="10">
        <f t="shared" si="3"/>
        <v>18</v>
      </c>
      <c r="F757" s="10">
        <f t="shared" si="4"/>
        <v>125</v>
      </c>
      <c r="G757" s="8" t="str">
        <f t="shared" si="5"/>
        <v xml:space="preserve"> Desenvolvimento de páginas Web, dicas para obter o melhor efeito na publicação de informação na Internet. </v>
      </c>
      <c r="H757" s="10" t="str">
        <f t="shared" si="6"/>
        <v xml:space="preserve">Gouveia, L. </v>
      </c>
      <c r="I757" s="10" t="str">
        <f t="shared" si="7"/>
        <v xml:space="preserve">Gouveia, L. </v>
      </c>
      <c r="J757" s="10" t="str">
        <f t="shared" si="8"/>
        <v xml:space="preserve">Gouveia, L. </v>
      </c>
      <c r="K757" s="11" t="str">
        <f ca="1">IFERROR(__xludf.DUMMYFUNCTION("SPLIT(J757,"";"")"),"Gouveia, L. ")</f>
        <v xml:space="preserve">Gouveia, L. </v>
      </c>
      <c r="L757" s="10"/>
      <c r="M757" s="10"/>
      <c r="N757" s="10"/>
      <c r="O757" s="10"/>
      <c r="P757" s="10"/>
      <c r="Q757" s="10"/>
      <c r="R757" s="10"/>
      <c r="S757" s="10"/>
      <c r="T757" s="10"/>
      <c r="U757" s="10"/>
      <c r="V757" s="10"/>
      <c r="W757" s="10"/>
      <c r="X757" s="10"/>
      <c r="Y757" s="10"/>
      <c r="Z757" s="10"/>
    </row>
    <row r="758" spans="1:26" ht="17.25" customHeight="1" x14ac:dyDescent="0.3">
      <c r="A758" s="10" t="s">
        <v>885</v>
      </c>
      <c r="B758" s="10">
        <f t="shared" si="0"/>
        <v>13</v>
      </c>
      <c r="C758" s="8" t="str">
        <f t="shared" si="1"/>
        <v xml:space="preserve">Gouveia, L. </v>
      </c>
      <c r="D758" s="8" t="str">
        <f t="shared" si="2"/>
        <v>1997</v>
      </c>
      <c r="E758" s="10">
        <f t="shared" si="3"/>
        <v>18</v>
      </c>
      <c r="F758" s="10">
        <f t="shared" si="4"/>
        <v>59</v>
      </c>
      <c r="G758" s="8" t="str">
        <f t="shared" si="5"/>
        <v xml:space="preserve">Utilização básica do navegador Netscape. </v>
      </c>
      <c r="H758" s="10" t="str">
        <f t="shared" si="6"/>
        <v xml:space="preserve">Gouveia, L. </v>
      </c>
      <c r="I758" s="10" t="str">
        <f t="shared" si="7"/>
        <v xml:space="preserve">Gouveia, L. </v>
      </c>
      <c r="J758" s="10" t="str">
        <f t="shared" si="8"/>
        <v xml:space="preserve">Gouveia, L. </v>
      </c>
      <c r="K758" s="11" t="str">
        <f ca="1">IFERROR(__xludf.DUMMYFUNCTION("SPLIT(J758,"";"")"),"Gouveia, L. ")</f>
        <v xml:space="preserve">Gouveia, L. </v>
      </c>
      <c r="L758" s="10"/>
      <c r="M758" s="10"/>
      <c r="N758" s="10"/>
      <c r="O758" s="10"/>
      <c r="P758" s="10"/>
      <c r="Q758" s="10"/>
      <c r="R758" s="10"/>
      <c r="S758" s="10"/>
      <c r="T758" s="10"/>
      <c r="U758" s="10"/>
      <c r="V758" s="10"/>
      <c r="W758" s="10"/>
      <c r="X758" s="10"/>
      <c r="Y758" s="10"/>
      <c r="Z758" s="10"/>
    </row>
    <row r="759" spans="1:26" ht="17.25" customHeight="1" x14ac:dyDescent="0.3">
      <c r="A759" s="10" t="s">
        <v>886</v>
      </c>
      <c r="B759" s="10">
        <f t="shared" si="0"/>
        <v>13</v>
      </c>
      <c r="C759" s="8" t="str">
        <f t="shared" si="1"/>
        <v xml:space="preserve">Gouveia, L. </v>
      </c>
      <c r="D759" s="8" t="str">
        <f t="shared" si="2"/>
        <v>1997</v>
      </c>
      <c r="E759" s="10">
        <f t="shared" si="3"/>
        <v>18</v>
      </c>
      <c r="F759" s="10">
        <f t="shared" si="4"/>
        <v>82</v>
      </c>
      <c r="G759" s="8" t="str">
        <f t="shared" si="5"/>
        <v xml:space="preserve"> Apontamentos da cadeira de Logística e Gestão da Distribuição. </v>
      </c>
      <c r="H759" s="10" t="str">
        <f t="shared" si="6"/>
        <v xml:space="preserve">Gouveia, L. </v>
      </c>
      <c r="I759" s="10" t="str">
        <f t="shared" si="7"/>
        <v xml:space="preserve">Gouveia, L. </v>
      </c>
      <c r="J759" s="10" t="str">
        <f t="shared" si="8"/>
        <v xml:space="preserve">Gouveia, L. </v>
      </c>
      <c r="K759" s="11" t="str">
        <f ca="1">IFERROR(__xludf.DUMMYFUNCTION("SPLIT(J759,"";"")"),"Gouveia, L. ")</f>
        <v xml:space="preserve">Gouveia, L. </v>
      </c>
      <c r="L759" s="10"/>
      <c r="M759" s="10"/>
      <c r="N759" s="10"/>
      <c r="O759" s="10"/>
      <c r="P759" s="10"/>
      <c r="Q759" s="10"/>
      <c r="R759" s="10"/>
      <c r="S759" s="10"/>
      <c r="T759" s="10"/>
      <c r="U759" s="10"/>
      <c r="V759" s="10"/>
      <c r="W759" s="10"/>
      <c r="X759" s="10"/>
      <c r="Y759" s="10"/>
      <c r="Z759" s="10"/>
    </row>
    <row r="760" spans="1:26" ht="17.25" customHeight="1" x14ac:dyDescent="0.3">
      <c r="A760" s="10" t="s">
        <v>887</v>
      </c>
      <c r="B760" s="10">
        <f t="shared" si="0"/>
        <v>13</v>
      </c>
      <c r="C760" s="8" t="str">
        <f t="shared" si="1"/>
        <v xml:space="preserve">Gouveia, L. </v>
      </c>
      <c r="D760" s="8" t="str">
        <f t="shared" si="2"/>
        <v>1996</v>
      </c>
      <c r="E760" s="10">
        <f t="shared" si="3"/>
        <v>18</v>
      </c>
      <c r="F760" s="10">
        <f t="shared" si="4"/>
        <v>75</v>
      </c>
      <c r="G760" s="8" t="str">
        <f t="shared" si="5"/>
        <v xml:space="preserve"> Como criar uma página Web, utilização de comandos HTML. </v>
      </c>
      <c r="H760" s="10" t="str">
        <f t="shared" si="6"/>
        <v xml:space="preserve">Gouveia, L. </v>
      </c>
      <c r="I760" s="10" t="str">
        <f t="shared" si="7"/>
        <v xml:space="preserve">Gouveia, L. </v>
      </c>
      <c r="J760" s="10" t="str">
        <f t="shared" si="8"/>
        <v xml:space="preserve">Gouveia, L. </v>
      </c>
      <c r="K760" s="11" t="str">
        <f ca="1">IFERROR(__xludf.DUMMYFUNCTION("SPLIT(J760,"";"")"),"Gouveia, L. ")</f>
        <v xml:space="preserve">Gouveia, L. </v>
      </c>
      <c r="L760" s="10"/>
      <c r="M760" s="10"/>
      <c r="N760" s="10"/>
      <c r="O760" s="10"/>
      <c r="P760" s="10"/>
      <c r="Q760" s="10"/>
      <c r="R760" s="10"/>
      <c r="S760" s="10"/>
      <c r="T760" s="10"/>
      <c r="U760" s="10"/>
      <c r="V760" s="10"/>
      <c r="W760" s="10"/>
      <c r="X760" s="10"/>
      <c r="Y760" s="10"/>
      <c r="Z760" s="10"/>
    </row>
    <row r="761" spans="1:26" ht="17.25" customHeight="1" x14ac:dyDescent="0.3">
      <c r="A761" s="10" t="s">
        <v>888</v>
      </c>
      <c r="B761" s="10">
        <f t="shared" si="0"/>
        <v>13</v>
      </c>
      <c r="C761" s="8" t="str">
        <f t="shared" si="1"/>
        <v xml:space="preserve">Gouveia, L. </v>
      </c>
      <c r="D761" s="8" t="str">
        <f t="shared" si="2"/>
        <v>1996</v>
      </c>
      <c r="E761" s="10">
        <f t="shared" si="3"/>
        <v>18</v>
      </c>
      <c r="F761" s="10">
        <f t="shared" si="4"/>
        <v>62</v>
      </c>
      <c r="G761" s="8" t="str">
        <f t="shared" si="5"/>
        <v xml:space="preserve"> Três palavras sobre a Análise de Sistemas. </v>
      </c>
      <c r="H761" s="10" t="str">
        <f t="shared" si="6"/>
        <v xml:space="preserve">Gouveia, L. </v>
      </c>
      <c r="I761" s="10" t="str">
        <f t="shared" si="7"/>
        <v xml:space="preserve">Gouveia, L. </v>
      </c>
      <c r="J761" s="10" t="str">
        <f t="shared" si="8"/>
        <v xml:space="preserve">Gouveia, L. </v>
      </c>
      <c r="K761" s="11" t="str">
        <f ca="1">IFERROR(__xludf.DUMMYFUNCTION("SPLIT(J761,"";"")"),"Gouveia, L. ")</f>
        <v xml:space="preserve">Gouveia, L. </v>
      </c>
      <c r="L761" s="10"/>
      <c r="M761" s="10"/>
      <c r="N761" s="10"/>
      <c r="O761" s="10"/>
      <c r="P761" s="10"/>
      <c r="Q761" s="10"/>
      <c r="R761" s="10"/>
      <c r="S761" s="10"/>
      <c r="T761" s="10"/>
      <c r="U761" s="10"/>
      <c r="V761" s="10"/>
      <c r="W761" s="10"/>
      <c r="X761" s="10"/>
      <c r="Y761" s="10"/>
      <c r="Z761" s="10"/>
    </row>
    <row r="762" spans="1:26" ht="17.25" customHeight="1" x14ac:dyDescent="0.3">
      <c r="A762" s="10" t="s">
        <v>889</v>
      </c>
      <c r="B762" s="10">
        <f t="shared" si="0"/>
        <v>13</v>
      </c>
      <c r="C762" s="8" t="str">
        <f t="shared" si="1"/>
        <v xml:space="preserve">Gouveia, L. </v>
      </c>
      <c r="D762" s="8" t="str">
        <f t="shared" si="2"/>
        <v>1996</v>
      </c>
      <c r="E762" s="10">
        <f t="shared" si="3"/>
        <v>18</v>
      </c>
      <c r="F762" s="10">
        <f t="shared" si="4"/>
        <v>57</v>
      </c>
      <c r="G762" s="8" t="str">
        <f t="shared" si="5"/>
        <v xml:space="preserve"> Sistemas de Informação para a Gestão. </v>
      </c>
      <c r="H762" s="10" t="str">
        <f t="shared" si="6"/>
        <v xml:space="preserve">Gouveia, L. </v>
      </c>
      <c r="I762" s="10" t="str">
        <f t="shared" si="7"/>
        <v xml:space="preserve">Gouveia, L. </v>
      </c>
      <c r="J762" s="10" t="str">
        <f t="shared" si="8"/>
        <v xml:space="preserve">Gouveia, L. </v>
      </c>
      <c r="K762" s="11" t="str">
        <f ca="1">IFERROR(__xludf.DUMMYFUNCTION("SPLIT(J762,"";"")"),"Gouveia, L. ")</f>
        <v xml:space="preserve">Gouveia, L. </v>
      </c>
      <c r="L762" s="10"/>
      <c r="M762" s="10"/>
      <c r="N762" s="10"/>
      <c r="O762" s="10"/>
      <c r="P762" s="10"/>
      <c r="Q762" s="10"/>
      <c r="R762" s="10"/>
      <c r="S762" s="10"/>
      <c r="T762" s="10"/>
      <c r="U762" s="10"/>
      <c r="V762" s="10"/>
      <c r="W762" s="10"/>
      <c r="X762" s="10"/>
      <c r="Y762" s="10"/>
      <c r="Z762" s="10"/>
    </row>
    <row r="763" spans="1:26" ht="17.25" customHeight="1" x14ac:dyDescent="0.3">
      <c r="A763" s="10" t="s">
        <v>890</v>
      </c>
      <c r="B763" s="10">
        <f t="shared" si="0"/>
        <v>13</v>
      </c>
      <c r="C763" s="8" t="str">
        <f t="shared" si="1"/>
        <v xml:space="preserve">Gouveia, L. </v>
      </c>
      <c r="D763" s="8" t="str">
        <f t="shared" si="2"/>
        <v>1996</v>
      </c>
      <c r="E763" s="10">
        <f t="shared" si="3"/>
        <v>18</v>
      </c>
      <c r="F763" s="10">
        <f t="shared" si="4"/>
        <v>73</v>
      </c>
      <c r="G763" s="8" t="str">
        <f t="shared" si="5"/>
        <v xml:space="preserve"> Apontamentos de Introdução à Informática - conceitos. </v>
      </c>
      <c r="H763" s="10" t="str">
        <f t="shared" si="6"/>
        <v xml:space="preserve">Gouveia, L. </v>
      </c>
      <c r="I763" s="10" t="str">
        <f t="shared" si="7"/>
        <v xml:space="preserve">Gouveia, L. </v>
      </c>
      <c r="J763" s="10" t="str">
        <f t="shared" si="8"/>
        <v xml:space="preserve">Gouveia, L. </v>
      </c>
      <c r="K763" s="11" t="str">
        <f ca="1">IFERROR(__xludf.DUMMYFUNCTION("SPLIT(J763,"";"")"),"Gouveia, L. ")</f>
        <v xml:space="preserve">Gouveia, L. </v>
      </c>
      <c r="L763" s="10"/>
      <c r="M763" s="10"/>
      <c r="N763" s="10"/>
      <c r="O763" s="10"/>
      <c r="P763" s="10"/>
      <c r="Q763" s="10"/>
      <c r="R763" s="10"/>
      <c r="S763" s="10"/>
      <c r="T763" s="10"/>
      <c r="U763" s="10"/>
      <c r="V763" s="10"/>
      <c r="W763" s="10"/>
      <c r="X763" s="10"/>
      <c r="Y763" s="10"/>
      <c r="Z763" s="10"/>
    </row>
    <row r="764" spans="1:26" ht="17.25" customHeight="1" x14ac:dyDescent="0.3">
      <c r="A764" s="10" t="s">
        <v>891</v>
      </c>
      <c r="B764" s="10">
        <f t="shared" si="0"/>
        <v>13</v>
      </c>
      <c r="C764" s="8" t="str">
        <f t="shared" si="1"/>
        <v xml:space="preserve">Gouveia, L. </v>
      </c>
      <c r="D764" s="8" t="str">
        <f t="shared" si="2"/>
        <v>1996</v>
      </c>
      <c r="E764" s="10">
        <f t="shared" si="3"/>
        <v>18</v>
      </c>
      <c r="F764" s="10">
        <f t="shared" si="4"/>
        <v>43</v>
      </c>
      <c r="G764" s="8" t="str">
        <f t="shared" si="5"/>
        <v xml:space="preserve"> Apontamentos de MS-DOS. </v>
      </c>
      <c r="H764" s="10" t="str">
        <f t="shared" si="6"/>
        <v xml:space="preserve">Gouveia, L. </v>
      </c>
      <c r="I764" s="10" t="str">
        <f t="shared" si="7"/>
        <v xml:space="preserve">Gouveia, L. </v>
      </c>
      <c r="J764" s="10" t="str">
        <f t="shared" si="8"/>
        <v xml:space="preserve">Gouveia, L. </v>
      </c>
      <c r="K764" s="11" t="str">
        <f ca="1">IFERROR(__xludf.DUMMYFUNCTION("SPLIT(J764,"";"")"),"Gouveia, L. ")</f>
        <v xml:space="preserve">Gouveia, L. </v>
      </c>
      <c r="L764" s="10"/>
      <c r="M764" s="10"/>
      <c r="N764" s="10"/>
      <c r="O764" s="10"/>
      <c r="P764" s="10"/>
      <c r="Q764" s="10"/>
      <c r="R764" s="10"/>
      <c r="S764" s="10"/>
      <c r="T764" s="10"/>
      <c r="U764" s="10"/>
      <c r="V764" s="10"/>
      <c r="W764" s="10"/>
      <c r="X764" s="10"/>
      <c r="Y764" s="10"/>
      <c r="Z764" s="10"/>
    </row>
    <row r="765" spans="1:26" ht="17.25" customHeight="1" x14ac:dyDescent="0.3">
      <c r="A765" s="10" t="s">
        <v>892</v>
      </c>
      <c r="B765" s="10">
        <f t="shared" si="0"/>
        <v>13</v>
      </c>
      <c r="C765" s="8" t="str">
        <f t="shared" si="1"/>
        <v xml:space="preserve">Gouveia, L. </v>
      </c>
      <c r="D765" s="8" t="str">
        <f t="shared" si="2"/>
        <v>1995</v>
      </c>
      <c r="E765" s="10">
        <f t="shared" si="3"/>
        <v>18</v>
      </c>
      <c r="F765" s="10">
        <f t="shared" si="4"/>
        <v>53</v>
      </c>
      <c r="G765" s="8" t="str">
        <f t="shared" si="5"/>
        <v xml:space="preserve"> Gestão de projectos informáticos. </v>
      </c>
      <c r="H765" s="10" t="str">
        <f t="shared" si="6"/>
        <v xml:space="preserve">Gouveia, L. </v>
      </c>
      <c r="I765" s="10" t="str">
        <f t="shared" si="7"/>
        <v xml:space="preserve">Gouveia, L. </v>
      </c>
      <c r="J765" s="10" t="str">
        <f t="shared" si="8"/>
        <v xml:space="preserve">Gouveia, L. </v>
      </c>
      <c r="K765" s="11" t="str">
        <f ca="1">IFERROR(__xludf.DUMMYFUNCTION("SPLIT(J765,"";"")"),"Gouveia, L. ")</f>
        <v xml:space="preserve">Gouveia, L. </v>
      </c>
      <c r="L765" s="10"/>
      <c r="M765" s="10"/>
      <c r="N765" s="10"/>
      <c r="O765" s="10"/>
      <c r="P765" s="10"/>
      <c r="Q765" s="10"/>
      <c r="R765" s="10"/>
      <c r="S765" s="10"/>
      <c r="T765" s="10"/>
      <c r="U765" s="10"/>
      <c r="V765" s="10"/>
      <c r="W765" s="10"/>
      <c r="X765" s="10"/>
      <c r="Y765" s="10"/>
      <c r="Z765" s="10"/>
    </row>
    <row r="766" spans="1:26" ht="17.25" customHeight="1" x14ac:dyDescent="0.3">
      <c r="A766" s="10" t="s">
        <v>893</v>
      </c>
      <c r="B766" s="10">
        <f t="shared" si="0"/>
        <v>13</v>
      </c>
      <c r="C766" s="8" t="str">
        <f t="shared" si="1"/>
        <v xml:space="preserve">Gouveia, L. </v>
      </c>
      <c r="D766" s="8" t="str">
        <f t="shared" si="2"/>
        <v>1993</v>
      </c>
      <c r="E766" s="10">
        <f t="shared" si="3"/>
        <v>18</v>
      </c>
      <c r="F766" s="10">
        <f t="shared" si="4"/>
        <v>76</v>
      </c>
      <c r="G766" s="8" t="str">
        <f t="shared" si="5"/>
        <v xml:space="preserve"> Ambiente distribuído no UNIX e "remote procedure calls". </v>
      </c>
      <c r="H766" s="10" t="str">
        <f t="shared" si="6"/>
        <v xml:space="preserve">Gouveia, L. </v>
      </c>
      <c r="I766" s="10" t="str">
        <f t="shared" si="7"/>
        <v xml:space="preserve">Gouveia, L. </v>
      </c>
      <c r="J766" s="10" t="str">
        <f t="shared" si="8"/>
        <v xml:space="preserve">Gouveia, L. </v>
      </c>
      <c r="K766" s="11" t="str">
        <f ca="1">IFERROR(__xludf.DUMMYFUNCTION("SPLIT(J766,"";"")"),"Gouveia, L. ")</f>
        <v xml:space="preserve">Gouveia, L. </v>
      </c>
      <c r="L766" s="10"/>
      <c r="M766" s="10"/>
      <c r="N766" s="10"/>
      <c r="O766" s="10"/>
      <c r="P766" s="10"/>
      <c r="Q766" s="10"/>
      <c r="R766" s="10"/>
      <c r="S766" s="10"/>
      <c r="T766" s="10"/>
      <c r="U766" s="10"/>
      <c r="V766" s="10"/>
      <c r="W766" s="10"/>
      <c r="X766" s="10"/>
      <c r="Y766" s="10"/>
      <c r="Z766" s="10"/>
    </row>
    <row r="767" spans="1:26" ht="17.25" customHeight="1" x14ac:dyDescent="0.3">
      <c r="A767" s="10" t="s">
        <v>894</v>
      </c>
      <c r="B767" s="10">
        <f t="shared" si="0"/>
        <v>13</v>
      </c>
      <c r="C767" s="8" t="str">
        <f t="shared" si="1"/>
        <v xml:space="preserve">Gouveia, L. </v>
      </c>
      <c r="D767" s="8" t="str">
        <f t="shared" si="2"/>
        <v>1993</v>
      </c>
      <c r="E767" s="10">
        <f t="shared" si="3"/>
        <v>18</v>
      </c>
      <c r="F767" s="10">
        <f t="shared" si="4"/>
        <v>71</v>
      </c>
      <c r="G767" s="8" t="str">
        <f t="shared" si="5"/>
        <v xml:space="preserve"> Sybase SQL Server - base de dados cliente/servidor. </v>
      </c>
      <c r="H767" s="10" t="str">
        <f t="shared" si="6"/>
        <v xml:space="preserve">Gouveia, L. </v>
      </c>
      <c r="I767" s="10" t="str">
        <f t="shared" si="7"/>
        <v xml:space="preserve">Gouveia, L. </v>
      </c>
      <c r="J767" s="10" t="str">
        <f t="shared" si="8"/>
        <v xml:space="preserve">Gouveia, L. </v>
      </c>
      <c r="K767" s="11" t="str">
        <f ca="1">IFERROR(__xludf.DUMMYFUNCTION("SPLIT(J767,"";"")"),"Gouveia, L. ")</f>
        <v xml:space="preserve">Gouveia, L. </v>
      </c>
      <c r="L767" s="10"/>
      <c r="M767" s="10"/>
      <c r="N767" s="10"/>
      <c r="O767" s="10"/>
      <c r="P767" s="10"/>
      <c r="Q767" s="10"/>
      <c r="R767" s="10"/>
      <c r="S767" s="10"/>
      <c r="T767" s="10"/>
      <c r="U767" s="10"/>
      <c r="V767" s="10"/>
      <c r="W767" s="10"/>
      <c r="X767" s="10"/>
      <c r="Y767" s="10"/>
      <c r="Z767" s="10"/>
    </row>
    <row r="768" spans="1:26" ht="17.25" customHeight="1" x14ac:dyDescent="0.3">
      <c r="A768" s="10" t="s">
        <v>895</v>
      </c>
      <c r="B768" s="10">
        <f t="shared" si="0"/>
        <v>13</v>
      </c>
      <c r="C768" s="8" t="str">
        <f t="shared" si="1"/>
        <v xml:space="preserve">Gouveia, L. </v>
      </c>
      <c r="D768" s="8" t="str">
        <f t="shared" si="2"/>
        <v>1993</v>
      </c>
      <c r="E768" s="10">
        <f t="shared" si="3"/>
        <v>18</v>
      </c>
      <c r="F768" s="10">
        <f t="shared" si="4"/>
        <v>73</v>
      </c>
      <c r="G768" s="8" t="str">
        <f t="shared" si="5"/>
        <v xml:space="preserve"> Programação em bourne shell - sistema operativo UNIX. </v>
      </c>
      <c r="H768" s="10" t="str">
        <f t="shared" si="6"/>
        <v xml:space="preserve">Gouveia, L. </v>
      </c>
      <c r="I768" s="10" t="str">
        <f t="shared" si="7"/>
        <v xml:space="preserve">Gouveia, L. </v>
      </c>
      <c r="J768" s="10" t="str">
        <f t="shared" si="8"/>
        <v xml:space="preserve">Gouveia, L. </v>
      </c>
      <c r="K768" s="11" t="str">
        <f ca="1">IFERROR(__xludf.DUMMYFUNCTION("SPLIT(J768,"";"")"),"Gouveia, L. ")</f>
        <v xml:space="preserve">Gouveia, L. </v>
      </c>
      <c r="L768" s="10"/>
      <c r="M768" s="10"/>
      <c r="N768" s="10"/>
      <c r="O768" s="10"/>
      <c r="P768" s="10"/>
      <c r="Q768" s="10"/>
      <c r="R768" s="10"/>
      <c r="S768" s="10"/>
      <c r="T768" s="10"/>
      <c r="U768" s="10"/>
      <c r="V768" s="10"/>
      <c r="W768" s="10"/>
      <c r="X768" s="10"/>
      <c r="Y768" s="10"/>
      <c r="Z768" s="10"/>
    </row>
    <row r="769" spans="1:26" ht="17.25" customHeight="1" x14ac:dyDescent="0.3">
      <c r="A769" s="10" t="s">
        <v>896</v>
      </c>
      <c r="B769" s="10">
        <f t="shared" si="0"/>
        <v>13</v>
      </c>
      <c r="C769" s="8" t="str">
        <f t="shared" si="1"/>
        <v xml:space="preserve">Gouveia, L. </v>
      </c>
      <c r="D769" s="8" t="str">
        <f t="shared" si="2"/>
        <v>1988</v>
      </c>
      <c r="E769" s="10">
        <f t="shared" si="3"/>
        <v>18</v>
      </c>
      <c r="F769" s="10">
        <f t="shared" si="4"/>
        <v>192</v>
      </c>
      <c r="G769" s="8" t="str">
        <f t="shared" si="5"/>
        <v xml:space="preserve"> Levantamento estatístico para estudo do padrão alimentar dos alunos da 4ª classe, em colaboração com o Centro de Saúde de Soares dos Reis, Rotary Club de Vila Nova de Gaia.</v>
      </c>
      <c r="H769" s="10" t="str">
        <f t="shared" si="6"/>
        <v xml:space="preserve">Gouveia, L. </v>
      </c>
      <c r="I769" s="10" t="str">
        <f t="shared" si="7"/>
        <v xml:space="preserve">Gouveia, L. </v>
      </c>
      <c r="J769" s="10" t="str">
        <f t="shared" si="8"/>
        <v xml:space="preserve">Gouveia, L. </v>
      </c>
      <c r="K769" s="11" t="str">
        <f ca="1">IFERROR(__xludf.DUMMYFUNCTION("SPLIT(J769,"";"")"),"Gouveia, L. ")</f>
        <v xml:space="preserve">Gouveia, L. </v>
      </c>
      <c r="L769" s="10"/>
      <c r="M769" s="10"/>
      <c r="N769" s="10"/>
      <c r="O769" s="10"/>
      <c r="P769" s="10"/>
      <c r="Q769" s="10"/>
      <c r="R769" s="10"/>
      <c r="S769" s="10"/>
      <c r="T769" s="10"/>
      <c r="U769" s="10"/>
      <c r="V769" s="10"/>
      <c r="W769" s="10"/>
      <c r="X769" s="10"/>
      <c r="Y769" s="10"/>
      <c r="Z769" s="10"/>
    </row>
    <row r="770" spans="1:26" ht="17.25" customHeight="1" x14ac:dyDescent="0.3">
      <c r="A770" s="10" t="s">
        <v>2</v>
      </c>
      <c r="B770" s="10" t="e">
        <f t="shared" si="0"/>
        <v>#VALUE!</v>
      </c>
      <c r="C770" s="8" t="e">
        <f t="shared" si="1"/>
        <v>#VALUE!</v>
      </c>
      <c r="D770" s="8" t="e">
        <f t="shared" si="2"/>
        <v>#VALUE!</v>
      </c>
      <c r="E770" s="10" t="e">
        <f t="shared" si="3"/>
        <v>#VALUE!</v>
      </c>
      <c r="F770" s="10" t="e">
        <f t="shared" si="4"/>
        <v>#VALUE!</v>
      </c>
      <c r="G770" s="8" t="e">
        <f t="shared" si="5"/>
        <v>#VALUE!</v>
      </c>
      <c r="H770" s="10" t="e">
        <f t="shared" si="6"/>
        <v>#VALUE!</v>
      </c>
      <c r="I770" s="10" t="e">
        <f t="shared" si="7"/>
        <v>#VALUE!</v>
      </c>
      <c r="J770" s="10" t="e">
        <f t="shared" si="8"/>
        <v>#VALUE!</v>
      </c>
      <c r="K770" s="11" t="str">
        <f ca="1">IFERROR(__xludf.DUMMYFUNCTION("SPLIT(J770,"";"")"),"#VALUE!")</f>
        <v>#VALUE!</v>
      </c>
      <c r="L770" s="10"/>
      <c r="M770" s="10"/>
      <c r="N770" s="10"/>
      <c r="O770" s="10"/>
      <c r="P770" s="10"/>
      <c r="Q770" s="10"/>
      <c r="R770" s="10"/>
      <c r="S770" s="10"/>
      <c r="T770" s="10"/>
      <c r="U770" s="10"/>
      <c r="V770" s="10"/>
      <c r="W770" s="10"/>
      <c r="X770" s="10"/>
      <c r="Y770" s="10"/>
      <c r="Z770" s="10"/>
    </row>
    <row r="771" spans="1:26" ht="17.25" customHeight="1" x14ac:dyDescent="0.3">
      <c r="A771" s="10" t="s">
        <v>3</v>
      </c>
      <c r="B771" s="10" t="e">
        <f t="shared" si="0"/>
        <v>#VALUE!</v>
      </c>
      <c r="C771" s="8" t="e">
        <f t="shared" si="1"/>
        <v>#VALUE!</v>
      </c>
      <c r="D771" s="8" t="e">
        <f t="shared" si="2"/>
        <v>#VALUE!</v>
      </c>
      <c r="E771" s="10" t="e">
        <f t="shared" si="3"/>
        <v>#VALUE!</v>
      </c>
      <c r="F771" s="10" t="e">
        <f t="shared" si="4"/>
        <v>#VALUE!</v>
      </c>
      <c r="G771" s="8" t="e">
        <f t="shared" si="5"/>
        <v>#VALUE!</v>
      </c>
      <c r="H771" s="10" t="e">
        <f t="shared" si="6"/>
        <v>#VALUE!</v>
      </c>
      <c r="I771" s="10" t="e">
        <f t="shared" si="7"/>
        <v>#VALUE!</v>
      </c>
      <c r="J771" s="10" t="e">
        <f t="shared" si="8"/>
        <v>#VALUE!</v>
      </c>
      <c r="K771" s="11" t="str">
        <f ca="1">IFERROR(__xludf.DUMMYFUNCTION("SPLIT(J771,"";"")"),"#VALUE!")</f>
        <v>#VALUE!</v>
      </c>
      <c r="L771" s="10"/>
      <c r="M771" s="10"/>
      <c r="N771" s="10"/>
      <c r="O771" s="10"/>
      <c r="P771" s="10"/>
      <c r="Q771" s="10"/>
      <c r="R771" s="10"/>
      <c r="S771" s="10"/>
      <c r="T771" s="10"/>
      <c r="U771" s="10"/>
      <c r="V771" s="10"/>
      <c r="W771" s="10"/>
      <c r="X771" s="10"/>
      <c r="Y771" s="10"/>
      <c r="Z771" s="10"/>
    </row>
    <row r="772" spans="1:26" ht="17.25" customHeight="1" x14ac:dyDescent="0.3">
      <c r="A772" s="10" t="s">
        <v>4</v>
      </c>
      <c r="B772" s="10">
        <f t="shared" si="0"/>
        <v>25</v>
      </c>
      <c r="C772" s="8" t="str">
        <f t="shared" si="1"/>
        <v xml:space="preserve">Costa, O. e Gouveia, L. </v>
      </c>
      <c r="D772" s="8" t="str">
        <f t="shared" si="2"/>
        <v>2020</v>
      </c>
      <c r="E772" s="10">
        <f t="shared" si="3"/>
        <v>30</v>
      </c>
      <c r="F772" s="10">
        <f t="shared" si="4"/>
        <v>84</v>
      </c>
      <c r="G772" s="8" t="str">
        <f t="shared" si="5"/>
        <v xml:space="preserve"> Educação Superior a Distância nas Regiões do Brasil. </v>
      </c>
      <c r="H772" s="10" t="str">
        <f t="shared" si="6"/>
        <v xml:space="preserve">Costa, O. e Gouveia, L. </v>
      </c>
      <c r="I772" s="10" t="str">
        <f t="shared" si="7"/>
        <v xml:space="preserve">Costa, O. e Gouveia, L. </v>
      </c>
      <c r="J772" s="10" t="str">
        <f t="shared" si="8"/>
        <v xml:space="preserve">Costa, O.;Gouveia, L. </v>
      </c>
      <c r="K772" s="11" t="str">
        <f ca="1">IFERROR(__xludf.DUMMYFUNCTION("SPLIT(J772,"";"")"),"Costa, O.")</f>
        <v>Costa, O.</v>
      </c>
      <c r="L772" s="10" t="str">
        <f ca="1">IFERROR(__xludf.DUMMYFUNCTION("""COMPUTED_VALUE"""),"Gouveia, L. ")</f>
        <v xml:space="preserve">Gouveia, L. </v>
      </c>
      <c r="M772" s="10"/>
      <c r="N772" s="10"/>
      <c r="O772" s="10"/>
      <c r="P772" s="10"/>
      <c r="Q772" s="10"/>
      <c r="R772" s="10"/>
      <c r="S772" s="10"/>
      <c r="T772" s="10"/>
      <c r="U772" s="10"/>
      <c r="V772" s="10"/>
      <c r="W772" s="10"/>
      <c r="X772" s="10"/>
      <c r="Y772" s="10"/>
      <c r="Z772" s="10"/>
    </row>
    <row r="773" spans="1:26" ht="17.25" customHeight="1" x14ac:dyDescent="0.3">
      <c r="A773" s="10" t="s">
        <v>5</v>
      </c>
      <c r="B773" s="10">
        <f t="shared" si="0"/>
        <v>35</v>
      </c>
      <c r="C773" s="8" t="str">
        <f t="shared" si="1"/>
        <v xml:space="preserve">Lopes, S.; Gouveia, L. e Reis, P. </v>
      </c>
      <c r="D773" s="8" t="str">
        <f t="shared" si="2"/>
        <v>2020</v>
      </c>
      <c r="E773" s="10">
        <f t="shared" si="3"/>
        <v>40</v>
      </c>
      <c r="F773" s="10">
        <f t="shared" si="4"/>
        <v>163</v>
      </c>
      <c r="G773" s="8" t="str">
        <f t="shared" si="5"/>
        <v xml:space="preserve"> A metodologia de ensino b-learning e a abordagem da sala de aula invertida (flipped classroom): resultados experimentais. </v>
      </c>
      <c r="H773" s="10" t="str">
        <f t="shared" si="6"/>
        <v xml:space="preserve">Lopes, S.; Gouveia, L. e Reis, P. </v>
      </c>
      <c r="I773" s="10" t="str">
        <f t="shared" si="7"/>
        <v xml:space="preserve">Lopes, S.; Gouveia, L. e Reis, P. </v>
      </c>
      <c r="J773" s="10" t="str">
        <f t="shared" si="8"/>
        <v xml:space="preserve">Lopes, S.; Gouveia, L.;Reis, P. </v>
      </c>
      <c r="K773" s="11" t="str">
        <f ca="1">IFERROR(__xludf.DUMMYFUNCTION("SPLIT(J773,"";"")"),"Lopes, S.")</f>
        <v>Lopes, S.</v>
      </c>
      <c r="L773" s="10" t="str">
        <f ca="1">IFERROR(__xludf.DUMMYFUNCTION("""COMPUTED_VALUE""")," Gouveia, L.")</f>
        <v xml:space="preserve"> Gouveia, L.</v>
      </c>
      <c r="M773" s="10" t="str">
        <f ca="1">IFERROR(__xludf.DUMMYFUNCTION("""COMPUTED_VALUE"""),"Reis, P. ")</f>
        <v xml:space="preserve">Reis, P. </v>
      </c>
      <c r="N773" s="10"/>
      <c r="O773" s="10"/>
      <c r="P773" s="10"/>
      <c r="Q773" s="10"/>
      <c r="R773" s="10"/>
      <c r="S773" s="10"/>
      <c r="T773" s="10"/>
      <c r="U773" s="10"/>
      <c r="V773" s="10"/>
      <c r="W773" s="10"/>
      <c r="X773" s="10"/>
      <c r="Y773" s="10"/>
      <c r="Z773" s="10"/>
    </row>
    <row r="774" spans="1:26" ht="17.25" customHeight="1" x14ac:dyDescent="0.3">
      <c r="A774" s="10" t="s">
        <v>6</v>
      </c>
      <c r="B774" s="10">
        <f t="shared" si="0"/>
        <v>27</v>
      </c>
      <c r="C774" s="8" t="str">
        <f t="shared" si="1"/>
        <v xml:space="preserve">Martins, E. e Gouveia, L. </v>
      </c>
      <c r="D774" s="8" t="str">
        <f t="shared" si="2"/>
        <v>2019</v>
      </c>
      <c r="E774" s="10">
        <f t="shared" si="3"/>
        <v>32</v>
      </c>
      <c r="F774" s="10">
        <f t="shared" si="4"/>
        <v>148</v>
      </c>
      <c r="G774" s="8" t="str">
        <f t="shared" si="5"/>
        <v xml:space="preserve"> Modelo Pedagógico de M-Learning em Sala de Aula Invertida (MLSAI): Reflexões Sobre o Uso de Recursos Tecnológicos. </v>
      </c>
      <c r="H774" s="10" t="str">
        <f t="shared" si="6"/>
        <v xml:space="preserve">Martins, E. e Gouveia, L. </v>
      </c>
      <c r="I774" s="10" t="str">
        <f t="shared" si="7"/>
        <v xml:space="preserve">Martins, E. e Gouveia, L. </v>
      </c>
      <c r="J774" s="10" t="str">
        <f t="shared" si="8"/>
        <v xml:space="preserve">Martins, E.;Gouveia, L. </v>
      </c>
      <c r="K774" s="11" t="str">
        <f ca="1">IFERROR(__xludf.DUMMYFUNCTION("SPLIT(J774,"";"")"),"Martins, E.")</f>
        <v>Martins, E.</v>
      </c>
      <c r="L774" s="10" t="str">
        <f ca="1">IFERROR(__xludf.DUMMYFUNCTION("""COMPUTED_VALUE"""),"Gouveia, L. ")</f>
        <v xml:space="preserve">Gouveia, L. </v>
      </c>
      <c r="M774" s="10"/>
      <c r="N774" s="10"/>
      <c r="O774" s="10"/>
      <c r="P774" s="10"/>
      <c r="Q774" s="10"/>
      <c r="R774" s="10"/>
      <c r="S774" s="10"/>
      <c r="T774" s="10"/>
      <c r="U774" s="10"/>
      <c r="V774" s="10"/>
      <c r="W774" s="10"/>
      <c r="X774" s="10"/>
      <c r="Y774" s="10"/>
      <c r="Z774" s="10"/>
    </row>
    <row r="775" spans="1:26" ht="17.25" customHeight="1" x14ac:dyDescent="0.3">
      <c r="A775" s="10" t="s">
        <v>7</v>
      </c>
      <c r="B775" s="10">
        <f t="shared" si="0"/>
        <v>24</v>
      </c>
      <c r="C775" s="8" t="str">
        <f t="shared" si="1"/>
        <v xml:space="preserve">Pinho, M.; Gouveia, L. </v>
      </c>
      <c r="D775" s="8" t="str">
        <f t="shared" si="2"/>
        <v>2019</v>
      </c>
      <c r="E775" s="10">
        <f t="shared" si="3"/>
        <v>29</v>
      </c>
      <c r="F775" s="10">
        <f t="shared" si="4"/>
        <v>119</v>
      </c>
      <c r="G775" s="8" t="str">
        <f t="shared" si="5"/>
        <v xml:space="preserve"> O uso do Governo Digital pelo controle social no combate à corrupção pública brasileira. </v>
      </c>
      <c r="H775" s="10" t="str">
        <f t="shared" si="6"/>
        <v xml:space="preserve">Pinho, M.; Gouveia, L. </v>
      </c>
      <c r="I775" s="10" t="str">
        <f t="shared" si="7"/>
        <v xml:space="preserve">Pinho, M.; Gouveia, L. </v>
      </c>
      <c r="J775" s="10" t="str">
        <f t="shared" si="8"/>
        <v xml:space="preserve">Pinho, M.; Gouveia, L. </v>
      </c>
      <c r="K775" s="11" t="str">
        <f ca="1">IFERROR(__xludf.DUMMYFUNCTION("SPLIT(J775,"";"")"),"Pinho, M.")</f>
        <v>Pinho, M.</v>
      </c>
      <c r="L775" s="10" t="str">
        <f ca="1">IFERROR(__xludf.DUMMYFUNCTION("""COMPUTED_VALUE""")," Gouveia, L. ")</f>
        <v xml:space="preserve"> Gouveia, L. </v>
      </c>
      <c r="M775" s="10"/>
      <c r="N775" s="10"/>
      <c r="O775" s="10"/>
      <c r="P775" s="10"/>
      <c r="Q775" s="10"/>
      <c r="R775" s="10"/>
      <c r="S775" s="10"/>
      <c r="T775" s="10"/>
      <c r="U775" s="10"/>
      <c r="V775" s="10"/>
      <c r="W775" s="10"/>
      <c r="X775" s="10"/>
      <c r="Y775" s="10"/>
      <c r="Z775" s="10"/>
    </row>
    <row r="776" spans="1:26" ht="17.25" customHeight="1" x14ac:dyDescent="0.3">
      <c r="A776" s="10" t="s">
        <v>8</v>
      </c>
      <c r="B776" s="10">
        <f t="shared" si="0"/>
        <v>30</v>
      </c>
      <c r="C776" s="8" t="str">
        <f t="shared" si="1"/>
        <v xml:space="preserve">Oliveira, M. and Gouveia, L. </v>
      </c>
      <c r="D776" s="8" t="str">
        <f t="shared" si="2"/>
        <v>2019</v>
      </c>
      <c r="E776" s="10">
        <f t="shared" si="3"/>
        <v>35</v>
      </c>
      <c r="F776" s="10">
        <f t="shared" si="4"/>
        <v>191</v>
      </c>
      <c r="G776" s="8" t="str">
        <f t="shared" si="5"/>
        <v xml:space="preserve"> The characterization of population displacement for early diagnosis of osteoporosis: a study on the performance of X-ray and DXA exams in northern Brazil. </v>
      </c>
      <c r="H776" s="10" t="str">
        <f t="shared" si="6"/>
        <v xml:space="preserve">Oliveira, M. ; Gouveia, L. </v>
      </c>
      <c r="I776" s="10" t="str">
        <f t="shared" si="7"/>
        <v xml:space="preserve">Oliveira, M. ; Gouveia, L. </v>
      </c>
      <c r="J776" s="10" t="str">
        <f t="shared" si="8"/>
        <v xml:space="preserve">Oliveira, M. ; Gouveia, L. </v>
      </c>
      <c r="K776" s="11" t="str">
        <f ca="1">IFERROR(__xludf.DUMMYFUNCTION("SPLIT(J776,"";"")"),"Oliveira, M. ")</f>
        <v xml:space="preserve">Oliveira, M. </v>
      </c>
      <c r="L776" s="10" t="str">
        <f ca="1">IFERROR(__xludf.DUMMYFUNCTION("""COMPUTED_VALUE""")," Gouveia, L. ")</f>
        <v xml:space="preserve"> Gouveia, L. </v>
      </c>
      <c r="M776" s="10"/>
      <c r="N776" s="10"/>
      <c r="O776" s="10"/>
      <c r="P776" s="10"/>
      <c r="Q776" s="10"/>
      <c r="R776" s="10"/>
      <c r="S776" s="10"/>
      <c r="T776" s="10"/>
      <c r="U776" s="10"/>
      <c r="V776" s="10"/>
      <c r="W776" s="10"/>
      <c r="X776" s="10"/>
      <c r="Y776" s="10"/>
      <c r="Z776" s="10"/>
    </row>
    <row r="777" spans="1:26" ht="17.25" customHeight="1" x14ac:dyDescent="0.3">
      <c r="A777" s="10" t="s">
        <v>9</v>
      </c>
      <c r="B777" s="10">
        <f t="shared" si="0"/>
        <v>24</v>
      </c>
      <c r="C777" s="8" t="str">
        <f t="shared" si="1"/>
        <v xml:space="preserve">Toso, R. e Gouveia, L. </v>
      </c>
      <c r="D777" s="8" t="str">
        <f t="shared" si="2"/>
        <v>2019</v>
      </c>
      <c r="E777" s="10">
        <f t="shared" si="3"/>
        <v>29</v>
      </c>
      <c r="F777" s="10">
        <f t="shared" si="4"/>
        <v>128</v>
      </c>
      <c r="G777" s="8" t="str">
        <f t="shared" si="5"/>
        <v xml:space="preserve"> Active methodologies with the use of integrated mock-ups to the teaching of the logistic subject. </v>
      </c>
      <c r="H777" s="10" t="str">
        <f t="shared" si="6"/>
        <v xml:space="preserve">Toso, R. e Gouveia, L. </v>
      </c>
      <c r="I777" s="10" t="str">
        <f t="shared" si="7"/>
        <v xml:space="preserve">Toso, R. e Gouveia, L. </v>
      </c>
      <c r="J777" s="10" t="str">
        <f t="shared" si="8"/>
        <v xml:space="preserve">Toso, R.;Gouveia, L. </v>
      </c>
      <c r="K777" s="11" t="str">
        <f ca="1">IFERROR(__xludf.DUMMYFUNCTION("SPLIT(J777,"";"")"),"Toso, R.")</f>
        <v>Toso, R.</v>
      </c>
      <c r="L777" s="10" t="str">
        <f ca="1">IFERROR(__xludf.DUMMYFUNCTION("""COMPUTED_VALUE"""),"Gouveia, L. ")</f>
        <v xml:space="preserve">Gouveia, L. </v>
      </c>
      <c r="M777" s="10"/>
      <c r="N777" s="10"/>
      <c r="O777" s="10"/>
      <c r="P777" s="10"/>
      <c r="Q777" s="10"/>
      <c r="R777" s="10"/>
      <c r="S777" s="10"/>
      <c r="T777" s="10"/>
      <c r="U777" s="10"/>
      <c r="V777" s="10"/>
      <c r="W777" s="10"/>
      <c r="X777" s="10"/>
      <c r="Y777" s="10"/>
      <c r="Z777" s="10"/>
    </row>
    <row r="778" spans="1:26" ht="17.25" customHeight="1" x14ac:dyDescent="0.3">
      <c r="A778" s="10" t="s">
        <v>10</v>
      </c>
      <c r="B778" s="10">
        <f t="shared" si="0"/>
        <v>35</v>
      </c>
      <c r="C778" s="8" t="str">
        <f t="shared" si="1"/>
        <v xml:space="preserve">Lopes, S.; Gouveia, L. e Reis, P. </v>
      </c>
      <c r="D778" s="8" t="str">
        <f t="shared" si="2"/>
        <v>2019</v>
      </c>
      <c r="E778" s="10">
        <f t="shared" si="3"/>
        <v>40</v>
      </c>
      <c r="F778" s="10">
        <f t="shared" si="4"/>
        <v>152</v>
      </c>
      <c r="G778" s="8" t="str">
        <f t="shared" si="5"/>
        <v xml:space="preserve"> O método MaCAIES: uma proposta metodológica para a implementação da sala de aula invertida no Ensino Superior. </v>
      </c>
      <c r="H778" s="10" t="str">
        <f t="shared" si="6"/>
        <v xml:space="preserve">Lopes, S.; Gouveia, L. e Reis, P. </v>
      </c>
      <c r="I778" s="10" t="str">
        <f t="shared" si="7"/>
        <v xml:space="preserve">Lopes, S.; Gouveia, L. e Reis, P. </v>
      </c>
      <c r="J778" s="10" t="str">
        <f t="shared" si="8"/>
        <v xml:space="preserve">Lopes, S.; Gouveia, L.;Reis, P. </v>
      </c>
      <c r="K778" s="11" t="str">
        <f ca="1">IFERROR(__xludf.DUMMYFUNCTION("SPLIT(J778,"";"")"),"Lopes, S.")</f>
        <v>Lopes, S.</v>
      </c>
      <c r="L778" s="10" t="str">
        <f ca="1">IFERROR(__xludf.DUMMYFUNCTION("""COMPUTED_VALUE""")," Gouveia, L.")</f>
        <v xml:space="preserve"> Gouveia, L.</v>
      </c>
      <c r="M778" s="10" t="str">
        <f ca="1">IFERROR(__xludf.DUMMYFUNCTION("""COMPUTED_VALUE"""),"Reis, P. ")</f>
        <v xml:space="preserve">Reis, P. </v>
      </c>
      <c r="N778" s="10"/>
      <c r="O778" s="10"/>
      <c r="P778" s="10"/>
      <c r="Q778" s="10"/>
      <c r="R778" s="10"/>
      <c r="S778" s="10"/>
      <c r="T778" s="10"/>
      <c r="U778" s="10"/>
      <c r="V778" s="10"/>
      <c r="W778" s="10"/>
      <c r="X778" s="10"/>
      <c r="Y778" s="10"/>
      <c r="Z778" s="10"/>
    </row>
    <row r="779" spans="1:26" ht="17.25" customHeight="1" x14ac:dyDescent="0.3">
      <c r="A779" s="10" t="s">
        <v>12</v>
      </c>
      <c r="B779" s="10">
        <f t="shared" si="0"/>
        <v>29</v>
      </c>
      <c r="C779" s="8" t="str">
        <f t="shared" si="1"/>
        <v xml:space="preserve">Martins, E. R.; Gouveia, L. </v>
      </c>
      <c r="D779" s="8" t="str">
        <f t="shared" si="2"/>
        <v>2019</v>
      </c>
      <c r="E779" s="10">
        <f t="shared" si="3"/>
        <v>34</v>
      </c>
      <c r="F779" s="10">
        <f t="shared" si="4"/>
        <v>138</v>
      </c>
      <c r="G779" s="8" t="str">
        <f t="shared" si="5"/>
        <v xml:space="preserve"> ML-SAI: Modelo pedagógico fundamentado na sala de aula invertida destinado a atividades de m-learning. </v>
      </c>
      <c r="H779" s="10" t="str">
        <f t="shared" si="6"/>
        <v xml:space="preserve">Martins, E. R.; Gouveia, L. </v>
      </c>
      <c r="I779" s="10" t="str">
        <f t="shared" si="7"/>
        <v xml:space="preserve">Martins, E. R.; Gouveia, L. </v>
      </c>
      <c r="J779" s="10" t="str">
        <f t="shared" si="8"/>
        <v xml:space="preserve">Martins, E. R.; Gouveia, L. </v>
      </c>
      <c r="K779" s="11" t="str">
        <f ca="1">IFERROR(__xludf.DUMMYFUNCTION("SPLIT(J779,"";"")"),"Martins, E. R.")</f>
        <v>Martins, E. R.</v>
      </c>
      <c r="L779" s="10" t="str">
        <f ca="1">IFERROR(__xludf.DUMMYFUNCTION("""COMPUTED_VALUE""")," Gouveia, L. ")</f>
        <v xml:space="preserve"> Gouveia, L. </v>
      </c>
      <c r="M779" s="10"/>
      <c r="N779" s="10"/>
      <c r="O779" s="10"/>
      <c r="P779" s="10"/>
      <c r="Q779" s="10"/>
      <c r="R779" s="10"/>
      <c r="S779" s="10"/>
      <c r="T779" s="10"/>
      <c r="U779" s="10"/>
      <c r="V779" s="10"/>
      <c r="W779" s="10"/>
      <c r="X779" s="10"/>
      <c r="Y779" s="10"/>
      <c r="Z779" s="10"/>
    </row>
    <row r="780" spans="1:26" ht="17.25" customHeight="1" x14ac:dyDescent="0.3">
      <c r="A780" s="10" t="s">
        <v>13</v>
      </c>
      <c r="B780" s="10">
        <f t="shared" si="0"/>
        <v>29</v>
      </c>
      <c r="C780" s="8" t="str">
        <f t="shared" si="1"/>
        <v xml:space="preserve">Martins, E. R.; Gouveia, L. </v>
      </c>
      <c r="D780" s="8" t="str">
        <f t="shared" si="2"/>
        <v>2019</v>
      </c>
      <c r="E780" s="10">
        <f t="shared" si="3"/>
        <v>34</v>
      </c>
      <c r="F780" s="10">
        <f t="shared" si="4"/>
        <v>106</v>
      </c>
      <c r="G780" s="8" t="str">
        <f t="shared" si="5"/>
        <v xml:space="preserve"> Modelo pedagógico ML-SAI: reflexões sobre as abordagens metodológicas. </v>
      </c>
      <c r="H780" s="10" t="str">
        <f t="shared" si="6"/>
        <v xml:space="preserve">Martins, E. R.; Gouveia, L. </v>
      </c>
      <c r="I780" s="10" t="str">
        <f t="shared" si="7"/>
        <v xml:space="preserve">Martins, E. R.; Gouveia, L. </v>
      </c>
      <c r="J780" s="10" t="str">
        <f t="shared" si="8"/>
        <v xml:space="preserve">Martins, E. R.; Gouveia, L. </v>
      </c>
      <c r="K780" s="11" t="str">
        <f ca="1">IFERROR(__xludf.DUMMYFUNCTION("SPLIT(J780,"";"")"),"Martins, E. R.")</f>
        <v>Martins, E. R.</v>
      </c>
      <c r="L780" s="10" t="str">
        <f ca="1">IFERROR(__xludf.DUMMYFUNCTION("""COMPUTED_VALUE""")," Gouveia, L. ")</f>
        <v xml:space="preserve"> Gouveia, L. </v>
      </c>
      <c r="M780" s="10"/>
      <c r="N780" s="10"/>
      <c r="O780" s="10"/>
      <c r="P780" s="10"/>
      <c r="Q780" s="10"/>
      <c r="R780" s="10"/>
      <c r="S780" s="10"/>
      <c r="T780" s="10"/>
      <c r="U780" s="10"/>
      <c r="V780" s="10"/>
      <c r="W780" s="10"/>
      <c r="X780" s="10"/>
      <c r="Y780" s="10"/>
      <c r="Z780" s="10"/>
    </row>
    <row r="781" spans="1:26" ht="17.25" customHeight="1" x14ac:dyDescent="0.3">
      <c r="A781" s="10" t="s">
        <v>14</v>
      </c>
      <c r="B781" s="10">
        <f t="shared" si="0"/>
        <v>35</v>
      </c>
      <c r="C781" s="8" t="str">
        <f t="shared" si="1"/>
        <v xml:space="preserve">Lopes, S.; Gouveia, L. e Reis, P. </v>
      </c>
      <c r="D781" s="8" t="str">
        <f t="shared" si="2"/>
        <v>2019</v>
      </c>
      <c r="E781" s="10">
        <f t="shared" si="3"/>
        <v>40</v>
      </c>
      <c r="F781" s="10">
        <f t="shared" si="4"/>
        <v>86</v>
      </c>
      <c r="G781" s="8" t="str">
        <f t="shared" si="5"/>
        <v xml:space="preserve"> The Flipped Classroom and Higher Education . </v>
      </c>
      <c r="H781" s="10" t="str">
        <f t="shared" si="6"/>
        <v xml:space="preserve">Lopes, S.; Gouveia, L. e Reis, P. </v>
      </c>
      <c r="I781" s="10" t="str">
        <f t="shared" si="7"/>
        <v xml:space="preserve">Lopes, S.; Gouveia, L. e Reis, P. </v>
      </c>
      <c r="J781" s="10" t="str">
        <f t="shared" si="8"/>
        <v xml:space="preserve">Lopes, S.; Gouveia, L.;Reis, P. </v>
      </c>
      <c r="K781" s="11" t="str">
        <f ca="1">IFERROR(__xludf.DUMMYFUNCTION("SPLIT(J781,"";"")"),"Lopes, S.")</f>
        <v>Lopes, S.</v>
      </c>
      <c r="L781" s="10" t="str">
        <f ca="1">IFERROR(__xludf.DUMMYFUNCTION("""COMPUTED_VALUE""")," Gouveia, L.")</f>
        <v xml:space="preserve"> Gouveia, L.</v>
      </c>
      <c r="M781" s="10" t="str">
        <f ca="1">IFERROR(__xludf.DUMMYFUNCTION("""COMPUTED_VALUE"""),"Reis, P. ")</f>
        <v xml:space="preserve">Reis, P. </v>
      </c>
      <c r="N781" s="10"/>
      <c r="O781" s="10"/>
      <c r="P781" s="10"/>
      <c r="Q781" s="10"/>
      <c r="R781" s="10"/>
      <c r="S781" s="10"/>
      <c r="T781" s="10"/>
      <c r="U781" s="10"/>
      <c r="V781" s="10"/>
      <c r="W781" s="10"/>
      <c r="X781" s="10"/>
      <c r="Y781" s="10"/>
      <c r="Z781" s="10"/>
    </row>
    <row r="782" spans="1:26" ht="17.25" customHeight="1" x14ac:dyDescent="0.3">
      <c r="A782" s="10" t="s">
        <v>15</v>
      </c>
      <c r="B782" s="10">
        <f t="shared" si="0"/>
        <v>26</v>
      </c>
      <c r="C782" s="8" t="str">
        <f t="shared" si="1"/>
        <v>Martins, E e Gouveia, L. </v>
      </c>
      <c r="D782" s="8" t="str">
        <f t="shared" si="2"/>
        <v>2020</v>
      </c>
      <c r="E782" s="10">
        <f t="shared" si="3"/>
        <v>31</v>
      </c>
      <c r="F782" s="10">
        <f t="shared" si="4"/>
        <v>90</v>
      </c>
      <c r="G782" s="8" t="str">
        <f t="shared" si="5"/>
        <v xml:space="preserve"> Benefícios e Desafios do Uso do Modelo Pedagógico ML-SAI. </v>
      </c>
      <c r="H782" s="10" t="str">
        <f t="shared" si="6"/>
        <v>Martins, E e Gouveia, L. </v>
      </c>
      <c r="I782" s="10" t="str">
        <f t="shared" si="7"/>
        <v>Martins, E e Gouveia, L. </v>
      </c>
      <c r="J782" s="10" t="str">
        <f t="shared" si="8"/>
        <v>Martins, E;Gouveia, L. </v>
      </c>
      <c r="K782" s="11" t="str">
        <f ca="1">IFERROR(__xludf.DUMMYFUNCTION("SPLIT(J782,"";"")"),"Martins, E")</f>
        <v>Martins, E</v>
      </c>
      <c r="L782" s="10" t="str">
        <f ca="1">IFERROR(__xludf.DUMMYFUNCTION("""COMPUTED_VALUE"""),"Gouveia, L. ")</f>
        <v>Gouveia, L. </v>
      </c>
      <c r="M782" s="10"/>
      <c r="N782" s="10"/>
      <c r="O782" s="10"/>
      <c r="P782" s="10"/>
      <c r="Q782" s="10"/>
      <c r="R782" s="10"/>
      <c r="S782" s="10"/>
      <c r="T782" s="10"/>
      <c r="U782" s="10"/>
      <c r="V782" s="10"/>
      <c r="W782" s="10"/>
      <c r="X782" s="10"/>
      <c r="Y782" s="10"/>
      <c r="Z782" s="10"/>
    </row>
    <row r="783" spans="1:26" ht="17.25" customHeight="1" x14ac:dyDescent="0.3">
      <c r="A783" s="10" t="s">
        <v>16</v>
      </c>
      <c r="B783" s="10">
        <f t="shared" si="0"/>
        <v>26</v>
      </c>
      <c r="C783" s="8" t="str">
        <f t="shared" si="1"/>
        <v>Martins, E e Gouveia, L. </v>
      </c>
      <c r="D783" s="8" t="str">
        <f t="shared" si="2"/>
        <v>2019</v>
      </c>
      <c r="E783" s="10">
        <f t="shared" si="3"/>
        <v>31</v>
      </c>
      <c r="F783" s="10">
        <f t="shared" si="4"/>
        <v>110</v>
      </c>
      <c r="G783" s="8" t="str">
        <f t="shared" si="5"/>
        <v xml:space="preserve"> Evolução da construção de um modelo pedagógico para atividades de m-learning. </v>
      </c>
      <c r="H783" s="10" t="str">
        <f t="shared" si="6"/>
        <v>Martins, E e Gouveia, L. </v>
      </c>
      <c r="I783" s="10" t="str">
        <f t="shared" si="7"/>
        <v>Martins, E e Gouveia, L. </v>
      </c>
      <c r="J783" s="10" t="str">
        <f t="shared" si="8"/>
        <v>Martins, E;Gouveia, L. </v>
      </c>
      <c r="K783" s="11" t="str">
        <f ca="1">IFERROR(__xludf.DUMMYFUNCTION("SPLIT(J783,"";"")"),"Martins, E")</f>
        <v>Martins, E</v>
      </c>
      <c r="L783" s="10" t="str">
        <f ca="1">IFERROR(__xludf.DUMMYFUNCTION("""COMPUTED_VALUE"""),"Gouveia, L. ")</f>
        <v>Gouveia, L. </v>
      </c>
      <c r="M783" s="10"/>
      <c r="N783" s="10"/>
      <c r="O783" s="10"/>
      <c r="P783" s="10"/>
      <c r="Q783" s="10"/>
      <c r="R783" s="10"/>
      <c r="S783" s="10"/>
      <c r="T783" s="10"/>
      <c r="U783" s="10"/>
      <c r="V783" s="10"/>
      <c r="W783" s="10"/>
      <c r="X783" s="10"/>
      <c r="Y783" s="10"/>
      <c r="Z783" s="10"/>
    </row>
    <row r="784" spans="1:26" ht="17.25" customHeight="1" x14ac:dyDescent="0.3">
      <c r="A784" s="10" t="s">
        <v>18</v>
      </c>
      <c r="B784" s="10">
        <f t="shared" si="0"/>
        <v>27</v>
      </c>
      <c r="C784" s="8" t="str">
        <f t="shared" si="1"/>
        <v xml:space="preserve">Martins, E. e Gouveia, L. </v>
      </c>
      <c r="D784" s="8" t="str">
        <f t="shared" si="2"/>
        <v>2019</v>
      </c>
      <c r="E784" s="10">
        <f t="shared" si="3"/>
        <v>32</v>
      </c>
      <c r="F784" s="10">
        <f t="shared" si="4"/>
        <v>134</v>
      </c>
      <c r="G784" s="8" t="str">
        <f t="shared" si="5"/>
        <v xml:space="preserve"> Aprendizagem Móvel com a Tecnologia Educacional Kahoot: Uma Discussão da Perspectiva dos Aprendizes. </v>
      </c>
      <c r="H784" s="10" t="str">
        <f t="shared" si="6"/>
        <v xml:space="preserve">Martins, E. e Gouveia, L. </v>
      </c>
      <c r="I784" s="10" t="str">
        <f t="shared" si="7"/>
        <v xml:space="preserve">Martins, E. e Gouveia, L. </v>
      </c>
      <c r="J784" s="10" t="str">
        <f t="shared" si="8"/>
        <v xml:space="preserve">Martins, E.;Gouveia, L. </v>
      </c>
      <c r="K784" s="11" t="str">
        <f ca="1">IFERROR(__xludf.DUMMYFUNCTION("SPLIT(J784,"";"")"),"Martins, E.")</f>
        <v>Martins, E.</v>
      </c>
      <c r="L784" s="10" t="str">
        <f ca="1">IFERROR(__xludf.DUMMYFUNCTION("""COMPUTED_VALUE"""),"Gouveia, L. ")</f>
        <v xml:space="preserve">Gouveia, L. </v>
      </c>
      <c r="M784" s="10"/>
      <c r="N784" s="10"/>
      <c r="O784" s="10"/>
      <c r="P784" s="10"/>
      <c r="Q784" s="10"/>
      <c r="R784" s="10"/>
      <c r="S784" s="10"/>
      <c r="T784" s="10"/>
      <c r="U784" s="10"/>
      <c r="V784" s="10"/>
      <c r="W784" s="10"/>
      <c r="X784" s="10"/>
      <c r="Y784" s="10"/>
      <c r="Z784" s="10"/>
    </row>
    <row r="785" spans="1:26" ht="17.25" customHeight="1" x14ac:dyDescent="0.3">
      <c r="A785" s="10" t="s">
        <v>19</v>
      </c>
      <c r="B785" s="10">
        <f t="shared" si="0"/>
        <v>39</v>
      </c>
      <c r="C785" s="8" t="str">
        <f t="shared" si="1"/>
        <v xml:space="preserve">Gouveia, L.; Mançu, R. e Cordeiro, S. </v>
      </c>
      <c r="D785" s="8" t="str">
        <f t="shared" si="2"/>
        <v>2019</v>
      </c>
      <c r="E785" s="10">
        <f t="shared" si="3"/>
        <v>44</v>
      </c>
      <c r="F785" s="10">
        <f t="shared" si="4"/>
        <v>212</v>
      </c>
      <c r="G785" s="8" t="str">
        <f t="shared" si="5"/>
        <v xml:space="preserve"> Proposed Integration of the Technical Regulations of Systems of Management of Operational Safety and Structural Integrity of Facilities, defined by the ANP of Brazil. </v>
      </c>
      <c r="H785" s="10" t="str">
        <f t="shared" si="6"/>
        <v xml:space="preserve">Gouveia, L.; Mançu, R. e Cordeiro, S. </v>
      </c>
      <c r="I785" s="10" t="str">
        <f t="shared" si="7"/>
        <v xml:space="preserve">Gouveia, L.; Mançu, R. e Cordeiro, S. </v>
      </c>
      <c r="J785" s="10" t="str">
        <f t="shared" si="8"/>
        <v xml:space="preserve">Gouveia, L.; Mançu, R.;Cordeiro, S. </v>
      </c>
      <c r="K785" s="11" t="str">
        <f ca="1">IFERROR(__xludf.DUMMYFUNCTION("SPLIT(J785,"";"")"),"Gouveia, L.")</f>
        <v>Gouveia, L.</v>
      </c>
      <c r="L785" s="10" t="str">
        <f ca="1">IFERROR(__xludf.DUMMYFUNCTION("""COMPUTED_VALUE""")," Mançu, R.")</f>
        <v xml:space="preserve"> Mançu, R.</v>
      </c>
      <c r="M785" s="10" t="str">
        <f ca="1">IFERROR(__xludf.DUMMYFUNCTION("""COMPUTED_VALUE"""),"Cordeiro, S. ")</f>
        <v xml:space="preserve">Cordeiro, S. </v>
      </c>
      <c r="N785" s="10"/>
      <c r="O785" s="10"/>
      <c r="P785" s="10"/>
      <c r="Q785" s="10"/>
      <c r="R785" s="10"/>
      <c r="S785" s="10"/>
      <c r="T785" s="10"/>
      <c r="U785" s="10"/>
      <c r="V785" s="10"/>
      <c r="W785" s="10"/>
      <c r="X785" s="10"/>
      <c r="Y785" s="10"/>
      <c r="Z785" s="10"/>
    </row>
    <row r="786" spans="1:26" ht="17.25" customHeight="1" x14ac:dyDescent="0.3">
      <c r="A786" s="10" t="s">
        <v>21</v>
      </c>
      <c r="B786" s="10">
        <f t="shared" si="0"/>
        <v>28</v>
      </c>
      <c r="C786" s="8" t="str">
        <f t="shared" si="1"/>
        <v xml:space="preserve">Martins E. and Gouveia, L. </v>
      </c>
      <c r="D786" s="8" t="str">
        <f t="shared" si="2"/>
        <v>2019</v>
      </c>
      <c r="E786" s="10">
        <f t="shared" si="3"/>
        <v>33</v>
      </c>
      <c r="F786" s="10">
        <f t="shared" si="4"/>
        <v>127</v>
      </c>
      <c r="G786" s="8" t="str">
        <f t="shared" si="5"/>
        <v xml:space="preserve"> Production of Dissertations and Theses on Mobile Learning in Brazilian Postgraduate Courses. </v>
      </c>
      <c r="H786" s="10" t="str">
        <f t="shared" si="6"/>
        <v xml:space="preserve">Martins E. ; Gouveia, L. </v>
      </c>
      <c r="I786" s="10" t="str">
        <f t="shared" si="7"/>
        <v xml:space="preserve">Martins E. ; Gouveia, L. </v>
      </c>
      <c r="J786" s="10" t="str">
        <f t="shared" si="8"/>
        <v xml:space="preserve">Martins E. ; Gouveia, L. </v>
      </c>
      <c r="K786" s="11" t="str">
        <f ca="1">IFERROR(__xludf.DUMMYFUNCTION("SPLIT(J786,"";"")"),"Martins E. ")</f>
        <v xml:space="preserve">Martins E. </v>
      </c>
      <c r="L786" s="10" t="str">
        <f ca="1">IFERROR(__xludf.DUMMYFUNCTION("""COMPUTED_VALUE""")," Gouveia, L. ")</f>
        <v xml:space="preserve"> Gouveia, L. </v>
      </c>
      <c r="M786" s="10"/>
      <c r="N786" s="10"/>
      <c r="O786" s="10"/>
      <c r="P786" s="10"/>
      <c r="Q786" s="10"/>
      <c r="R786" s="10"/>
      <c r="S786" s="10"/>
      <c r="T786" s="10"/>
      <c r="U786" s="10"/>
      <c r="V786" s="10"/>
      <c r="W786" s="10"/>
      <c r="X786" s="10"/>
      <c r="Y786" s="10"/>
      <c r="Z786" s="10"/>
    </row>
    <row r="787" spans="1:26" ht="17.25" customHeight="1" x14ac:dyDescent="0.3">
      <c r="A787" s="10" t="s">
        <v>23</v>
      </c>
      <c r="B787" s="10">
        <f t="shared" si="0"/>
        <v>25</v>
      </c>
      <c r="C787" s="8" t="str">
        <f t="shared" si="1"/>
        <v xml:space="preserve">Costa, O. e Gouveia, L. </v>
      </c>
      <c r="D787" s="8" t="str">
        <f t="shared" si="2"/>
        <v>2019</v>
      </c>
      <c r="E787" s="10">
        <f t="shared" si="3"/>
        <v>30</v>
      </c>
      <c r="F787" s="10">
        <f t="shared" si="4"/>
        <v>128</v>
      </c>
      <c r="G787" s="8" t="str">
        <f t="shared" si="5"/>
        <v xml:space="preserve"> Educação superior a distância: fatores preditores da evasão anteriores a admissão de estudantes. </v>
      </c>
      <c r="H787" s="10" t="str">
        <f t="shared" si="6"/>
        <v xml:space="preserve">Costa, O. e Gouveia, L. </v>
      </c>
      <c r="I787" s="10" t="str">
        <f t="shared" si="7"/>
        <v xml:space="preserve">Costa, O. e Gouveia, L. </v>
      </c>
      <c r="J787" s="10" t="str">
        <f t="shared" si="8"/>
        <v xml:space="preserve">Costa, O.;Gouveia, L. </v>
      </c>
      <c r="K787" s="11" t="str">
        <f ca="1">IFERROR(__xludf.DUMMYFUNCTION("SPLIT(J787,"";"")"),"Costa, O.")</f>
        <v>Costa, O.</v>
      </c>
      <c r="L787" s="10" t="str">
        <f ca="1">IFERROR(__xludf.DUMMYFUNCTION("""COMPUTED_VALUE"""),"Gouveia, L. ")</f>
        <v xml:space="preserve">Gouveia, L. </v>
      </c>
      <c r="M787" s="10"/>
      <c r="N787" s="10"/>
      <c r="O787" s="10"/>
      <c r="P787" s="10"/>
      <c r="Q787" s="10"/>
      <c r="R787" s="10"/>
      <c r="S787" s="10"/>
      <c r="T787" s="10"/>
      <c r="U787" s="10"/>
      <c r="V787" s="10"/>
      <c r="W787" s="10"/>
      <c r="X787" s="10"/>
      <c r="Y787" s="10"/>
      <c r="Z787" s="10"/>
    </row>
    <row r="788" spans="1:26" ht="17.25" customHeight="1" x14ac:dyDescent="0.3">
      <c r="A788" s="10" t="s">
        <v>25</v>
      </c>
      <c r="B788" s="10">
        <f t="shared" si="0"/>
        <v>27</v>
      </c>
      <c r="C788" s="8" t="str">
        <f t="shared" si="1"/>
        <v xml:space="preserve">Martins, E. e Gouveia, L. </v>
      </c>
      <c r="D788" s="8" t="str">
        <f t="shared" si="2"/>
        <v>2018</v>
      </c>
      <c r="E788" s="10">
        <f t="shared" si="3"/>
        <v>32</v>
      </c>
      <c r="F788" s="10">
        <f t="shared" si="4"/>
        <v>108</v>
      </c>
      <c r="G788" s="8" t="str">
        <f t="shared" si="5"/>
        <v xml:space="preserve"> O Uso do WhatsApp como Ferramenta de Apoio a Aprendizagem no Ensino Médio. </v>
      </c>
      <c r="H788" s="10" t="str">
        <f t="shared" si="6"/>
        <v xml:space="preserve">Martins, E. e Gouveia, L. </v>
      </c>
      <c r="I788" s="10" t="str">
        <f t="shared" si="7"/>
        <v xml:space="preserve">Martins, E. e Gouveia, L. </v>
      </c>
      <c r="J788" s="10" t="str">
        <f t="shared" si="8"/>
        <v xml:space="preserve">Martins, E.;Gouveia, L. </v>
      </c>
      <c r="K788" s="11" t="str">
        <f ca="1">IFERROR(__xludf.DUMMYFUNCTION("SPLIT(J788,"";"")"),"Martins, E.")</f>
        <v>Martins, E.</v>
      </c>
      <c r="L788" s="10" t="str">
        <f ca="1">IFERROR(__xludf.DUMMYFUNCTION("""COMPUTED_VALUE"""),"Gouveia, L. ")</f>
        <v xml:space="preserve">Gouveia, L. </v>
      </c>
      <c r="M788" s="10"/>
      <c r="N788" s="10"/>
      <c r="O788" s="10"/>
      <c r="P788" s="10"/>
      <c r="Q788" s="10"/>
      <c r="R788" s="10"/>
      <c r="S788" s="10"/>
      <c r="T788" s="10"/>
      <c r="U788" s="10"/>
      <c r="V788" s="10"/>
      <c r="W788" s="10"/>
      <c r="X788" s="10"/>
      <c r="Y788" s="10"/>
      <c r="Z788" s="10"/>
    </row>
    <row r="789" spans="1:26" ht="17.25" customHeight="1" x14ac:dyDescent="0.3">
      <c r="A789" s="10" t="s">
        <v>26</v>
      </c>
      <c r="B789" s="10">
        <f t="shared" si="0"/>
        <v>27</v>
      </c>
      <c r="C789" s="8" t="str">
        <f t="shared" si="1"/>
        <v xml:space="preserve">Martins, E. e Gouveia, L. </v>
      </c>
      <c r="D789" s="8" t="str">
        <f t="shared" si="2"/>
        <v>2018</v>
      </c>
      <c r="E789" s="10">
        <f t="shared" si="3"/>
        <v>32</v>
      </c>
      <c r="F789" s="10">
        <f t="shared" si="4"/>
        <v>141</v>
      </c>
      <c r="G789" s="8" t="str">
        <f t="shared" si="5"/>
        <v xml:space="preserve"> Feminine participation in the information systems course of the federal institute of goiás câmpus luziânia. </v>
      </c>
      <c r="H789" s="10" t="str">
        <f t="shared" si="6"/>
        <v xml:space="preserve">Martins, E. e Gouveia, L. </v>
      </c>
      <c r="I789" s="10" t="str">
        <f t="shared" si="7"/>
        <v xml:space="preserve">Martins, E. e Gouveia, L. </v>
      </c>
      <c r="J789" s="10" t="str">
        <f t="shared" si="8"/>
        <v xml:space="preserve">Martins, E.;Gouveia, L. </v>
      </c>
      <c r="K789" s="11" t="str">
        <f ca="1">IFERROR(__xludf.DUMMYFUNCTION("SPLIT(J789,"";"")"),"Martins, E.")</f>
        <v>Martins, E.</v>
      </c>
      <c r="L789" s="10" t="str">
        <f ca="1">IFERROR(__xludf.DUMMYFUNCTION("""COMPUTED_VALUE"""),"Gouveia, L. ")</f>
        <v xml:space="preserve">Gouveia, L. </v>
      </c>
      <c r="M789" s="10"/>
      <c r="N789" s="10"/>
      <c r="O789" s="10"/>
      <c r="P789" s="10"/>
      <c r="Q789" s="10"/>
      <c r="R789" s="10"/>
      <c r="S789" s="10"/>
      <c r="T789" s="10"/>
      <c r="U789" s="10"/>
      <c r="V789" s="10"/>
      <c r="W789" s="10"/>
      <c r="X789" s="10"/>
      <c r="Y789" s="10"/>
      <c r="Z789" s="10"/>
    </row>
    <row r="790" spans="1:26" ht="17.25" customHeight="1" x14ac:dyDescent="0.3">
      <c r="A790" s="10" t="s">
        <v>29</v>
      </c>
      <c r="B790" s="10">
        <f t="shared" si="0"/>
        <v>27</v>
      </c>
      <c r="C790" s="8" t="str">
        <f t="shared" si="1"/>
        <v xml:space="preserve">Martins, E. e Gouveia, L. </v>
      </c>
      <c r="D790" s="8" t="str">
        <f t="shared" si="2"/>
        <v>2018</v>
      </c>
      <c r="E790" s="10">
        <f t="shared" si="3"/>
        <v>32</v>
      </c>
      <c r="F790" s="10">
        <f t="shared" si="4"/>
        <v>93</v>
      </c>
      <c r="G790" s="8" t="str">
        <f t="shared" si="5"/>
        <v xml:space="preserve"> Flipped Classroom Applied To High School with Whatsapp Aid. </v>
      </c>
      <c r="H790" s="10" t="str">
        <f t="shared" si="6"/>
        <v xml:space="preserve">Martins, E. e Gouveia, L. </v>
      </c>
      <c r="I790" s="10" t="str">
        <f t="shared" si="7"/>
        <v xml:space="preserve">Martins, E. e Gouveia, L. </v>
      </c>
      <c r="J790" s="10" t="str">
        <f t="shared" si="8"/>
        <v xml:space="preserve">Martins, E.;Gouveia, L. </v>
      </c>
      <c r="K790" s="11" t="str">
        <f ca="1">IFERROR(__xludf.DUMMYFUNCTION("SPLIT(J790,"";"")"),"Martins, E.")</f>
        <v>Martins, E.</v>
      </c>
      <c r="L790" s="10" t="str">
        <f ca="1">IFERROR(__xludf.DUMMYFUNCTION("""COMPUTED_VALUE"""),"Gouveia, L. ")</f>
        <v xml:space="preserve">Gouveia, L. </v>
      </c>
      <c r="M790" s="10"/>
      <c r="N790" s="10"/>
      <c r="O790" s="10"/>
      <c r="P790" s="10"/>
      <c r="Q790" s="10"/>
      <c r="R790" s="10"/>
      <c r="S790" s="10"/>
      <c r="T790" s="10"/>
      <c r="U790" s="10"/>
      <c r="V790" s="10"/>
      <c r="W790" s="10"/>
      <c r="X790" s="10"/>
      <c r="Y790" s="10"/>
      <c r="Z790" s="10"/>
    </row>
    <row r="791" spans="1:26" ht="17.25" customHeight="1" x14ac:dyDescent="0.3">
      <c r="A791" s="10" t="s">
        <v>31</v>
      </c>
      <c r="B791" s="10">
        <f t="shared" si="0"/>
        <v>29</v>
      </c>
      <c r="C791" s="8" t="str">
        <f t="shared" si="1"/>
        <v xml:space="preserve">Martins, E. R.; Gouveia, L. </v>
      </c>
      <c r="D791" s="8" t="str">
        <f t="shared" si="2"/>
        <v>2018</v>
      </c>
      <c r="E791" s="10">
        <f t="shared" si="3"/>
        <v>34</v>
      </c>
      <c r="F791" s="10">
        <f t="shared" si="4"/>
        <v>75</v>
      </c>
      <c r="G791" s="8" t="str">
        <f t="shared" si="5"/>
        <v xml:space="preserve"> Requirements for M-Learning Activities. </v>
      </c>
      <c r="H791" s="10" t="str">
        <f t="shared" si="6"/>
        <v xml:space="preserve">Martins, E. R.; Gouveia, L. </v>
      </c>
      <c r="I791" s="10" t="str">
        <f t="shared" si="7"/>
        <v xml:space="preserve">Martins, E. R.; Gouveia, L. </v>
      </c>
      <c r="J791" s="10" t="str">
        <f t="shared" si="8"/>
        <v xml:space="preserve">Martins, E. R.; Gouveia, L. </v>
      </c>
      <c r="K791" s="11" t="str">
        <f ca="1">IFERROR(__xludf.DUMMYFUNCTION("SPLIT(J791,"";"")"),"Martins, E. R.")</f>
        <v>Martins, E. R.</v>
      </c>
      <c r="L791" s="10" t="str">
        <f ca="1">IFERROR(__xludf.DUMMYFUNCTION("""COMPUTED_VALUE""")," Gouveia, L. ")</f>
        <v xml:space="preserve"> Gouveia, L. </v>
      </c>
      <c r="M791" s="10"/>
      <c r="N791" s="10"/>
      <c r="O791" s="10"/>
      <c r="P791" s="10"/>
      <c r="Q791" s="10"/>
      <c r="R791" s="10"/>
      <c r="S791" s="10"/>
      <c r="T791" s="10"/>
      <c r="U791" s="10"/>
      <c r="V791" s="10"/>
      <c r="W791" s="10"/>
      <c r="X791" s="10"/>
      <c r="Y791" s="10"/>
      <c r="Z791" s="10"/>
    </row>
    <row r="792" spans="1:26" ht="17.25" customHeight="1" x14ac:dyDescent="0.3">
      <c r="A792" s="10" t="s">
        <v>32</v>
      </c>
      <c r="B792" s="10">
        <f t="shared" si="0"/>
        <v>25</v>
      </c>
      <c r="C792" s="8" t="str">
        <f t="shared" si="1"/>
        <v xml:space="preserve">Costa, O. e Gouveia, L. </v>
      </c>
      <c r="D792" s="8" t="str">
        <f t="shared" si="2"/>
        <v>2018</v>
      </c>
      <c r="E792" s="10">
        <f t="shared" si="3"/>
        <v>30</v>
      </c>
      <c r="F792" s="10">
        <f t="shared" si="4"/>
        <v>93</v>
      </c>
      <c r="G792" s="8" t="str">
        <f t="shared" si="5"/>
        <v xml:space="preserve"> Modelos de Retenção de Estudantes: abordagens e perspectivas. </v>
      </c>
      <c r="H792" s="10" t="str">
        <f t="shared" si="6"/>
        <v xml:space="preserve">Costa, O. e Gouveia, L. </v>
      </c>
      <c r="I792" s="10" t="str">
        <f t="shared" si="7"/>
        <v xml:space="preserve">Costa, O. e Gouveia, L. </v>
      </c>
      <c r="J792" s="10" t="str">
        <f t="shared" si="8"/>
        <v xml:space="preserve">Costa, O.;Gouveia, L. </v>
      </c>
      <c r="K792" s="11" t="str">
        <f ca="1">IFERROR(__xludf.DUMMYFUNCTION("SPLIT(J792,"";"")"),"Costa, O.")</f>
        <v>Costa, O.</v>
      </c>
      <c r="L792" s="10" t="str">
        <f ca="1">IFERROR(__xludf.DUMMYFUNCTION("""COMPUTED_VALUE"""),"Gouveia, L. ")</f>
        <v xml:space="preserve">Gouveia, L. </v>
      </c>
      <c r="M792" s="10"/>
      <c r="N792" s="10"/>
      <c r="O792" s="10"/>
      <c r="P792" s="10"/>
      <c r="Q792" s="10"/>
      <c r="R792" s="10"/>
      <c r="S792" s="10"/>
      <c r="T792" s="10"/>
      <c r="U792" s="10"/>
      <c r="V792" s="10"/>
      <c r="W792" s="10"/>
      <c r="X792" s="10"/>
      <c r="Y792" s="10"/>
      <c r="Z792" s="10"/>
    </row>
    <row r="793" spans="1:26" ht="17.25" customHeight="1" x14ac:dyDescent="0.3">
      <c r="A793" s="10" t="s">
        <v>33</v>
      </c>
      <c r="B793" s="10">
        <f t="shared" si="0"/>
        <v>55</v>
      </c>
      <c r="C793" s="8" t="str">
        <f t="shared" si="1"/>
        <v xml:space="preserve">Martins, E.; Geraldes, W.; Afonseca, U. e Gouveia, L. </v>
      </c>
      <c r="D793" s="8" t="str">
        <f t="shared" si="2"/>
        <v>2018</v>
      </c>
      <c r="E793" s="10">
        <f t="shared" si="3"/>
        <v>60</v>
      </c>
      <c r="F793" s="10">
        <f t="shared" si="4"/>
        <v>142</v>
      </c>
      <c r="G793" s="8" t="str">
        <f t="shared" si="5"/>
        <v xml:space="preserve"> Tecnologias Móveis em Contexto Educativo: uma Revisão Sistemática da Literatura. </v>
      </c>
      <c r="H793" s="10" t="str">
        <f t="shared" si="6"/>
        <v xml:space="preserve">Martins, E.; Geraldes, W.; Afonseca, U. e Gouveia, L. </v>
      </c>
      <c r="I793" s="10" t="str">
        <f t="shared" si="7"/>
        <v xml:space="preserve">Martins, E.; Geraldes, W.; Afonseca, U. e Gouveia, L. </v>
      </c>
      <c r="J793" s="10" t="str">
        <f t="shared" si="8"/>
        <v xml:space="preserve">Martins, E.; Geraldes, W.; Afonseca, U.;Gouveia, L. </v>
      </c>
      <c r="K793" s="11" t="str">
        <f ca="1">IFERROR(__xludf.DUMMYFUNCTION("SPLIT(J793,"";"")"),"Martins, E.")</f>
        <v>Martins, E.</v>
      </c>
      <c r="L793" s="10" t="str">
        <f ca="1">IFERROR(__xludf.DUMMYFUNCTION("""COMPUTED_VALUE""")," Geraldes, W.")</f>
        <v xml:space="preserve"> Geraldes, W.</v>
      </c>
      <c r="M793" s="10" t="str">
        <f ca="1">IFERROR(__xludf.DUMMYFUNCTION("""COMPUTED_VALUE""")," Afonseca, U.")</f>
        <v xml:space="preserve"> Afonseca, U.</v>
      </c>
      <c r="N793" s="10" t="str">
        <f ca="1">IFERROR(__xludf.DUMMYFUNCTION("""COMPUTED_VALUE"""),"Gouveia, L. ")</f>
        <v xml:space="preserve">Gouveia, L. </v>
      </c>
      <c r="O793" s="10"/>
      <c r="P793" s="10"/>
      <c r="Q793" s="10"/>
      <c r="R793" s="10"/>
      <c r="S793" s="10"/>
      <c r="T793" s="10"/>
      <c r="U793" s="10"/>
      <c r="V793" s="10"/>
      <c r="W793" s="10"/>
      <c r="X793" s="10"/>
      <c r="Y793" s="10"/>
      <c r="Z793" s="10"/>
    </row>
    <row r="794" spans="1:26" ht="17.25" customHeight="1" x14ac:dyDescent="0.3">
      <c r="A794" s="10" t="s">
        <v>34</v>
      </c>
      <c r="B794" s="10">
        <f t="shared" si="0"/>
        <v>139</v>
      </c>
      <c r="C794" s="8" t="str">
        <f t="shared" si="1"/>
        <v xml:space="preserve">Aragão, S.; Pontes, A.; Gouveia, L.; Lopes, S. Katsuda, P.; Pereira, A.; Oliveira, M.; Oliveira, J.; Coroa, R.; Araújo, G. e Siqueira, M. </v>
      </c>
      <c r="D794" s="8" t="str">
        <f t="shared" si="2"/>
        <v>2018</v>
      </c>
      <c r="E794" s="10">
        <f t="shared" si="3"/>
        <v>144</v>
      </c>
      <c r="F794" s="10">
        <f t="shared" si="4"/>
        <v>217</v>
      </c>
      <c r="G794" s="8" t="str">
        <f t="shared" si="5"/>
        <v xml:space="preserve"> The Visualization of Cattle Movement Data in The State of Pará in 2016. </v>
      </c>
      <c r="H794" s="10" t="str">
        <f t="shared" si="6"/>
        <v xml:space="preserve">Aragão, S.; Pontes, A.; Gouveia, L.; Lopes, S. Katsuda, P.; Pereira, A.; Oliveira, M.; Oliveira, J.; Coroa, R.; Araújo, G. e Siqueira, M. </v>
      </c>
      <c r="I794" s="10" t="str">
        <f t="shared" si="7"/>
        <v xml:space="preserve">Aragão, S.; Pontes, A.; Gouveia, L.; Lopes, S. Katsuda, P.; Pereira, A.; Oliveira, M.; Oliveira, J.; Coroa, R.; Araújo, G. e Siqueira, M. </v>
      </c>
      <c r="J794" s="10" t="str">
        <f t="shared" si="8"/>
        <v xml:space="preserve">Aragão, S.; Pontes, A.; Gouveia, L.; Lopes, S. Katsuda, P.; Pereira, A.; Oliveira, M.; Oliveira, J.; Coroa, R.; Araújo, G.;Siqueira, M. </v>
      </c>
      <c r="K794" s="11" t="str">
        <f ca="1">IFERROR(__xludf.DUMMYFUNCTION("SPLIT(J794,"";"")"),"Aragão, S.")</f>
        <v>Aragão, S.</v>
      </c>
      <c r="L794" s="10" t="str">
        <f ca="1">IFERROR(__xludf.DUMMYFUNCTION("""COMPUTED_VALUE""")," Pontes, A.")</f>
        <v xml:space="preserve"> Pontes, A.</v>
      </c>
      <c r="M794" s="10" t="str">
        <f ca="1">IFERROR(__xludf.DUMMYFUNCTION("""COMPUTED_VALUE""")," Gouveia, L.")</f>
        <v xml:space="preserve"> Gouveia, L.</v>
      </c>
      <c r="N794" s="10" t="str">
        <f ca="1">IFERROR(__xludf.DUMMYFUNCTION("""COMPUTED_VALUE""")," Lopes, S. Katsuda, P.")</f>
        <v xml:space="preserve"> Lopes, S. Katsuda, P.</v>
      </c>
      <c r="O794" s="10" t="str">
        <f ca="1">IFERROR(__xludf.DUMMYFUNCTION("""COMPUTED_VALUE""")," Pereira, A.")</f>
        <v xml:space="preserve"> Pereira, A.</v>
      </c>
      <c r="P794" s="10" t="str">
        <f ca="1">IFERROR(__xludf.DUMMYFUNCTION("""COMPUTED_VALUE""")," Oliveira, M.")</f>
        <v xml:space="preserve"> Oliveira, M.</v>
      </c>
      <c r="Q794" s="10" t="str">
        <f ca="1">IFERROR(__xludf.DUMMYFUNCTION("""COMPUTED_VALUE""")," Oliveira, J.")</f>
        <v xml:space="preserve"> Oliveira, J.</v>
      </c>
      <c r="R794" s="10" t="str">
        <f ca="1">IFERROR(__xludf.DUMMYFUNCTION("""COMPUTED_VALUE""")," Coroa, R.")</f>
        <v xml:space="preserve"> Coroa, R.</v>
      </c>
      <c r="S794" s="10" t="str">
        <f ca="1">IFERROR(__xludf.DUMMYFUNCTION("""COMPUTED_VALUE""")," Araújo, G.")</f>
        <v xml:space="preserve"> Araújo, G.</v>
      </c>
      <c r="T794" s="10" t="str">
        <f ca="1">IFERROR(__xludf.DUMMYFUNCTION("""COMPUTED_VALUE"""),"Siqueira, M. ")</f>
        <v xml:space="preserve">Siqueira, M. </v>
      </c>
      <c r="U794" s="10"/>
      <c r="V794" s="10"/>
      <c r="W794" s="10"/>
      <c r="X794" s="10"/>
      <c r="Y794" s="10"/>
      <c r="Z794" s="10"/>
    </row>
    <row r="795" spans="1:26" ht="17.25" customHeight="1" x14ac:dyDescent="0.3">
      <c r="A795" s="10" t="s">
        <v>35</v>
      </c>
      <c r="B795" s="10">
        <f t="shared" si="0"/>
        <v>26</v>
      </c>
      <c r="C795" s="8" t="str">
        <f t="shared" si="1"/>
        <v xml:space="preserve">Khan, S. and Gouveia, L. </v>
      </c>
      <c r="D795" s="8" t="str">
        <f t="shared" si="2"/>
        <v>2018</v>
      </c>
      <c r="E795" s="10">
        <f t="shared" si="3"/>
        <v>31</v>
      </c>
      <c r="F795" s="10">
        <f t="shared" si="4"/>
        <v>119</v>
      </c>
      <c r="G795" s="8" t="str">
        <f t="shared" si="5"/>
        <v xml:space="preserve"> Cloud Computing Service Level Agreement Issues and Challenges: a Bibliographic review. </v>
      </c>
      <c r="H795" s="10" t="str">
        <f t="shared" si="6"/>
        <v xml:space="preserve">Khan, S. ; Gouveia, L. </v>
      </c>
      <c r="I795" s="10" t="str">
        <f t="shared" si="7"/>
        <v xml:space="preserve">Khan, S. ; Gouveia, L. </v>
      </c>
      <c r="J795" s="10" t="str">
        <f t="shared" si="8"/>
        <v xml:space="preserve">Khan, S. ; Gouveia, L. </v>
      </c>
      <c r="K795" s="11" t="str">
        <f ca="1">IFERROR(__xludf.DUMMYFUNCTION("SPLIT(J795,"";"")"),"Khan, S. ")</f>
        <v xml:space="preserve">Khan, S. </v>
      </c>
      <c r="L795" s="10" t="str">
        <f ca="1">IFERROR(__xludf.DUMMYFUNCTION("""COMPUTED_VALUE""")," Gouveia, L. ")</f>
        <v xml:space="preserve"> Gouveia, L. </v>
      </c>
      <c r="M795" s="10"/>
      <c r="N795" s="10"/>
      <c r="O795" s="10"/>
      <c r="P795" s="10"/>
      <c r="Q795" s="10"/>
      <c r="R795" s="10"/>
      <c r="S795" s="10"/>
      <c r="T795" s="10"/>
      <c r="U795" s="10"/>
      <c r="V795" s="10"/>
      <c r="W795" s="10"/>
      <c r="X795" s="10"/>
      <c r="Y795" s="10"/>
      <c r="Z795" s="10"/>
    </row>
    <row r="796" spans="1:26" ht="17.25" customHeight="1" x14ac:dyDescent="0.3">
      <c r="A796" s="10" t="s">
        <v>36</v>
      </c>
      <c r="B796" s="10">
        <f t="shared" si="0"/>
        <v>39</v>
      </c>
      <c r="C796" s="8" t="str">
        <f t="shared" si="1"/>
        <v xml:space="preserve">Daradkeh, Y,; Gouveia, L. and Sen, S. </v>
      </c>
      <c r="D796" s="8" t="str">
        <f t="shared" si="2"/>
        <v>2018</v>
      </c>
      <c r="E796" s="10">
        <f t="shared" si="3"/>
        <v>44</v>
      </c>
      <c r="F796" s="10">
        <f t="shared" si="4"/>
        <v>111</v>
      </c>
      <c r="G796" s="8" t="str">
        <f t="shared" si="5"/>
        <v xml:space="preserve"> Strategic Thinking and Brands move to the Digital transformation. </v>
      </c>
      <c r="H796" s="10" t="str">
        <f t="shared" si="6"/>
        <v xml:space="preserve">Daradkeh, Y,; Gouveia, L. ; Sen, S. </v>
      </c>
      <c r="I796" s="10" t="str">
        <f t="shared" si="7"/>
        <v xml:space="preserve">Daradkeh, Y,; Gouveia, L. ; Sen, S. </v>
      </c>
      <c r="J796" s="10" t="str">
        <f t="shared" si="8"/>
        <v xml:space="preserve">Daradkeh, Y,; Gouveia, L. ; Sen, S. </v>
      </c>
      <c r="K796" s="11" t="str">
        <f ca="1">IFERROR(__xludf.DUMMYFUNCTION("SPLIT(J796,"";"")"),"Daradkeh, Y,")</f>
        <v>Daradkeh, Y,</v>
      </c>
      <c r="L796" s="10" t="str">
        <f ca="1">IFERROR(__xludf.DUMMYFUNCTION("""COMPUTED_VALUE""")," Gouveia, L. ")</f>
        <v xml:space="preserve"> Gouveia, L. </v>
      </c>
      <c r="M796" s="10" t="str">
        <f ca="1">IFERROR(__xludf.DUMMYFUNCTION("""COMPUTED_VALUE""")," Sen, S. ")</f>
        <v xml:space="preserve"> Sen, S. </v>
      </c>
      <c r="N796" s="10"/>
      <c r="O796" s="10"/>
      <c r="P796" s="10"/>
      <c r="Q796" s="10"/>
      <c r="R796" s="10"/>
      <c r="S796" s="10"/>
      <c r="T796" s="10"/>
      <c r="U796" s="10"/>
      <c r="V796" s="10"/>
      <c r="W796" s="10"/>
      <c r="X796" s="10"/>
      <c r="Y796" s="10"/>
      <c r="Z796" s="10"/>
    </row>
    <row r="797" spans="1:26" ht="17.25" customHeight="1" x14ac:dyDescent="0.3">
      <c r="A797" s="10" t="s">
        <v>38</v>
      </c>
      <c r="B797" s="10">
        <f t="shared" si="0"/>
        <v>26</v>
      </c>
      <c r="C797" s="8" t="str">
        <f t="shared" si="1"/>
        <v xml:space="preserve">Khan, S. and Gouveia, L. </v>
      </c>
      <c r="D797" s="8" t="str">
        <f t="shared" si="2"/>
        <v>2018</v>
      </c>
      <c r="E797" s="10">
        <f t="shared" si="3"/>
        <v>31</v>
      </c>
      <c r="F797" s="10">
        <f t="shared" si="4"/>
        <v>212</v>
      </c>
      <c r="G797" s="8" t="str">
        <f t="shared" si="5"/>
        <v xml:space="preserve"> Moving Towards Cloud Analyzing the Drivers and Barriers to the Adoption of Cloud Computing in HE (Higher Education) institution in UK: An Exploratory Study with Proposed Solution. </v>
      </c>
      <c r="H797" s="10" t="str">
        <f t="shared" si="6"/>
        <v xml:space="preserve">Khan, S. ; Gouveia, L. </v>
      </c>
      <c r="I797" s="10" t="str">
        <f t="shared" si="7"/>
        <v xml:space="preserve">Khan, S. ; Gouveia, L. </v>
      </c>
      <c r="J797" s="10" t="str">
        <f t="shared" si="8"/>
        <v xml:space="preserve">Khan, S. ; Gouveia, L. </v>
      </c>
      <c r="K797" s="11" t="str">
        <f ca="1">IFERROR(__xludf.DUMMYFUNCTION("SPLIT(J797,"";"")"),"Khan, S. ")</f>
        <v xml:space="preserve">Khan, S. </v>
      </c>
      <c r="L797" s="10" t="str">
        <f ca="1">IFERROR(__xludf.DUMMYFUNCTION("""COMPUTED_VALUE""")," Gouveia, L. ")</f>
        <v xml:space="preserve"> Gouveia, L. </v>
      </c>
      <c r="M797" s="10"/>
      <c r="N797" s="10"/>
      <c r="O797" s="10"/>
      <c r="P797" s="10"/>
      <c r="Q797" s="10"/>
      <c r="R797" s="10"/>
      <c r="S797" s="10"/>
      <c r="T797" s="10"/>
      <c r="U797" s="10"/>
      <c r="V797" s="10"/>
      <c r="W797" s="10"/>
      <c r="X797" s="10"/>
      <c r="Y797" s="10"/>
      <c r="Z797" s="10"/>
    </row>
    <row r="798" spans="1:26" ht="17.25" customHeight="1" x14ac:dyDescent="0.3">
      <c r="A798" s="10" t="s">
        <v>39</v>
      </c>
      <c r="B798" s="10">
        <f t="shared" si="0"/>
        <v>24</v>
      </c>
      <c r="C798" s="8" t="str">
        <f t="shared" si="1"/>
        <v xml:space="preserve">Khan, S. e Gouveia, L. </v>
      </c>
      <c r="D798" s="8" t="str">
        <f t="shared" si="2"/>
        <v>2017</v>
      </c>
      <c r="E798" s="10">
        <f t="shared" si="3"/>
        <v>29</v>
      </c>
      <c r="F798" s="10">
        <f t="shared" si="4"/>
        <v>99</v>
      </c>
      <c r="G798" s="8" t="str">
        <f t="shared" si="5"/>
        <v xml:space="preserve">The implication and challenges of GDPR’s on Cloud Computing Industry. </v>
      </c>
      <c r="H798" s="10" t="str">
        <f t="shared" si="6"/>
        <v xml:space="preserve">Khan, S. e Gouveia, L. </v>
      </c>
      <c r="I798" s="10" t="str">
        <f t="shared" si="7"/>
        <v xml:space="preserve">Khan, S. e Gouveia, L. </v>
      </c>
      <c r="J798" s="10" t="str">
        <f t="shared" si="8"/>
        <v xml:space="preserve">Khan, S.;Gouveia, L. </v>
      </c>
      <c r="K798" s="11" t="str">
        <f ca="1">IFERROR(__xludf.DUMMYFUNCTION("SPLIT(J798,"";"")"),"Khan, S.")</f>
        <v>Khan, S.</v>
      </c>
      <c r="L798" s="10" t="str">
        <f ca="1">IFERROR(__xludf.DUMMYFUNCTION("""COMPUTED_VALUE"""),"Gouveia, L. ")</f>
        <v xml:space="preserve">Gouveia, L. </v>
      </c>
      <c r="M798" s="10"/>
      <c r="N798" s="10"/>
      <c r="O798" s="10"/>
      <c r="P798" s="10"/>
      <c r="Q798" s="10"/>
      <c r="R798" s="10"/>
      <c r="S798" s="10"/>
      <c r="T798" s="10"/>
      <c r="U798" s="10"/>
      <c r="V798" s="10"/>
      <c r="W798" s="10"/>
      <c r="X798" s="10"/>
      <c r="Y798" s="10"/>
      <c r="Z798" s="10"/>
    </row>
    <row r="799" spans="1:26" ht="17.25" customHeight="1" x14ac:dyDescent="0.3">
      <c r="A799" s="10" t="s">
        <v>40</v>
      </c>
      <c r="B799" s="10">
        <f t="shared" si="0"/>
        <v>24</v>
      </c>
      <c r="C799" s="8" t="str">
        <f t="shared" si="1"/>
        <v xml:space="preserve">Khan, S. e Gouveia, L. </v>
      </c>
      <c r="D799" s="8" t="str">
        <f t="shared" si="2"/>
        <v>2017</v>
      </c>
      <c r="E799" s="10">
        <f t="shared" si="3"/>
        <v>29</v>
      </c>
      <c r="F799" s="10">
        <f t="shared" si="4"/>
        <v>118</v>
      </c>
      <c r="G799" s="8" t="str">
        <f t="shared" si="5"/>
        <v xml:space="preserve">Is flipped classroom preferred learning style for the Millennials? An Exploratory study. </v>
      </c>
      <c r="H799" s="10" t="str">
        <f t="shared" si="6"/>
        <v xml:space="preserve">Khan, S. e Gouveia, L. </v>
      </c>
      <c r="I799" s="10" t="str">
        <f t="shared" si="7"/>
        <v xml:space="preserve">Khan, S. e Gouveia, L. </v>
      </c>
      <c r="J799" s="10" t="str">
        <f t="shared" si="8"/>
        <v xml:space="preserve">Khan, S.;Gouveia, L. </v>
      </c>
      <c r="K799" s="11" t="str">
        <f ca="1">IFERROR(__xludf.DUMMYFUNCTION("SPLIT(J799,"";"")"),"Khan, S.")</f>
        <v>Khan, S.</v>
      </c>
      <c r="L799" s="10" t="str">
        <f ca="1">IFERROR(__xludf.DUMMYFUNCTION("""COMPUTED_VALUE"""),"Gouveia, L. ")</f>
        <v xml:space="preserve">Gouveia, L. </v>
      </c>
      <c r="M799" s="10"/>
      <c r="N799" s="10"/>
      <c r="O799" s="10"/>
      <c r="P799" s="10"/>
      <c r="Q799" s="10"/>
      <c r="R799" s="10"/>
      <c r="S799" s="10"/>
      <c r="T799" s="10"/>
      <c r="U799" s="10"/>
      <c r="V799" s="10"/>
      <c r="W799" s="10"/>
      <c r="X799" s="10"/>
      <c r="Y799" s="10"/>
      <c r="Z799" s="10"/>
    </row>
    <row r="800" spans="1:26" ht="17.25" customHeight="1" x14ac:dyDescent="0.3">
      <c r="A800" s="10" t="s">
        <v>41</v>
      </c>
      <c r="B800" s="10">
        <f t="shared" si="0"/>
        <v>26</v>
      </c>
      <c r="C800" s="8" t="str">
        <f t="shared" si="1"/>
        <v xml:space="preserve">Khan, S. and Gouveia, L. </v>
      </c>
      <c r="D800" s="8" t="str">
        <f t="shared" si="2"/>
        <v>2017</v>
      </c>
      <c r="E800" s="10">
        <f t="shared" si="3"/>
        <v>31</v>
      </c>
      <c r="F800" s="10">
        <f t="shared" si="4"/>
        <v>156</v>
      </c>
      <c r="G800" s="8" t="str">
        <f t="shared" si="5"/>
        <v xml:space="preserve"> Empirical Factors that Influences the Adoption and Selection of Internet Service: An Exploratory Study in Higher Education. </v>
      </c>
      <c r="H800" s="10" t="str">
        <f t="shared" si="6"/>
        <v xml:space="preserve">Khan, S. ; Gouveia, L. </v>
      </c>
      <c r="I800" s="10" t="str">
        <f t="shared" si="7"/>
        <v xml:space="preserve">Khan, S. ; Gouveia, L. </v>
      </c>
      <c r="J800" s="10" t="str">
        <f t="shared" si="8"/>
        <v xml:space="preserve">Khan, S. ; Gouveia, L. </v>
      </c>
      <c r="K800" s="11" t="str">
        <f ca="1">IFERROR(__xludf.DUMMYFUNCTION("SPLIT(J800,"";"")"),"Khan, S. ")</f>
        <v xml:space="preserve">Khan, S. </v>
      </c>
      <c r="L800" s="10" t="str">
        <f ca="1">IFERROR(__xludf.DUMMYFUNCTION("""COMPUTED_VALUE""")," Gouveia, L. ")</f>
        <v xml:space="preserve"> Gouveia, L. </v>
      </c>
      <c r="M800" s="10"/>
      <c r="N800" s="10"/>
      <c r="O800" s="10"/>
      <c r="P800" s="10"/>
      <c r="Q800" s="10"/>
      <c r="R800" s="10"/>
      <c r="S800" s="10"/>
      <c r="T800" s="10"/>
      <c r="U800" s="10"/>
      <c r="V800" s="10"/>
      <c r="W800" s="10"/>
      <c r="X800" s="10"/>
      <c r="Y800" s="10"/>
      <c r="Z800" s="10"/>
    </row>
    <row r="801" spans="1:26" ht="17.25" customHeight="1" x14ac:dyDescent="0.3">
      <c r="A801" s="10" t="s">
        <v>42</v>
      </c>
      <c r="B801" s="10">
        <f t="shared" si="0"/>
        <v>26</v>
      </c>
      <c r="C801" s="8" t="str">
        <f t="shared" si="1"/>
        <v xml:space="preserve">Khan, S. and Gouveia, L. </v>
      </c>
      <c r="D801" s="8" t="str">
        <f t="shared" si="2"/>
        <v>2017</v>
      </c>
      <c r="E801" s="10">
        <f t="shared" si="3"/>
        <v>31</v>
      </c>
      <c r="F801" s="10">
        <f t="shared" si="4"/>
        <v>110</v>
      </c>
      <c r="G801" s="8" t="str">
        <f t="shared" si="5"/>
        <v xml:space="preserve">Cyber Security Attacks: Common Vulnerabilities in the Critical Infrastructure. </v>
      </c>
      <c r="H801" s="10" t="str">
        <f t="shared" si="6"/>
        <v xml:space="preserve">Khan, S. ; Gouveia, L. </v>
      </c>
      <c r="I801" s="10" t="str">
        <f t="shared" si="7"/>
        <v xml:space="preserve">Khan, S. ; Gouveia, L. </v>
      </c>
      <c r="J801" s="10" t="str">
        <f t="shared" si="8"/>
        <v xml:space="preserve">Khan, S. ; Gouveia, L. </v>
      </c>
      <c r="K801" s="11" t="str">
        <f ca="1">IFERROR(__xludf.DUMMYFUNCTION("SPLIT(J801,"";"")"),"Khan, S. ")</f>
        <v xml:space="preserve">Khan, S. </v>
      </c>
      <c r="L801" s="10" t="str">
        <f ca="1">IFERROR(__xludf.DUMMYFUNCTION("""COMPUTED_VALUE""")," Gouveia, L. ")</f>
        <v xml:space="preserve"> Gouveia, L. </v>
      </c>
      <c r="M801" s="10"/>
      <c r="N801" s="10"/>
      <c r="O801" s="10"/>
      <c r="P801" s="10"/>
      <c r="Q801" s="10"/>
      <c r="R801" s="10"/>
      <c r="S801" s="10"/>
      <c r="T801" s="10"/>
      <c r="U801" s="10"/>
      <c r="V801" s="10"/>
      <c r="W801" s="10"/>
      <c r="X801" s="10"/>
      <c r="Y801" s="10"/>
      <c r="Z801" s="10"/>
    </row>
    <row r="802" spans="1:26" ht="17.25" customHeight="1" x14ac:dyDescent="0.3">
      <c r="A802" s="10" t="s">
        <v>43</v>
      </c>
      <c r="B802" s="10">
        <f t="shared" si="0"/>
        <v>26</v>
      </c>
      <c r="C802" s="8" t="str">
        <f t="shared" si="1"/>
        <v xml:space="preserve">Robalo, A. e Gouveia, L. </v>
      </c>
      <c r="D802" s="8" t="str">
        <f t="shared" si="2"/>
        <v>2016</v>
      </c>
      <c r="E802" s="10">
        <f t="shared" si="3"/>
        <v>31</v>
      </c>
      <c r="F802" s="10">
        <f t="shared" si="4"/>
        <v>172</v>
      </c>
      <c r="G802" s="8" t="str">
        <f t="shared" si="5"/>
        <v xml:space="preserve"> Estratégia Metodológica para a Promoção da Cultura Digital nos Professores do Instituto Superior de Ciências da Educação do Huambo, Angola. </v>
      </c>
      <c r="H802" s="10" t="str">
        <f t="shared" si="6"/>
        <v xml:space="preserve">Robalo, A. e Gouveia, L. </v>
      </c>
      <c r="I802" s="10" t="str">
        <f t="shared" si="7"/>
        <v xml:space="preserve">Robalo, A. e Gouveia, L. </v>
      </c>
      <c r="J802" s="10" t="str">
        <f t="shared" si="8"/>
        <v xml:space="preserve">Robalo, A.;Gouveia, L. </v>
      </c>
      <c r="K802" s="11" t="str">
        <f ca="1">IFERROR(__xludf.DUMMYFUNCTION("SPLIT(J802,"";"")"),"Robalo, A.")</f>
        <v>Robalo, A.</v>
      </c>
      <c r="L802" s="10" t="str">
        <f ca="1">IFERROR(__xludf.DUMMYFUNCTION("""COMPUTED_VALUE"""),"Gouveia, L. ")</f>
        <v xml:space="preserve">Gouveia, L. </v>
      </c>
      <c r="M802" s="10"/>
      <c r="N802" s="10"/>
      <c r="O802" s="10"/>
      <c r="P802" s="10"/>
      <c r="Q802" s="10"/>
      <c r="R802" s="10"/>
      <c r="S802" s="10"/>
      <c r="T802" s="10"/>
      <c r="U802" s="10"/>
      <c r="V802" s="10"/>
      <c r="W802" s="10"/>
      <c r="X802" s="10"/>
      <c r="Y802" s="10"/>
      <c r="Z802" s="10"/>
    </row>
    <row r="803" spans="1:26" ht="17.25" customHeight="1" x14ac:dyDescent="0.3">
      <c r="A803" s="10" t="s">
        <v>44</v>
      </c>
      <c r="B803" s="10">
        <f t="shared" si="0"/>
        <v>41</v>
      </c>
      <c r="C803" s="8" t="str">
        <f t="shared" si="1"/>
        <v xml:space="preserve">Daradkeh, Y., Doru, P. and Gouveia, L.  </v>
      </c>
      <c r="D803" s="8" t="str">
        <f t="shared" si="2"/>
        <v>2016</v>
      </c>
      <c r="E803" s="10">
        <f t="shared" si="3"/>
        <v>46</v>
      </c>
      <c r="F803" s="10">
        <f t="shared" si="4"/>
        <v>94</v>
      </c>
      <c r="G803" s="8" t="str">
        <f t="shared" si="5"/>
        <v xml:space="preserve"> Shaping virtual companies: a brief discussion. </v>
      </c>
      <c r="H803" s="10" t="str">
        <f t="shared" si="6"/>
        <v xml:space="preserve">Daradkeh, Y., Doru, P. ; Gouveia, L.  </v>
      </c>
      <c r="I803" s="10" t="str">
        <f t="shared" si="7"/>
        <v xml:space="preserve">Daradkeh, Y.; Doru, P. ; Gouveia, L.  </v>
      </c>
      <c r="J803" s="10" t="str">
        <f t="shared" si="8"/>
        <v xml:space="preserve">Daradkeh, Y.; Doru, P. ; Gouveia, L.  </v>
      </c>
      <c r="K803" s="11" t="str">
        <f ca="1">IFERROR(__xludf.DUMMYFUNCTION("SPLIT(J803,"";"")"),"Daradkeh, Y.")</f>
        <v>Daradkeh, Y.</v>
      </c>
      <c r="L803" s="10" t="str">
        <f ca="1">IFERROR(__xludf.DUMMYFUNCTION("""COMPUTED_VALUE""")," Doru, P. ")</f>
        <v xml:space="preserve"> Doru, P. </v>
      </c>
      <c r="M803" s="10" t="str">
        <f ca="1">IFERROR(__xludf.DUMMYFUNCTION("""COMPUTED_VALUE""")," Gouveia, L.  ")</f>
        <v xml:space="preserve"> Gouveia, L.  </v>
      </c>
      <c r="N803" s="10"/>
      <c r="O803" s="10"/>
      <c r="P803" s="10"/>
      <c r="Q803" s="10"/>
      <c r="R803" s="10"/>
      <c r="S803" s="10"/>
      <c r="T803" s="10"/>
      <c r="U803" s="10"/>
      <c r="V803" s="10"/>
      <c r="W803" s="10"/>
      <c r="X803" s="10"/>
      <c r="Y803" s="10"/>
      <c r="Z803" s="10"/>
    </row>
    <row r="804" spans="1:26" ht="17.25" customHeight="1" x14ac:dyDescent="0.3">
      <c r="A804" s="10" t="s">
        <v>45</v>
      </c>
      <c r="B804" s="10">
        <f t="shared" si="0"/>
        <v>48</v>
      </c>
      <c r="C804" s="8" t="str">
        <f t="shared" si="1"/>
        <v xml:space="preserve">Constantino, J., Gouveia, L. and Daradkeh, Y.  </v>
      </c>
      <c r="D804" s="8" t="str">
        <f t="shared" si="2"/>
        <v>2015</v>
      </c>
      <c r="E804" s="10">
        <f t="shared" si="3"/>
        <v>53</v>
      </c>
      <c r="F804" s="10">
        <f t="shared" si="4"/>
        <v>126</v>
      </c>
      <c r="G804" s="8" t="str">
        <f t="shared" si="5"/>
        <v xml:space="preserve"> The Idea of e-participation Digital Engine where people can take place. </v>
      </c>
      <c r="H804" s="10" t="str">
        <f t="shared" si="6"/>
        <v xml:space="preserve">Constantino, J., Gouveia, L. ; Daradkeh, Y.  </v>
      </c>
      <c r="I804" s="10" t="str">
        <f t="shared" si="7"/>
        <v xml:space="preserve">Constantino, J.; Gouveia, L. ; Daradkeh, Y.  </v>
      </c>
      <c r="J804" s="10" t="str">
        <f t="shared" si="8"/>
        <v xml:space="preserve">Constantino, J.; Gouveia, L. ; Daradkeh, Y.  </v>
      </c>
      <c r="K804" s="11" t="str">
        <f ca="1">IFERROR(__xludf.DUMMYFUNCTION("SPLIT(J804,"";"")"),"Constantino, J.")</f>
        <v>Constantino, J.</v>
      </c>
      <c r="L804" s="10" t="str">
        <f ca="1">IFERROR(__xludf.DUMMYFUNCTION("""COMPUTED_VALUE""")," Gouveia, L. ")</f>
        <v xml:space="preserve"> Gouveia, L. </v>
      </c>
      <c r="M804" s="10" t="str">
        <f ca="1">IFERROR(__xludf.DUMMYFUNCTION("""COMPUTED_VALUE""")," Daradkeh, Y.  ")</f>
        <v xml:space="preserve"> Daradkeh, Y.  </v>
      </c>
      <c r="N804" s="10"/>
      <c r="O804" s="10"/>
      <c r="P804" s="10"/>
      <c r="Q804" s="10"/>
      <c r="R804" s="10"/>
      <c r="S804" s="10"/>
      <c r="T804" s="10"/>
      <c r="U804" s="10"/>
      <c r="V804" s="10"/>
      <c r="W804" s="10"/>
      <c r="X804" s="10"/>
      <c r="Y804" s="10"/>
      <c r="Z804" s="10"/>
    </row>
    <row r="805" spans="1:26" ht="17.25" customHeight="1" x14ac:dyDescent="0.3">
      <c r="A805" s="10" t="s">
        <v>47</v>
      </c>
      <c r="B805" s="10">
        <f t="shared" si="0"/>
        <v>57</v>
      </c>
      <c r="C805" s="8" t="str">
        <f t="shared" si="1"/>
        <v xml:space="preserve">Fidalgo, F.; Gouveia, L.; Daradkeh, Y. and Qoussini, A. </v>
      </c>
      <c r="D805" s="8" t="str">
        <f t="shared" si="2"/>
        <v>2015</v>
      </c>
      <c r="E805" s="10">
        <f t="shared" si="3"/>
        <v>62</v>
      </c>
      <c r="F805" s="10">
        <f t="shared" si="4"/>
        <v>148</v>
      </c>
      <c r="G805" s="8" t="str">
        <f t="shared" si="5"/>
        <v xml:space="preserve"> A conceptual Model Proposal to Explicit and Reuse at the ransfer of Tacit Knowledge.I</v>
      </c>
      <c r="H805" s="10" t="str">
        <f t="shared" si="6"/>
        <v xml:space="preserve">Fidalgo, F.; Gouveia, L.; Daradkeh, Y. ; Qoussini, A. </v>
      </c>
      <c r="I805" s="10" t="str">
        <f t="shared" si="7"/>
        <v xml:space="preserve">Fidalgo, F.; Gouveia, L.; Daradkeh, Y. ; Qoussini, A. </v>
      </c>
      <c r="J805" s="10" t="str">
        <f t="shared" si="8"/>
        <v xml:space="preserve">Fidalgo, F.; Gouveia, L.; Daradkeh, Y. ; Qoussini, A. </v>
      </c>
      <c r="K805" s="11" t="str">
        <f ca="1">IFERROR(__xludf.DUMMYFUNCTION("SPLIT(J805,"";"")"),"Fidalgo, F.")</f>
        <v>Fidalgo, F.</v>
      </c>
      <c r="L805" s="10" t="str">
        <f ca="1">IFERROR(__xludf.DUMMYFUNCTION("""COMPUTED_VALUE""")," Gouveia, L.")</f>
        <v xml:space="preserve"> Gouveia, L.</v>
      </c>
      <c r="M805" s="10" t="str">
        <f ca="1">IFERROR(__xludf.DUMMYFUNCTION("""COMPUTED_VALUE""")," Daradkeh, Y. ")</f>
        <v xml:space="preserve"> Daradkeh, Y. </v>
      </c>
      <c r="N805" s="10" t="str">
        <f ca="1">IFERROR(__xludf.DUMMYFUNCTION("""COMPUTED_VALUE""")," Qoussini, A. ")</f>
        <v xml:space="preserve"> Qoussini, A. </v>
      </c>
      <c r="O805" s="10"/>
      <c r="P805" s="10"/>
      <c r="Q805" s="10"/>
      <c r="R805" s="10"/>
      <c r="S805" s="10"/>
      <c r="T805" s="10"/>
      <c r="U805" s="10"/>
      <c r="V805" s="10"/>
      <c r="W805" s="10"/>
      <c r="X805" s="10"/>
      <c r="Y805" s="10"/>
      <c r="Z805" s="10"/>
    </row>
    <row r="806" spans="1:26" ht="17.25" customHeight="1" x14ac:dyDescent="0.3">
      <c r="A806" s="10" t="s">
        <v>48</v>
      </c>
      <c r="B806" s="10">
        <f t="shared" si="0"/>
        <v>44</v>
      </c>
      <c r="C806" s="8" t="str">
        <f t="shared" si="1"/>
        <v xml:space="preserve">Abrantes, S.; Gouveia, L. and Daradkeh, Y. </v>
      </c>
      <c r="D806" s="8" t="str">
        <f t="shared" si="2"/>
        <v>2015</v>
      </c>
      <c r="E806" s="10">
        <f t="shared" si="3"/>
        <v>49</v>
      </c>
      <c r="F806" s="10">
        <f t="shared" si="4"/>
        <v>124</v>
      </c>
      <c r="G806" s="8" t="str">
        <f t="shared" si="5"/>
        <v xml:space="preserve"> A study to Relate the Quality of Forum Messages with the Flow Experience.I</v>
      </c>
      <c r="H806" s="10" t="str">
        <f t="shared" si="6"/>
        <v xml:space="preserve">Abrantes, S.; Gouveia, L. ; Daradkeh, Y. </v>
      </c>
      <c r="I806" s="10" t="str">
        <f t="shared" si="7"/>
        <v xml:space="preserve">Abrantes, S.; Gouveia, L. ; Daradkeh, Y. </v>
      </c>
      <c r="J806" s="10" t="str">
        <f t="shared" si="8"/>
        <v xml:space="preserve">Abrantes, S.; Gouveia, L. ; Daradkeh, Y. </v>
      </c>
      <c r="K806" s="11" t="str">
        <f ca="1">IFERROR(__xludf.DUMMYFUNCTION("SPLIT(J806,"";"")"),"Abrantes, S.")</f>
        <v>Abrantes, S.</v>
      </c>
      <c r="L806" s="10" t="str">
        <f ca="1">IFERROR(__xludf.DUMMYFUNCTION("""COMPUTED_VALUE""")," Gouveia, L. ")</f>
        <v xml:space="preserve"> Gouveia, L. </v>
      </c>
      <c r="M806" s="10" t="str">
        <f ca="1">IFERROR(__xludf.DUMMYFUNCTION("""COMPUTED_VALUE""")," Daradkeh, Y. ")</f>
        <v xml:space="preserve"> Daradkeh, Y. </v>
      </c>
      <c r="N806" s="10"/>
      <c r="O806" s="10"/>
      <c r="P806" s="10"/>
      <c r="Q806" s="10"/>
      <c r="R806" s="10"/>
      <c r="S806" s="10"/>
      <c r="T806" s="10"/>
      <c r="U806" s="10"/>
      <c r="V806" s="10"/>
      <c r="W806" s="10"/>
      <c r="X806" s="10"/>
      <c r="Y806" s="10"/>
      <c r="Z806" s="10"/>
    </row>
    <row r="807" spans="1:26" ht="17.25" customHeight="1" x14ac:dyDescent="0.3">
      <c r="A807" s="10" t="s">
        <v>49</v>
      </c>
      <c r="B807" s="10">
        <f t="shared" si="0"/>
        <v>41</v>
      </c>
      <c r="C807" s="8" t="str">
        <f t="shared" si="1"/>
        <v xml:space="preserve">Daradkeh, Y.; Selimi, E. andGouveia, L. </v>
      </c>
      <c r="D807" s="8" t="str">
        <f t="shared" si="2"/>
        <v>2015</v>
      </c>
      <c r="E807" s="10">
        <f t="shared" si="3"/>
        <v>46</v>
      </c>
      <c r="F807" s="10">
        <f t="shared" si="4"/>
        <v>183</v>
      </c>
      <c r="G807" s="8" t="str">
        <f t="shared" si="5"/>
        <v xml:space="preserve"> Information Overload: how to solve the problem? Current trends in technology and its impacts to individuals and organizational context. </v>
      </c>
      <c r="H807" s="10" t="str">
        <f t="shared" si="6"/>
        <v xml:space="preserve">Daradkeh, Y.; Selimi, E. ;Gouveia, L. </v>
      </c>
      <c r="I807" s="10" t="str">
        <f t="shared" si="7"/>
        <v xml:space="preserve">Daradkeh, Y.; Selimi, E. ;Gouveia, L. </v>
      </c>
      <c r="J807" s="10" t="str">
        <f t="shared" si="8"/>
        <v xml:space="preserve">Daradkeh, Y.; Selimi, E. ;Gouveia, L. </v>
      </c>
      <c r="K807" s="11" t="str">
        <f ca="1">IFERROR(__xludf.DUMMYFUNCTION("SPLIT(J807,"";"")"),"Daradkeh, Y.")</f>
        <v>Daradkeh, Y.</v>
      </c>
      <c r="L807" s="10" t="str">
        <f ca="1">IFERROR(__xludf.DUMMYFUNCTION("""COMPUTED_VALUE""")," Selimi, E. ")</f>
        <v xml:space="preserve"> Selimi, E. </v>
      </c>
      <c r="M807" s="10" t="str">
        <f ca="1">IFERROR(__xludf.DUMMYFUNCTION("""COMPUTED_VALUE"""),"Gouveia, L. ")</f>
        <v xml:space="preserve">Gouveia, L. </v>
      </c>
      <c r="N807" s="10"/>
      <c r="O807" s="10"/>
      <c r="P807" s="10"/>
      <c r="Q807" s="10"/>
      <c r="R807" s="10"/>
      <c r="S807" s="10"/>
      <c r="T807" s="10"/>
      <c r="U807" s="10"/>
      <c r="V807" s="10"/>
      <c r="W807" s="10"/>
      <c r="X807" s="10"/>
      <c r="Y807" s="10"/>
      <c r="Z807" s="10"/>
    </row>
    <row r="808" spans="1:26" ht="17.25" customHeight="1" x14ac:dyDescent="0.3">
      <c r="A808" s="10" t="s">
        <v>50</v>
      </c>
      <c r="B808" s="10">
        <f t="shared" si="0"/>
        <v>29</v>
      </c>
      <c r="C808" s="8" t="str">
        <f t="shared" si="1"/>
        <v xml:space="preserve">Quental, C. and Gouveia, L. </v>
      </c>
      <c r="D808" s="8" t="str">
        <f t="shared" si="2"/>
        <v>2014</v>
      </c>
      <c r="E808" s="10">
        <f t="shared" si="3"/>
        <v>34</v>
      </c>
      <c r="F808" s="10">
        <f t="shared" si="4"/>
        <v>101</v>
      </c>
      <c r="G808" s="8" t="str">
        <f t="shared" si="5"/>
        <v xml:space="preserve"> Web platform for public e-participation management: a case study. </v>
      </c>
      <c r="H808" s="10" t="str">
        <f t="shared" si="6"/>
        <v xml:space="preserve">Quental, C. ; Gouveia, L. </v>
      </c>
      <c r="I808" s="10" t="str">
        <f t="shared" si="7"/>
        <v xml:space="preserve">Quental, C. ; Gouveia, L. </v>
      </c>
      <c r="J808" s="10" t="str">
        <f t="shared" si="8"/>
        <v xml:space="preserve">Quental, C. ; Gouveia, L. </v>
      </c>
      <c r="K808" s="11" t="str">
        <f ca="1">IFERROR(__xludf.DUMMYFUNCTION("SPLIT(J808,"";"")"),"Quental, C. ")</f>
        <v xml:space="preserve">Quental, C. </v>
      </c>
      <c r="L808" s="10" t="str">
        <f ca="1">IFERROR(__xludf.DUMMYFUNCTION("""COMPUTED_VALUE""")," Gouveia, L. ")</f>
        <v xml:space="preserve"> Gouveia, L. </v>
      </c>
      <c r="M808" s="10"/>
      <c r="N808" s="10"/>
      <c r="O808" s="10"/>
      <c r="P808" s="10"/>
      <c r="Q808" s="10"/>
      <c r="R808" s="10"/>
      <c r="S808" s="10"/>
      <c r="T808" s="10"/>
      <c r="U808" s="10"/>
      <c r="V808" s="10"/>
      <c r="W808" s="10"/>
      <c r="X808" s="10"/>
      <c r="Y808" s="10"/>
      <c r="Z808" s="10"/>
    </row>
    <row r="809" spans="1:26" ht="17.25" customHeight="1" x14ac:dyDescent="0.3">
      <c r="A809" s="10" t="s">
        <v>51</v>
      </c>
      <c r="B809" s="10">
        <f t="shared" si="0"/>
        <v>35</v>
      </c>
      <c r="C809" s="8" t="str">
        <f t="shared" si="1"/>
        <v xml:space="preserve">Sousa, A; Agante, P.; Gouveia, L. </v>
      </c>
      <c r="D809" s="8" t="str">
        <f t="shared" si="2"/>
        <v>2014</v>
      </c>
      <c r="E809" s="10">
        <f t="shared" si="3"/>
        <v>40</v>
      </c>
      <c r="F809" s="10">
        <f t="shared" si="4"/>
        <v>149</v>
      </c>
      <c r="G809" s="8" t="str">
        <f t="shared" si="5"/>
        <v xml:space="preserve"> Communication Model for Generalist News Media Websites, IERI Procedia, Volume 10, 2014, pp 32-37, Elsevier. </v>
      </c>
      <c r="H809" s="10" t="str">
        <f t="shared" si="6"/>
        <v xml:space="preserve">Sousa, A; Agante, P.; Gouveia, L. </v>
      </c>
      <c r="I809" s="10" t="str">
        <f t="shared" si="7"/>
        <v xml:space="preserve">Sousa, A; Agante, P.; Gouveia, L. </v>
      </c>
      <c r="J809" s="10" t="str">
        <f t="shared" si="8"/>
        <v xml:space="preserve">Sousa, A; Agante, P.; Gouveia, L. </v>
      </c>
      <c r="K809" s="11" t="str">
        <f ca="1">IFERROR(__xludf.DUMMYFUNCTION("SPLIT(J809,"";"")"),"Sousa, A")</f>
        <v>Sousa, A</v>
      </c>
      <c r="L809" s="10" t="str">
        <f ca="1">IFERROR(__xludf.DUMMYFUNCTION("""COMPUTED_VALUE""")," Agante, P.")</f>
        <v xml:space="preserve"> Agante, P.</v>
      </c>
      <c r="M809" s="10" t="str">
        <f ca="1">IFERROR(__xludf.DUMMYFUNCTION("""COMPUTED_VALUE""")," Gouveia, L. ")</f>
        <v xml:space="preserve"> Gouveia, L. </v>
      </c>
      <c r="N809" s="10"/>
      <c r="O809" s="10"/>
      <c r="P809" s="10"/>
      <c r="Q809" s="10"/>
      <c r="R809" s="10"/>
      <c r="S809" s="10"/>
      <c r="T809" s="10"/>
      <c r="U809" s="10"/>
      <c r="V809" s="10"/>
      <c r="W809" s="10"/>
      <c r="X809" s="10"/>
      <c r="Y809" s="10"/>
      <c r="Z809" s="10"/>
    </row>
    <row r="810" spans="1:26" ht="17.25" customHeight="1" x14ac:dyDescent="0.3">
      <c r="A810" s="10" t="s">
        <v>52</v>
      </c>
      <c r="B810" s="10">
        <f t="shared" si="0"/>
        <v>35</v>
      </c>
      <c r="C810" s="8" t="str">
        <f t="shared" si="1"/>
        <v xml:space="preserve">Sousa, A; Agante, P.; Gouveia, L. </v>
      </c>
      <c r="D810" s="8" t="str">
        <f t="shared" si="2"/>
        <v>2014</v>
      </c>
      <c r="E810" s="10">
        <f t="shared" si="3"/>
        <v>40</v>
      </c>
      <c r="F810" s="10">
        <f t="shared" si="4"/>
        <v>143</v>
      </c>
      <c r="G810" s="8" t="str">
        <f t="shared" si="5"/>
        <v xml:space="preserve"> Communication Model for Sports Media Web Portals, AASRI Procedia, Volume 8, 2014, pp 44-49, Elsevier. </v>
      </c>
      <c r="H810" s="10" t="str">
        <f t="shared" si="6"/>
        <v xml:space="preserve">Sousa, A; Agante, P.; Gouveia, L. </v>
      </c>
      <c r="I810" s="10" t="str">
        <f t="shared" si="7"/>
        <v xml:space="preserve">Sousa, A; Agante, P.; Gouveia, L. </v>
      </c>
      <c r="J810" s="10" t="str">
        <f t="shared" si="8"/>
        <v xml:space="preserve">Sousa, A; Agante, P.; Gouveia, L. </v>
      </c>
      <c r="K810" s="11" t="str">
        <f ca="1">IFERROR(__xludf.DUMMYFUNCTION("SPLIT(J810,"";"")"),"Sousa, A")</f>
        <v>Sousa, A</v>
      </c>
      <c r="L810" s="10" t="str">
        <f ca="1">IFERROR(__xludf.DUMMYFUNCTION("""COMPUTED_VALUE""")," Agante, P.")</f>
        <v xml:space="preserve"> Agante, P.</v>
      </c>
      <c r="M810" s="10" t="str">
        <f ca="1">IFERROR(__xludf.DUMMYFUNCTION("""COMPUTED_VALUE""")," Gouveia, L. ")</f>
        <v xml:space="preserve"> Gouveia, L. </v>
      </c>
      <c r="N810" s="10"/>
      <c r="O810" s="10"/>
      <c r="P810" s="10"/>
      <c r="Q810" s="10"/>
      <c r="R810" s="10"/>
      <c r="S810" s="10"/>
      <c r="T810" s="10"/>
      <c r="U810" s="10"/>
      <c r="V810" s="10"/>
      <c r="W810" s="10"/>
      <c r="X810" s="10"/>
      <c r="Y810" s="10"/>
      <c r="Z810" s="10"/>
    </row>
    <row r="811" spans="1:26" ht="17.25" customHeight="1" x14ac:dyDescent="0.3">
      <c r="A811" s="10" t="s">
        <v>53</v>
      </c>
      <c r="B811" s="10">
        <f t="shared" si="0"/>
        <v>29</v>
      </c>
      <c r="C811" s="8" t="str">
        <f t="shared" si="1"/>
        <v xml:space="preserve">Quental, C. and Gouveia, L. </v>
      </c>
      <c r="D811" s="8" t="str">
        <f t="shared" si="2"/>
        <v>2014</v>
      </c>
      <c r="E811" s="10">
        <f t="shared" si="3"/>
        <v>34</v>
      </c>
      <c r="F811" s="10">
        <f t="shared" si="4"/>
        <v>101</v>
      </c>
      <c r="G811" s="8" t="str">
        <f t="shared" si="5"/>
        <v xml:space="preserve"> Web platform for public e-participation management: a case study. </v>
      </c>
      <c r="H811" s="10" t="str">
        <f t="shared" si="6"/>
        <v xml:space="preserve">Quental, C. ; Gouveia, L. </v>
      </c>
      <c r="I811" s="10" t="str">
        <f t="shared" si="7"/>
        <v xml:space="preserve">Quental, C. ; Gouveia, L. </v>
      </c>
      <c r="J811" s="10" t="str">
        <f t="shared" si="8"/>
        <v xml:space="preserve">Quental, C. ; Gouveia, L. </v>
      </c>
      <c r="K811" s="11" t="str">
        <f ca="1">IFERROR(__xludf.DUMMYFUNCTION("SPLIT(J811,"";"")"),"Quental, C. ")</f>
        <v xml:space="preserve">Quental, C. </v>
      </c>
      <c r="L811" s="10" t="str">
        <f ca="1">IFERROR(__xludf.DUMMYFUNCTION("""COMPUTED_VALUE""")," Gouveia, L. ")</f>
        <v xml:space="preserve"> Gouveia, L. </v>
      </c>
      <c r="M811" s="10"/>
      <c r="N811" s="10"/>
      <c r="O811" s="10"/>
      <c r="P811" s="10"/>
      <c r="Q811" s="10"/>
      <c r="R811" s="10"/>
      <c r="S811" s="10"/>
      <c r="T811" s="10"/>
      <c r="U811" s="10"/>
      <c r="V811" s="10"/>
      <c r="W811" s="10"/>
      <c r="X811" s="10"/>
      <c r="Y811" s="10"/>
      <c r="Z811" s="10"/>
    </row>
    <row r="812" spans="1:26" ht="17.25" customHeight="1" x14ac:dyDescent="0.3">
      <c r="A812" s="10" t="s">
        <v>54</v>
      </c>
      <c r="B812" s="10">
        <f t="shared" si="0"/>
        <v>26</v>
      </c>
      <c r="C812" s="8" t="str">
        <f t="shared" si="1"/>
        <v xml:space="preserve">Simões, L. e Gouveia, L. </v>
      </c>
      <c r="D812" s="8" t="str">
        <f t="shared" si="2"/>
        <v>2012</v>
      </c>
      <c r="E812" s="10">
        <f t="shared" si="3"/>
        <v>31</v>
      </c>
      <c r="F812" s="10">
        <f t="shared" si="4"/>
        <v>102</v>
      </c>
      <c r="G812" s="8" t="str">
        <f t="shared" si="5"/>
        <v xml:space="preserve"> Influence of Psychological Variables on the Academic Use of Facebook. </v>
      </c>
      <c r="H812" s="10" t="str">
        <f t="shared" si="6"/>
        <v xml:space="preserve">Simões, L. e Gouveia, L. </v>
      </c>
      <c r="I812" s="10" t="str">
        <f t="shared" si="7"/>
        <v xml:space="preserve">Simões, L. e Gouveia, L. </v>
      </c>
      <c r="J812" s="10" t="str">
        <f t="shared" si="8"/>
        <v xml:space="preserve">Simões, L.;Gouveia, L. </v>
      </c>
      <c r="K812" s="11" t="str">
        <f ca="1">IFERROR(__xludf.DUMMYFUNCTION("SPLIT(J812,"";"")"),"Simões, L.")</f>
        <v>Simões, L.</v>
      </c>
      <c r="L812" s="10" t="str">
        <f ca="1">IFERROR(__xludf.DUMMYFUNCTION("""COMPUTED_VALUE"""),"Gouveia, L. ")</f>
        <v xml:space="preserve">Gouveia, L. </v>
      </c>
      <c r="M812" s="10"/>
      <c r="N812" s="10"/>
      <c r="O812" s="10"/>
      <c r="P812" s="10"/>
      <c r="Q812" s="10"/>
      <c r="R812" s="10"/>
      <c r="S812" s="10"/>
      <c r="T812" s="10"/>
      <c r="U812" s="10"/>
      <c r="V812" s="10"/>
      <c r="W812" s="10"/>
      <c r="X812" s="10"/>
      <c r="Y812" s="10"/>
      <c r="Z812" s="10"/>
    </row>
    <row r="813" spans="1:26" ht="17.25" customHeight="1" x14ac:dyDescent="0.3">
      <c r="A813" s="10" t="s">
        <v>55</v>
      </c>
      <c r="B813" s="10">
        <f t="shared" si="0"/>
        <v>25</v>
      </c>
      <c r="C813" s="8" t="str">
        <f t="shared" si="1"/>
        <v xml:space="preserve">Sousa, A. e Gouveia, L. </v>
      </c>
      <c r="D813" s="8" t="str">
        <f t="shared" si="2"/>
        <v>2012</v>
      </c>
      <c r="E813" s="10">
        <f t="shared" si="3"/>
        <v>30</v>
      </c>
      <c r="F813" s="10">
        <f t="shared" si="4"/>
        <v>98</v>
      </c>
      <c r="G813" s="8" t="str">
        <f t="shared" si="5"/>
        <v xml:space="preserve"> iLeger: Uma proposta de Mediação Digital para Períodos Eleitorais. </v>
      </c>
      <c r="H813" s="10" t="str">
        <f t="shared" si="6"/>
        <v xml:space="preserve">Sousa, A. e Gouveia, L. </v>
      </c>
      <c r="I813" s="10" t="str">
        <f t="shared" si="7"/>
        <v xml:space="preserve">Sousa, A. e Gouveia, L. </v>
      </c>
      <c r="J813" s="10" t="str">
        <f t="shared" si="8"/>
        <v xml:space="preserve">Sousa, A.;Gouveia, L. </v>
      </c>
      <c r="K813" s="11" t="str">
        <f ca="1">IFERROR(__xludf.DUMMYFUNCTION("SPLIT(J813,"";"")"),"Sousa, A.")</f>
        <v>Sousa, A.</v>
      </c>
      <c r="L813" s="10" t="str">
        <f ca="1">IFERROR(__xludf.DUMMYFUNCTION("""COMPUTED_VALUE"""),"Gouveia, L. ")</f>
        <v xml:space="preserve">Gouveia, L. </v>
      </c>
      <c r="M813" s="10"/>
      <c r="N813" s="10"/>
      <c r="O813" s="10"/>
      <c r="P813" s="10"/>
      <c r="Q813" s="10"/>
      <c r="R813" s="10"/>
      <c r="S813" s="10"/>
      <c r="T813" s="10"/>
      <c r="U813" s="10"/>
      <c r="V813" s="10"/>
      <c r="W813" s="10"/>
      <c r="X813" s="10"/>
      <c r="Y813" s="10"/>
      <c r="Z813" s="10"/>
    </row>
    <row r="814" spans="1:26" ht="17.25" customHeight="1" x14ac:dyDescent="0.3">
      <c r="A814" s="10" t="s">
        <v>56</v>
      </c>
      <c r="B814" s="10">
        <f t="shared" si="0"/>
        <v>13</v>
      </c>
      <c r="C814" s="8" t="str">
        <f t="shared" si="1"/>
        <v xml:space="preserve">Gouveia, L. </v>
      </c>
      <c r="D814" s="8" t="str">
        <f t="shared" si="2"/>
        <v>2012</v>
      </c>
      <c r="E814" s="10">
        <f t="shared" si="3"/>
        <v>18</v>
      </c>
      <c r="F814" s="10">
        <f t="shared" si="4"/>
        <v>75</v>
      </c>
      <c r="G814" s="8" t="str">
        <f t="shared" si="5"/>
        <v xml:space="preserve"> O Conceito de Rede face ao Digital e aos Media Sociais. </v>
      </c>
      <c r="H814" s="10" t="str">
        <f t="shared" si="6"/>
        <v xml:space="preserve">Gouveia, L. </v>
      </c>
      <c r="I814" s="10" t="str">
        <f t="shared" si="7"/>
        <v xml:space="preserve">Gouveia, L. </v>
      </c>
      <c r="J814" s="10" t="str">
        <f t="shared" si="8"/>
        <v xml:space="preserve">Gouveia, L. </v>
      </c>
      <c r="K814" s="11" t="str">
        <f ca="1">IFERROR(__xludf.DUMMYFUNCTION("SPLIT(J814,"";"")"),"Gouveia, L. ")</f>
        <v xml:space="preserve">Gouveia, L. </v>
      </c>
      <c r="L814" s="10"/>
      <c r="M814" s="10"/>
      <c r="N814" s="10"/>
      <c r="O814" s="10"/>
      <c r="P814" s="10"/>
      <c r="Q814" s="10"/>
      <c r="R814" s="10"/>
      <c r="S814" s="10"/>
      <c r="T814" s="10"/>
      <c r="U814" s="10"/>
      <c r="V814" s="10"/>
      <c r="W814" s="10"/>
      <c r="X814" s="10"/>
      <c r="Y814" s="10"/>
      <c r="Z814" s="10"/>
    </row>
    <row r="815" spans="1:26" ht="17.25" customHeight="1" x14ac:dyDescent="0.3">
      <c r="A815" s="10" t="s">
        <v>58</v>
      </c>
      <c r="B815" s="10">
        <f t="shared" si="0"/>
        <v>25</v>
      </c>
      <c r="C815" s="8" t="str">
        <f t="shared" si="1"/>
        <v xml:space="preserve">Peres, P. e Gouveia, L. </v>
      </c>
      <c r="D815" s="8" t="str">
        <f t="shared" si="2"/>
        <v>2012</v>
      </c>
      <c r="E815" s="10">
        <f t="shared" si="3"/>
        <v>30</v>
      </c>
      <c r="F815" s="10">
        <f t="shared" si="4"/>
        <v>131</v>
      </c>
      <c r="G815" s="8" t="str">
        <f t="shared" si="5"/>
        <v xml:space="preserve"> Desenhando Percursos de Aprendizagem: contributos para a estruturação de iniciativas de b-learning. </v>
      </c>
      <c r="H815" s="10" t="str">
        <f t="shared" si="6"/>
        <v xml:space="preserve">Peres, P. e Gouveia, L. </v>
      </c>
      <c r="I815" s="10" t="str">
        <f t="shared" si="7"/>
        <v xml:space="preserve">Peres, P. e Gouveia, L. </v>
      </c>
      <c r="J815" s="10" t="str">
        <f t="shared" si="8"/>
        <v xml:space="preserve">Peres, P.;Gouveia, L. </v>
      </c>
      <c r="K815" s="11" t="str">
        <f ca="1">IFERROR(__xludf.DUMMYFUNCTION("SPLIT(J815,"";"")"),"Peres, P.")</f>
        <v>Peres, P.</v>
      </c>
      <c r="L815" s="10" t="str">
        <f ca="1">IFERROR(__xludf.DUMMYFUNCTION("""COMPUTED_VALUE"""),"Gouveia, L. ")</f>
        <v xml:space="preserve">Gouveia, L. </v>
      </c>
      <c r="M815" s="10"/>
      <c r="N815" s="10"/>
      <c r="O815" s="10"/>
      <c r="P815" s="10"/>
      <c r="Q815" s="10"/>
      <c r="R815" s="10"/>
      <c r="S815" s="10"/>
      <c r="T815" s="10"/>
      <c r="U815" s="10"/>
      <c r="V815" s="10"/>
      <c r="W815" s="10"/>
      <c r="X815" s="10"/>
      <c r="Y815" s="10"/>
      <c r="Z815" s="10"/>
    </row>
    <row r="816" spans="1:26" ht="17.25" customHeight="1" x14ac:dyDescent="0.3">
      <c r="A816" s="10" t="s">
        <v>59</v>
      </c>
      <c r="B816" s="10">
        <f t="shared" si="0"/>
        <v>29</v>
      </c>
      <c r="C816" s="8" t="str">
        <f t="shared" si="1"/>
        <v xml:space="preserve">Fidalgo, F. and Gouveia, L. </v>
      </c>
      <c r="D816" s="8" t="str">
        <f t="shared" si="2"/>
        <v>2012</v>
      </c>
      <c r="E816" s="10">
        <f t="shared" si="3"/>
        <v>34</v>
      </c>
      <c r="F816" s="10">
        <f t="shared" si="4"/>
        <v>133</v>
      </c>
      <c r="G816" s="8" t="str">
        <f t="shared" si="5"/>
        <v xml:space="preserve"> Employee Turnover Impact in Organizational Knowledge Management: The Portuguese real Estate Case. </v>
      </c>
      <c r="H816" s="10" t="str">
        <f t="shared" si="6"/>
        <v xml:space="preserve">Fidalgo, F. ; Gouveia, L. </v>
      </c>
      <c r="I816" s="10" t="str">
        <f t="shared" si="7"/>
        <v xml:space="preserve">Fidalgo, F. ; Gouveia, L. </v>
      </c>
      <c r="J816" s="10" t="str">
        <f t="shared" si="8"/>
        <v xml:space="preserve">Fidalgo, F. ; Gouveia, L. </v>
      </c>
      <c r="K816" s="11" t="str">
        <f ca="1">IFERROR(__xludf.DUMMYFUNCTION("SPLIT(J816,"";"")"),"Fidalgo, F. ")</f>
        <v xml:space="preserve">Fidalgo, F. </v>
      </c>
      <c r="L816" s="10" t="str">
        <f ca="1">IFERROR(__xludf.DUMMYFUNCTION("""COMPUTED_VALUE""")," Gouveia, L. ")</f>
        <v xml:space="preserve"> Gouveia, L. </v>
      </c>
      <c r="M816" s="10"/>
      <c r="N816" s="10"/>
      <c r="O816" s="10"/>
      <c r="P816" s="10"/>
      <c r="Q816" s="10"/>
      <c r="R816" s="10"/>
      <c r="S816" s="10"/>
      <c r="T816" s="10"/>
      <c r="U816" s="10"/>
      <c r="V816" s="10"/>
      <c r="W816" s="10"/>
      <c r="X816" s="10"/>
      <c r="Y816" s="10"/>
      <c r="Z816" s="10"/>
    </row>
    <row r="817" spans="1:26" ht="17.25" customHeight="1" x14ac:dyDescent="0.3">
      <c r="A817" s="10" t="s">
        <v>60</v>
      </c>
      <c r="B817" s="10">
        <f t="shared" si="0"/>
        <v>42</v>
      </c>
      <c r="C817" s="8" t="str">
        <f t="shared" si="1"/>
        <v xml:space="preserve">Daradkeh, Y.; Selimi, D. and Gouveia, L. </v>
      </c>
      <c r="D817" s="8" t="str">
        <f t="shared" si="2"/>
        <v>2012</v>
      </c>
      <c r="E817" s="10">
        <f t="shared" si="3"/>
        <v>47</v>
      </c>
      <c r="F817" s="10">
        <f t="shared" si="4"/>
        <v>60</v>
      </c>
      <c r="G817" s="8" t="str">
        <f t="shared" si="5"/>
        <v xml:space="preserve"> e-books vs. </v>
      </c>
      <c r="H817" s="10" t="str">
        <f t="shared" si="6"/>
        <v xml:space="preserve">Daradkeh, Y.; Selimi, D. ; Gouveia, L. </v>
      </c>
      <c r="I817" s="10" t="str">
        <f t="shared" si="7"/>
        <v xml:space="preserve">Daradkeh, Y.; Selimi, D. ; Gouveia, L. </v>
      </c>
      <c r="J817" s="10" t="str">
        <f t="shared" si="8"/>
        <v xml:space="preserve">Daradkeh, Y.; Selimi, D. ; Gouveia, L. </v>
      </c>
      <c r="K817" s="11" t="str">
        <f ca="1">IFERROR(__xludf.DUMMYFUNCTION("SPLIT(J817,"";"")"),"Daradkeh, Y.")</f>
        <v>Daradkeh, Y.</v>
      </c>
      <c r="L817" s="10" t="str">
        <f ca="1">IFERROR(__xludf.DUMMYFUNCTION("""COMPUTED_VALUE""")," Selimi, D. ")</f>
        <v xml:space="preserve"> Selimi, D. </v>
      </c>
      <c r="M817" s="10" t="str">
        <f ca="1">IFERROR(__xludf.DUMMYFUNCTION("""COMPUTED_VALUE""")," Gouveia, L. ")</f>
        <v xml:space="preserve"> Gouveia, L. </v>
      </c>
      <c r="N817" s="10"/>
      <c r="O817" s="10"/>
      <c r="P817" s="10"/>
      <c r="Q817" s="10"/>
      <c r="R817" s="10"/>
      <c r="S817" s="10"/>
      <c r="T817" s="10"/>
      <c r="U817" s="10"/>
      <c r="V817" s="10"/>
      <c r="W817" s="10"/>
      <c r="X817" s="10"/>
      <c r="Y817" s="10"/>
      <c r="Z817" s="10"/>
    </row>
    <row r="818" spans="1:26" ht="17.25" customHeight="1" x14ac:dyDescent="0.3">
      <c r="A818" s="10" t="s">
        <v>61</v>
      </c>
      <c r="B818" s="10">
        <f t="shared" si="0"/>
        <v>26</v>
      </c>
      <c r="C818" s="8" t="str">
        <f t="shared" si="1"/>
        <v xml:space="preserve">Simões, L. e Gouveia, L. </v>
      </c>
      <c r="D818" s="8" t="str">
        <f t="shared" si="2"/>
        <v>2011</v>
      </c>
      <c r="E818" s="10">
        <f t="shared" si="3"/>
        <v>31</v>
      </c>
      <c r="F818" s="10">
        <f t="shared" si="4"/>
        <v>81</v>
      </c>
      <c r="G818" s="8" t="str">
        <f t="shared" si="5"/>
        <v xml:space="preserve"> Estudo exploratório sobre a utilização de Web 2.0</v>
      </c>
      <c r="H818" s="10" t="str">
        <f t="shared" si="6"/>
        <v xml:space="preserve">Simões, L. e Gouveia, L. </v>
      </c>
      <c r="I818" s="10" t="str">
        <f t="shared" si="7"/>
        <v xml:space="preserve">Simões, L. e Gouveia, L. </v>
      </c>
      <c r="J818" s="10" t="str">
        <f t="shared" si="8"/>
        <v xml:space="preserve">Simões, L.;Gouveia, L. </v>
      </c>
      <c r="K818" s="11" t="str">
        <f ca="1">IFERROR(__xludf.DUMMYFUNCTION("SPLIT(J818,"";"")"),"Simões, L.")</f>
        <v>Simões, L.</v>
      </c>
      <c r="L818" s="10" t="str">
        <f ca="1">IFERROR(__xludf.DUMMYFUNCTION("""COMPUTED_VALUE"""),"Gouveia, L. ")</f>
        <v xml:space="preserve">Gouveia, L. </v>
      </c>
      <c r="M818" s="10"/>
      <c r="N818" s="10"/>
      <c r="O818" s="10"/>
      <c r="P818" s="10"/>
      <c r="Q818" s="10"/>
      <c r="R818" s="10"/>
      <c r="S818" s="10"/>
      <c r="T818" s="10"/>
      <c r="U818" s="10"/>
      <c r="V818" s="10"/>
      <c r="W818" s="10"/>
      <c r="X818" s="10"/>
      <c r="Y818" s="10"/>
      <c r="Z818" s="10"/>
    </row>
    <row r="819" spans="1:26" ht="17.25" customHeight="1" x14ac:dyDescent="0.3">
      <c r="A819" s="10" t="s">
        <v>62</v>
      </c>
      <c r="B819" s="10">
        <f t="shared" si="0"/>
        <v>30</v>
      </c>
      <c r="C819" s="8" t="str">
        <f t="shared" si="1"/>
        <v xml:space="preserve">Simões, L., &amp; Gouveia, L. B. </v>
      </c>
      <c r="D819" s="8" t="str">
        <f t="shared" si="2"/>
        <v>2011</v>
      </c>
      <c r="E819" s="10">
        <f t="shared" si="3"/>
        <v>35</v>
      </c>
      <c r="F819" s="10">
        <f t="shared" si="4"/>
        <v>89</v>
      </c>
      <c r="G819" s="8" t="str">
        <f t="shared" si="5"/>
        <v xml:space="preserve"> Social Technology Appropriation in Higher Education. </v>
      </c>
      <c r="H819" s="10" t="str">
        <f t="shared" si="6"/>
        <v xml:space="preserve">Simões, L., &amp; Gouveia, L. B. </v>
      </c>
      <c r="I819" s="10" t="str">
        <f t="shared" si="7"/>
        <v xml:space="preserve">Simões, L.; &amp; Gouveia, L. B. </v>
      </c>
      <c r="J819" s="10" t="str">
        <f t="shared" si="8"/>
        <v xml:space="preserve">Simões, L.; &amp; Gouveia, L. B. </v>
      </c>
      <c r="K819" s="11" t="str">
        <f ca="1">IFERROR(__xludf.DUMMYFUNCTION("SPLIT(J819,"";"")"),"Simões, L.")</f>
        <v>Simões, L.</v>
      </c>
      <c r="L819" s="10" t="str">
        <f ca="1">IFERROR(__xludf.DUMMYFUNCTION("""COMPUTED_VALUE""")," &amp; Gouveia, L. B. ")</f>
        <v xml:space="preserve"> &amp; Gouveia, L. B. </v>
      </c>
      <c r="M819" s="10"/>
      <c r="N819" s="10"/>
      <c r="O819" s="10"/>
      <c r="P819" s="10"/>
      <c r="Q819" s="10"/>
      <c r="R819" s="10"/>
      <c r="S819" s="10"/>
      <c r="T819" s="10"/>
      <c r="U819" s="10"/>
      <c r="V819" s="10"/>
      <c r="W819" s="10"/>
      <c r="X819" s="10"/>
      <c r="Y819" s="10"/>
      <c r="Z819" s="10"/>
    </row>
    <row r="820" spans="1:26" ht="17.25" customHeight="1" x14ac:dyDescent="0.3">
      <c r="A820" s="10" t="s">
        <v>63</v>
      </c>
      <c r="B820" s="10">
        <f t="shared" si="0"/>
        <v>28</v>
      </c>
      <c r="C820" s="8" t="str">
        <f t="shared" si="1"/>
        <v xml:space="preserve">Abrantes, S. e Gouveia, L. </v>
      </c>
      <c r="D820" s="8" t="str">
        <f t="shared" si="2"/>
        <v>2011</v>
      </c>
      <c r="E820" s="10">
        <f t="shared" si="3"/>
        <v>33</v>
      </c>
      <c r="F820" s="10">
        <f t="shared" si="4"/>
        <v>193</v>
      </c>
      <c r="G820" s="8" t="str">
        <f t="shared" si="5"/>
        <v xml:space="preserve"> A adopção e difusão de práticas de m-learning no contexto do ensino superior: um estudo de avaliação do uso de dispositivos móveis em ambientes colaborativos. </v>
      </c>
      <c r="H820" s="10" t="str">
        <f t="shared" si="6"/>
        <v xml:space="preserve">Abrantes, S. e Gouveia, L. </v>
      </c>
      <c r="I820" s="10" t="str">
        <f t="shared" si="7"/>
        <v xml:space="preserve">Abrantes, S. e Gouveia, L. </v>
      </c>
      <c r="J820" s="10" t="str">
        <f t="shared" si="8"/>
        <v xml:space="preserve">Abrantes, S.;Gouveia, L. </v>
      </c>
      <c r="K820" s="11" t="str">
        <f ca="1">IFERROR(__xludf.DUMMYFUNCTION("SPLIT(J820,"";"")"),"Abrantes, S.")</f>
        <v>Abrantes, S.</v>
      </c>
      <c r="L820" s="10" t="str">
        <f ca="1">IFERROR(__xludf.DUMMYFUNCTION("""COMPUTED_VALUE"""),"Gouveia, L. ")</f>
        <v xml:space="preserve">Gouveia, L. </v>
      </c>
      <c r="M820" s="10"/>
      <c r="N820" s="10"/>
      <c r="O820" s="10"/>
      <c r="P820" s="10"/>
      <c r="Q820" s="10"/>
      <c r="R820" s="10"/>
      <c r="S820" s="10"/>
      <c r="T820" s="10"/>
      <c r="U820" s="10"/>
      <c r="V820" s="10"/>
      <c r="W820" s="10"/>
      <c r="X820" s="10"/>
      <c r="Y820" s="10"/>
      <c r="Z820" s="10"/>
    </row>
    <row r="821" spans="1:26" ht="17.25" customHeight="1" x14ac:dyDescent="0.3">
      <c r="A821" s="10" t="s">
        <v>64</v>
      </c>
      <c r="B821" s="10">
        <f t="shared" si="0"/>
        <v>28</v>
      </c>
      <c r="C821" s="8" t="str">
        <f t="shared" si="1"/>
        <v xml:space="preserve">Abrantes, S. e Gouveia, L. </v>
      </c>
      <c r="D821" s="8" t="str">
        <f t="shared" si="2"/>
        <v>2011</v>
      </c>
      <c r="E821" s="10">
        <f t="shared" si="3"/>
        <v>33</v>
      </c>
      <c r="F821" s="10">
        <f t="shared" si="4"/>
        <v>121</v>
      </c>
      <c r="G821" s="8" t="str">
        <f t="shared" si="5"/>
        <v xml:space="preserve"> Laptops vs Desktops in a Google Groups environment: a study on collaborative learning. </v>
      </c>
      <c r="H821" s="10" t="str">
        <f t="shared" si="6"/>
        <v xml:space="preserve">Abrantes, S. e Gouveia, L. </v>
      </c>
      <c r="I821" s="10" t="str">
        <f t="shared" si="7"/>
        <v xml:space="preserve">Abrantes, S. e Gouveia, L. </v>
      </c>
      <c r="J821" s="10" t="str">
        <f t="shared" si="8"/>
        <v xml:space="preserve">Abrantes, S.;Gouveia, L. </v>
      </c>
      <c r="K821" s="11" t="str">
        <f ca="1">IFERROR(__xludf.DUMMYFUNCTION("SPLIT(J821,"";"")"),"Abrantes, S.")</f>
        <v>Abrantes, S.</v>
      </c>
      <c r="L821" s="10" t="str">
        <f ca="1">IFERROR(__xludf.DUMMYFUNCTION("""COMPUTED_VALUE"""),"Gouveia, L. ")</f>
        <v xml:space="preserve">Gouveia, L. </v>
      </c>
      <c r="M821" s="10"/>
      <c r="N821" s="10"/>
      <c r="O821" s="10"/>
      <c r="P821" s="10"/>
      <c r="Q821" s="10"/>
      <c r="R821" s="10"/>
      <c r="S821" s="10"/>
      <c r="T821" s="10"/>
      <c r="U821" s="10"/>
      <c r="V821" s="10"/>
      <c r="W821" s="10"/>
      <c r="X821" s="10"/>
      <c r="Y821" s="10"/>
      <c r="Z821" s="10"/>
    </row>
    <row r="822" spans="1:26" ht="17.25" customHeight="1" x14ac:dyDescent="0.3">
      <c r="A822" s="10" t="s">
        <v>65</v>
      </c>
      <c r="B822" s="10">
        <f t="shared" si="0"/>
        <v>28</v>
      </c>
      <c r="C822" s="8" t="str">
        <f t="shared" si="1"/>
        <v xml:space="preserve">Abrantes, S. e Gouveia, L. </v>
      </c>
      <c r="D822" s="8" t="str">
        <f t="shared" si="2"/>
        <v>2010</v>
      </c>
      <c r="E822" s="10">
        <f t="shared" si="3"/>
        <v>33</v>
      </c>
      <c r="F822" s="10">
        <f t="shared" si="4"/>
        <v>165</v>
      </c>
      <c r="G822" s="8" t="str">
        <f t="shared" si="5"/>
        <v xml:space="preserve"> Evaluation Adoption of Innovations of Mobile Devices and Desktops within Collaborative Environments in a Higher Education Context. </v>
      </c>
      <c r="H822" s="10" t="str">
        <f t="shared" si="6"/>
        <v xml:space="preserve">Abrantes, S. e Gouveia, L. </v>
      </c>
      <c r="I822" s="10" t="str">
        <f t="shared" si="7"/>
        <v xml:space="preserve">Abrantes, S. e Gouveia, L. </v>
      </c>
      <c r="J822" s="10" t="str">
        <f t="shared" si="8"/>
        <v xml:space="preserve">Abrantes, S.;Gouveia, L. </v>
      </c>
      <c r="K822" s="11" t="str">
        <f ca="1">IFERROR(__xludf.DUMMYFUNCTION("SPLIT(J822,"";"")"),"Abrantes, S.")</f>
        <v>Abrantes, S.</v>
      </c>
      <c r="L822" s="10" t="str">
        <f ca="1">IFERROR(__xludf.DUMMYFUNCTION("""COMPUTED_VALUE"""),"Gouveia, L. ")</f>
        <v xml:space="preserve">Gouveia, L. </v>
      </c>
      <c r="M822" s="10"/>
      <c r="N822" s="10"/>
      <c r="O822" s="10"/>
      <c r="P822" s="10"/>
      <c r="Q822" s="10"/>
      <c r="R822" s="10"/>
      <c r="S822" s="10"/>
      <c r="T822" s="10"/>
      <c r="U822" s="10"/>
      <c r="V822" s="10"/>
      <c r="W822" s="10"/>
      <c r="X822" s="10"/>
      <c r="Y822" s="10"/>
      <c r="Z822" s="10"/>
    </row>
    <row r="823" spans="1:26" ht="17.25" customHeight="1" x14ac:dyDescent="0.3">
      <c r="A823" s="10" t="s">
        <v>66</v>
      </c>
      <c r="B823" s="10">
        <f t="shared" si="0"/>
        <v>31</v>
      </c>
      <c r="C823" s="8" t="str">
        <f t="shared" si="1"/>
        <v xml:space="preserve">Constantino, J. e Gouveia, L. </v>
      </c>
      <c r="D823" s="8" t="str">
        <f t="shared" si="2"/>
        <v>2009</v>
      </c>
      <c r="E823" s="10">
        <f t="shared" si="3"/>
        <v>36</v>
      </c>
      <c r="F823" s="10">
        <f t="shared" si="4"/>
        <v>134</v>
      </c>
      <c r="G823" s="8" t="str">
        <f t="shared" si="5"/>
        <v xml:space="preserve"> Contributos para o estudo do capital social no contexto de comunidades virtuais de participação. </v>
      </c>
      <c r="H823" s="10" t="str">
        <f t="shared" si="6"/>
        <v xml:space="preserve">Constantino, J. e Gouveia, L. </v>
      </c>
      <c r="I823" s="10" t="str">
        <f t="shared" si="7"/>
        <v xml:space="preserve">Constantino, J. e Gouveia, L. </v>
      </c>
      <c r="J823" s="10" t="str">
        <f t="shared" si="8"/>
        <v xml:space="preserve">Constantino, J.;Gouveia, L. </v>
      </c>
      <c r="K823" s="11" t="str">
        <f ca="1">IFERROR(__xludf.DUMMYFUNCTION("SPLIT(J823,"";"")"),"Constantino, J.")</f>
        <v>Constantino, J.</v>
      </c>
      <c r="L823" s="10" t="str">
        <f ca="1">IFERROR(__xludf.DUMMYFUNCTION("""COMPUTED_VALUE"""),"Gouveia, L. ")</f>
        <v xml:space="preserve">Gouveia, L. </v>
      </c>
      <c r="M823" s="10"/>
      <c r="N823" s="10"/>
      <c r="O823" s="10"/>
      <c r="P823" s="10"/>
      <c r="Q823" s="10"/>
      <c r="R823" s="10"/>
      <c r="S823" s="10"/>
      <c r="T823" s="10"/>
      <c r="U823" s="10"/>
      <c r="V823" s="10"/>
      <c r="W823" s="10"/>
      <c r="X823" s="10"/>
      <c r="Y823" s="10"/>
      <c r="Z823" s="10"/>
    </row>
    <row r="824" spans="1:26" ht="17.25" customHeight="1" x14ac:dyDescent="0.3">
      <c r="A824" s="10" t="s">
        <v>67</v>
      </c>
      <c r="B824" s="10">
        <f t="shared" si="0"/>
        <v>13</v>
      </c>
      <c r="C824" s="8" t="str">
        <f t="shared" si="1"/>
        <v xml:space="preserve">Gouveia, L. </v>
      </c>
      <c r="D824" s="8" t="str">
        <f t="shared" si="2"/>
        <v>2002</v>
      </c>
      <c r="E824" s="10">
        <f t="shared" si="3"/>
        <v>18</v>
      </c>
      <c r="F824" s="10">
        <f t="shared" si="4"/>
        <v>119</v>
      </c>
      <c r="G824" s="8" t="str">
        <f t="shared" si="5"/>
        <v xml:space="preserve"> Is there any room for face-to-face teaching in a digital world? A proposed framework for web usage. </v>
      </c>
      <c r="H824" s="10" t="str">
        <f t="shared" si="6"/>
        <v xml:space="preserve">Gouveia, L. </v>
      </c>
      <c r="I824" s="10" t="str">
        <f t="shared" si="7"/>
        <v xml:space="preserve">Gouveia, L. </v>
      </c>
      <c r="J824" s="10" t="str">
        <f t="shared" si="8"/>
        <v xml:space="preserve">Gouveia, L. </v>
      </c>
      <c r="K824" s="11" t="str">
        <f ca="1">IFERROR(__xludf.DUMMYFUNCTION("SPLIT(J824,"";"")"),"Gouveia, L. ")</f>
        <v xml:space="preserve">Gouveia, L. </v>
      </c>
      <c r="L824" s="10"/>
      <c r="M824" s="10"/>
      <c r="N824" s="10"/>
      <c r="O824" s="10"/>
      <c r="P824" s="10"/>
      <c r="Q824" s="10"/>
      <c r="R824" s="10"/>
      <c r="S824" s="10"/>
      <c r="T824" s="10"/>
      <c r="U824" s="10"/>
      <c r="V824" s="10"/>
      <c r="W824" s="10"/>
      <c r="X824" s="10"/>
      <c r="Y824" s="10"/>
      <c r="Z824" s="10"/>
    </row>
    <row r="825" spans="1:26" ht="17.25" customHeight="1" x14ac:dyDescent="0.3">
      <c r="A825" s="10" t="s">
        <v>69</v>
      </c>
      <c r="B825" s="10">
        <f t="shared" si="0"/>
        <v>13</v>
      </c>
      <c r="C825" s="8" t="str">
        <f t="shared" si="1"/>
        <v xml:space="preserve">Gouveia, L. </v>
      </c>
      <c r="D825" s="8" t="str">
        <f t="shared" si="2"/>
        <v>1999</v>
      </c>
      <c r="E825" s="10">
        <f t="shared" si="3"/>
        <v>18</v>
      </c>
      <c r="F825" s="10">
        <f t="shared" si="4"/>
        <v>58</v>
      </c>
      <c r="G825" s="8" t="str">
        <f t="shared" si="5"/>
        <v xml:space="preserve"> Digital support for teachers teaching. </v>
      </c>
      <c r="H825" s="10" t="str">
        <f t="shared" si="6"/>
        <v xml:space="preserve">Gouveia, L. </v>
      </c>
      <c r="I825" s="10" t="str">
        <f t="shared" si="7"/>
        <v xml:space="preserve">Gouveia, L. </v>
      </c>
      <c r="J825" s="10" t="str">
        <f t="shared" si="8"/>
        <v xml:space="preserve">Gouveia, L. </v>
      </c>
      <c r="K825" s="11" t="str">
        <f ca="1">IFERROR(__xludf.DUMMYFUNCTION("SPLIT(J825,"";"")"),"Gouveia, L. ")</f>
        <v xml:space="preserve">Gouveia, L. </v>
      </c>
      <c r="L825" s="10"/>
      <c r="M825" s="10"/>
      <c r="N825" s="10"/>
      <c r="O825" s="10"/>
      <c r="P825" s="10"/>
      <c r="Q825" s="10"/>
      <c r="R825" s="10"/>
      <c r="S825" s="10"/>
      <c r="T825" s="10"/>
      <c r="U825" s="10"/>
      <c r="V825" s="10"/>
      <c r="W825" s="10"/>
      <c r="X825" s="10"/>
      <c r="Y825" s="10"/>
      <c r="Z825" s="10"/>
    </row>
    <row r="826" spans="1:26" ht="17.25" customHeight="1" x14ac:dyDescent="0.3">
      <c r="A826" s="10" t="s">
        <v>70</v>
      </c>
      <c r="B826" s="10" t="e">
        <f t="shared" si="0"/>
        <v>#VALUE!</v>
      </c>
      <c r="C826" s="8" t="e">
        <f t="shared" si="1"/>
        <v>#VALUE!</v>
      </c>
      <c r="D826" s="8" t="e">
        <f t="shared" si="2"/>
        <v>#VALUE!</v>
      </c>
      <c r="E826" s="10" t="e">
        <f t="shared" si="3"/>
        <v>#VALUE!</v>
      </c>
      <c r="F826" s="10" t="e">
        <f t="shared" si="4"/>
        <v>#VALUE!</v>
      </c>
      <c r="G826" s="8" t="e">
        <f t="shared" si="5"/>
        <v>#VALUE!</v>
      </c>
      <c r="H826" s="10" t="e">
        <f t="shared" si="6"/>
        <v>#VALUE!</v>
      </c>
      <c r="I826" s="10" t="e">
        <f t="shared" si="7"/>
        <v>#VALUE!</v>
      </c>
      <c r="J826" s="10" t="e">
        <f t="shared" si="8"/>
        <v>#VALUE!</v>
      </c>
      <c r="K826" s="11" t="str">
        <f ca="1">IFERROR(__xludf.DUMMYFUNCTION("SPLIT(J826,"";"")"),"#VALUE!")</f>
        <v>#VALUE!</v>
      </c>
      <c r="L826" s="10"/>
      <c r="M826" s="10"/>
      <c r="N826" s="10"/>
      <c r="O826" s="10"/>
      <c r="P826" s="10"/>
      <c r="Q826" s="10"/>
      <c r="R826" s="10"/>
      <c r="S826" s="10"/>
      <c r="T826" s="10"/>
      <c r="U826" s="10"/>
      <c r="V826" s="10"/>
      <c r="W826" s="10"/>
      <c r="X826" s="10"/>
      <c r="Y826" s="10"/>
      <c r="Z826" s="10"/>
    </row>
    <row r="827" spans="1:26" ht="17.25" customHeight="1" x14ac:dyDescent="0.3">
      <c r="A827" s="10" t="s">
        <v>71</v>
      </c>
      <c r="B827" s="10">
        <f t="shared" si="0"/>
        <v>25</v>
      </c>
      <c r="C827" s="8" t="str">
        <f t="shared" si="1"/>
        <v xml:space="preserve">Sousa, C. e Gouveia, L. </v>
      </c>
      <c r="D827" s="8" t="str">
        <f t="shared" si="2"/>
        <v>2019</v>
      </c>
      <c r="E827" s="10">
        <f t="shared" si="3"/>
        <v>30</v>
      </c>
      <c r="F827" s="10">
        <f t="shared" si="4"/>
        <v>102</v>
      </c>
      <c r="G827" s="8" t="str">
        <f t="shared" si="5"/>
        <v xml:space="preserve"> Modelos de gestão do conhecimento em bibliotecas acadêmicas do Brasil. </v>
      </c>
      <c r="H827" s="10" t="str">
        <f t="shared" si="6"/>
        <v xml:space="preserve">Sousa, C. e Gouveia, L. </v>
      </c>
      <c r="I827" s="10" t="str">
        <f t="shared" si="7"/>
        <v xml:space="preserve">Sousa, C. e Gouveia, L. </v>
      </c>
      <c r="J827" s="10" t="str">
        <f t="shared" si="8"/>
        <v xml:space="preserve">Sousa, C.;Gouveia, L. </v>
      </c>
      <c r="K827" s="11" t="str">
        <f ca="1">IFERROR(__xludf.DUMMYFUNCTION("SPLIT(J827,"";"")"),"Sousa, C.")</f>
        <v>Sousa, C.</v>
      </c>
      <c r="L827" s="10" t="str">
        <f ca="1">IFERROR(__xludf.DUMMYFUNCTION("""COMPUTED_VALUE"""),"Gouveia, L. ")</f>
        <v xml:space="preserve">Gouveia, L. </v>
      </c>
      <c r="M827" s="10"/>
      <c r="N827" s="10"/>
      <c r="O827" s="10"/>
      <c r="P827" s="10"/>
      <c r="Q827" s="10"/>
      <c r="R827" s="10"/>
      <c r="S827" s="10"/>
      <c r="T827" s="10"/>
      <c r="U827" s="10"/>
      <c r="V827" s="10"/>
      <c r="W827" s="10"/>
      <c r="X827" s="10"/>
      <c r="Y827" s="10"/>
      <c r="Z827" s="10"/>
    </row>
    <row r="828" spans="1:26" ht="17.25" customHeight="1" x14ac:dyDescent="0.3">
      <c r="A828" s="10" t="s">
        <v>72</v>
      </c>
      <c r="B828" s="10">
        <f t="shared" si="0"/>
        <v>35</v>
      </c>
      <c r="C828" s="8" t="str">
        <f t="shared" si="1"/>
        <v xml:space="preserve">Lopes, S.; Gouveia, L. e Reis, P. </v>
      </c>
      <c r="D828" s="8" t="str">
        <f t="shared" si="2"/>
        <v>2019</v>
      </c>
      <c r="E828" s="10">
        <f t="shared" si="3"/>
        <v>40</v>
      </c>
      <c r="F828" s="10">
        <f t="shared" si="4"/>
        <v>119</v>
      </c>
      <c r="G828" s="8" t="str">
        <f t="shared" si="5"/>
        <v xml:space="preserve"> A sala de aula invertida num cenário potencial de integração com a Wikipédia. </v>
      </c>
      <c r="H828" s="10" t="str">
        <f t="shared" si="6"/>
        <v xml:space="preserve">Lopes, S.; Gouveia, L. e Reis, P. </v>
      </c>
      <c r="I828" s="10" t="str">
        <f t="shared" si="7"/>
        <v xml:space="preserve">Lopes, S.; Gouveia, L. e Reis, P. </v>
      </c>
      <c r="J828" s="10" t="str">
        <f t="shared" si="8"/>
        <v xml:space="preserve">Lopes, S.; Gouveia, L.;Reis, P. </v>
      </c>
      <c r="K828" s="11" t="str">
        <f ca="1">IFERROR(__xludf.DUMMYFUNCTION("SPLIT(J828,"";"")"),"Lopes, S.")</f>
        <v>Lopes, S.</v>
      </c>
      <c r="L828" s="10" t="str">
        <f ca="1">IFERROR(__xludf.DUMMYFUNCTION("""COMPUTED_VALUE""")," Gouveia, L.")</f>
        <v xml:space="preserve"> Gouveia, L.</v>
      </c>
      <c r="M828" s="10" t="str">
        <f ca="1">IFERROR(__xludf.DUMMYFUNCTION("""COMPUTED_VALUE"""),"Reis, P. ")</f>
        <v xml:space="preserve">Reis, P. </v>
      </c>
      <c r="N828" s="10"/>
      <c r="O828" s="10"/>
      <c r="P828" s="10"/>
      <c r="Q828" s="10"/>
      <c r="R828" s="10"/>
      <c r="S828" s="10"/>
      <c r="T828" s="10"/>
      <c r="U828" s="10"/>
      <c r="V828" s="10"/>
      <c r="W828" s="10"/>
      <c r="X828" s="10"/>
      <c r="Y828" s="10"/>
      <c r="Z828" s="10"/>
    </row>
    <row r="829" spans="1:26" ht="17.25" customHeight="1" x14ac:dyDescent="0.3">
      <c r="A829" s="10" t="s">
        <v>73</v>
      </c>
      <c r="B829" s="10">
        <f t="shared" si="0"/>
        <v>25</v>
      </c>
      <c r="C829" s="8" t="str">
        <f t="shared" si="1"/>
        <v xml:space="preserve">Gouveia, L. e Mançu, R. </v>
      </c>
      <c r="D829" s="8" t="str">
        <f t="shared" si="2"/>
        <v>2019</v>
      </c>
      <c r="E829" s="10">
        <f t="shared" si="3"/>
        <v>30</v>
      </c>
      <c r="F829" s="10">
        <f t="shared" si="4"/>
        <v>188</v>
      </c>
      <c r="G829" s="8" t="str">
        <f t="shared" si="5"/>
        <v xml:space="preserve"> Modelo de Matriz de Diagnóstico e Avaliação de Desempenho de Sistemas de Gestão Integrados (SGI) da Qualidade, Meio Ambiente, Segurança e Saúde no Trabalho. </v>
      </c>
      <c r="H829" s="10" t="str">
        <f t="shared" si="6"/>
        <v xml:space="preserve">Gouveia, L. e Mançu, R. </v>
      </c>
      <c r="I829" s="10" t="str">
        <f t="shared" si="7"/>
        <v xml:space="preserve">Gouveia, L. e Mançu, R. </v>
      </c>
      <c r="J829" s="10" t="str">
        <f t="shared" si="8"/>
        <v xml:space="preserve">Gouveia, L.;Mançu, R. </v>
      </c>
      <c r="K829" s="11" t="str">
        <f ca="1">IFERROR(__xludf.DUMMYFUNCTION("SPLIT(J829,"";"")"),"Gouveia, L.")</f>
        <v>Gouveia, L.</v>
      </c>
      <c r="L829" s="10" t="str">
        <f ca="1">IFERROR(__xludf.DUMMYFUNCTION("""COMPUTED_VALUE"""),"Mançu, R. ")</f>
        <v xml:space="preserve">Mançu, R. </v>
      </c>
      <c r="M829" s="10"/>
      <c r="N829" s="10"/>
      <c r="O829" s="10"/>
      <c r="P829" s="10"/>
      <c r="Q829" s="10"/>
      <c r="R829" s="10"/>
      <c r="S829" s="10"/>
      <c r="T829" s="10"/>
      <c r="U829" s="10"/>
      <c r="V829" s="10"/>
      <c r="W829" s="10"/>
      <c r="X829" s="10"/>
      <c r="Y829" s="10"/>
      <c r="Z829" s="10"/>
    </row>
    <row r="830" spans="1:26" ht="17.25" customHeight="1" x14ac:dyDescent="0.3">
      <c r="A830" s="10" t="s">
        <v>74</v>
      </c>
      <c r="B830" s="10">
        <f t="shared" si="0"/>
        <v>24</v>
      </c>
      <c r="C830" s="8" t="str">
        <f t="shared" si="1"/>
        <v xml:space="preserve">Lima, C. e Gouveia, L. </v>
      </c>
      <c r="D830" s="8" t="str">
        <f t="shared" si="2"/>
        <v>2019</v>
      </c>
      <c r="E830" s="10">
        <f t="shared" si="3"/>
        <v>29</v>
      </c>
      <c r="F830" s="10">
        <f t="shared" si="4"/>
        <v>97</v>
      </c>
      <c r="G830" s="8" t="str">
        <f t="shared" si="5"/>
        <v xml:space="preserve"> Interações entre os Agentes envolvidos no Portal da Transparência. </v>
      </c>
      <c r="H830" s="10" t="str">
        <f t="shared" si="6"/>
        <v xml:space="preserve">Lima, C. e Gouveia, L. </v>
      </c>
      <c r="I830" s="10" t="str">
        <f t="shared" si="7"/>
        <v xml:space="preserve">Lima, C. e Gouveia, L. </v>
      </c>
      <c r="J830" s="10" t="str">
        <f t="shared" si="8"/>
        <v xml:space="preserve">Lima, C.;Gouveia, L. </v>
      </c>
      <c r="K830" s="11" t="str">
        <f ca="1">IFERROR(__xludf.DUMMYFUNCTION("SPLIT(J830,"";"")"),"Lima, C.")</f>
        <v>Lima, C.</v>
      </c>
      <c r="L830" s="10" t="str">
        <f ca="1">IFERROR(__xludf.DUMMYFUNCTION("""COMPUTED_VALUE"""),"Gouveia, L. ")</f>
        <v xml:space="preserve">Gouveia, L. </v>
      </c>
      <c r="M830" s="10"/>
      <c r="N830" s="10"/>
      <c r="O830" s="10"/>
      <c r="P830" s="10"/>
      <c r="Q830" s="10"/>
      <c r="R830" s="10"/>
      <c r="S830" s="10"/>
      <c r="T830" s="10"/>
      <c r="U830" s="10"/>
      <c r="V830" s="10"/>
      <c r="W830" s="10"/>
      <c r="X830" s="10"/>
      <c r="Y830" s="10"/>
      <c r="Z830" s="10"/>
    </row>
    <row r="831" spans="1:26" ht="17.25" customHeight="1" x14ac:dyDescent="0.3">
      <c r="A831" s="10" t="s">
        <v>75</v>
      </c>
      <c r="B831" s="10">
        <f t="shared" si="0"/>
        <v>27</v>
      </c>
      <c r="C831" s="8" t="str">
        <f t="shared" si="1"/>
        <v xml:space="preserve">Martins, E. e Gouveia, L. </v>
      </c>
      <c r="D831" s="8" t="str">
        <f t="shared" si="2"/>
        <v>2019</v>
      </c>
      <c r="E831" s="10">
        <f t="shared" si="3"/>
        <v>32</v>
      </c>
      <c r="F831" s="10">
        <f t="shared" si="4"/>
        <v>136</v>
      </c>
      <c r="G831" s="8" t="str">
        <f t="shared" si="5"/>
        <v xml:space="preserve"> Produção de dissertações e teses sobre sala de aula invertida nos cursos de pós-graduação brasileiros. </v>
      </c>
      <c r="H831" s="10" t="str">
        <f t="shared" si="6"/>
        <v xml:space="preserve">Martins, E. e Gouveia, L. </v>
      </c>
      <c r="I831" s="10" t="str">
        <f t="shared" si="7"/>
        <v xml:space="preserve">Martins, E. e Gouveia, L. </v>
      </c>
      <c r="J831" s="10" t="str">
        <f t="shared" si="8"/>
        <v xml:space="preserve">Martins, E.;Gouveia, L. </v>
      </c>
      <c r="K831" s="11" t="str">
        <f ca="1">IFERROR(__xludf.DUMMYFUNCTION("SPLIT(J831,"";"")"),"Martins, E.")</f>
        <v>Martins, E.</v>
      </c>
      <c r="L831" s="10" t="str">
        <f ca="1">IFERROR(__xludf.DUMMYFUNCTION("""COMPUTED_VALUE"""),"Gouveia, L. ")</f>
        <v xml:space="preserve">Gouveia, L. </v>
      </c>
      <c r="M831" s="10"/>
      <c r="N831" s="10"/>
      <c r="O831" s="10"/>
      <c r="P831" s="10"/>
      <c r="Q831" s="10"/>
      <c r="R831" s="10"/>
      <c r="S831" s="10"/>
      <c r="T831" s="10"/>
      <c r="U831" s="10"/>
      <c r="V831" s="10"/>
      <c r="W831" s="10"/>
      <c r="X831" s="10"/>
      <c r="Y831" s="10"/>
      <c r="Z831" s="10"/>
    </row>
    <row r="832" spans="1:26" ht="17.25" customHeight="1" x14ac:dyDescent="0.3">
      <c r="A832" s="10" t="s">
        <v>76</v>
      </c>
      <c r="B832" s="10">
        <f t="shared" si="0"/>
        <v>27</v>
      </c>
      <c r="C832" s="8" t="str">
        <f t="shared" si="1"/>
        <v xml:space="preserve">Martins, E. e Gouveia, L. </v>
      </c>
      <c r="D832" s="8" t="str">
        <f t="shared" si="2"/>
        <v>2019</v>
      </c>
      <c r="E832" s="10">
        <f t="shared" si="3"/>
        <v>32</v>
      </c>
      <c r="F832" s="10">
        <f t="shared" si="4"/>
        <v>165</v>
      </c>
      <c r="G832" s="8" t="str">
        <f t="shared" si="5"/>
        <v xml:space="preserve"> Comparação entre a Metodologia de Sala de Aula Invertida e a Metodologia de Aula Tradicional em um Curso de Engenharia de Produção. </v>
      </c>
      <c r="H832" s="10" t="str">
        <f t="shared" si="6"/>
        <v xml:space="preserve">Martins, E. e Gouveia, L. </v>
      </c>
      <c r="I832" s="10" t="str">
        <f t="shared" si="7"/>
        <v xml:space="preserve">Martins, E. e Gouveia, L. </v>
      </c>
      <c r="J832" s="10" t="str">
        <f t="shared" si="8"/>
        <v xml:space="preserve">Martins, E.;Gouveia, L. </v>
      </c>
      <c r="K832" s="11" t="str">
        <f ca="1">IFERROR(__xludf.DUMMYFUNCTION("SPLIT(J832,"";"")"),"Martins, E.")</f>
        <v>Martins, E.</v>
      </c>
      <c r="L832" s="10" t="str">
        <f ca="1">IFERROR(__xludf.DUMMYFUNCTION("""COMPUTED_VALUE"""),"Gouveia, L. ")</f>
        <v xml:space="preserve">Gouveia, L. </v>
      </c>
      <c r="M832" s="10"/>
      <c r="N832" s="10"/>
      <c r="O832" s="10"/>
      <c r="P832" s="10"/>
      <c r="Q832" s="10"/>
      <c r="R832" s="10"/>
      <c r="S832" s="10"/>
      <c r="T832" s="10"/>
      <c r="U832" s="10"/>
      <c r="V832" s="10"/>
      <c r="W832" s="10"/>
      <c r="X832" s="10"/>
      <c r="Y832" s="10"/>
      <c r="Z832" s="10"/>
    </row>
    <row r="833" spans="1:26" ht="17.25" customHeight="1" x14ac:dyDescent="0.3">
      <c r="A833" s="10" t="s">
        <v>77</v>
      </c>
      <c r="B833" s="10">
        <f t="shared" si="0"/>
        <v>27</v>
      </c>
      <c r="C833" s="8" t="str">
        <f t="shared" si="1"/>
        <v xml:space="preserve">Martins, E. e Gouveia, L. </v>
      </c>
      <c r="D833" s="8" t="str">
        <f t="shared" si="2"/>
        <v>2019</v>
      </c>
      <c r="E833" s="10">
        <f t="shared" si="3"/>
        <v>32</v>
      </c>
      <c r="F833" s="10">
        <f t="shared" si="4"/>
        <v>45</v>
      </c>
      <c r="G833" s="8" t="str">
        <f t="shared" si="5"/>
        <v xml:space="preserve"> Martins, E.;</v>
      </c>
      <c r="H833" s="10" t="str">
        <f t="shared" si="6"/>
        <v xml:space="preserve">Martins, E. e Gouveia, L. </v>
      </c>
      <c r="I833" s="10" t="str">
        <f t="shared" si="7"/>
        <v xml:space="preserve">Martins, E. e Gouveia, L. </v>
      </c>
      <c r="J833" s="10" t="str">
        <f t="shared" si="8"/>
        <v xml:space="preserve">Martins, E.;Gouveia, L. </v>
      </c>
      <c r="K833" s="11" t="str">
        <f ca="1">IFERROR(__xludf.DUMMYFUNCTION("SPLIT(J833,"";"")"),"Martins, E.")</f>
        <v>Martins, E.</v>
      </c>
      <c r="L833" s="10" t="str">
        <f ca="1">IFERROR(__xludf.DUMMYFUNCTION("""COMPUTED_VALUE"""),"Gouveia, L. ")</f>
        <v xml:space="preserve">Gouveia, L. </v>
      </c>
      <c r="M833" s="10"/>
      <c r="N833" s="10"/>
      <c r="O833" s="10"/>
      <c r="P833" s="10"/>
      <c r="Q833" s="10"/>
      <c r="R833" s="10"/>
      <c r="S833" s="10"/>
      <c r="T833" s="10"/>
      <c r="U833" s="10"/>
      <c r="V833" s="10"/>
      <c r="W833" s="10"/>
      <c r="X833" s="10"/>
      <c r="Y833" s="10"/>
      <c r="Z833" s="10"/>
    </row>
    <row r="834" spans="1:26" ht="17.25" customHeight="1" x14ac:dyDescent="0.3">
      <c r="A834" s="10" t="s">
        <v>78</v>
      </c>
      <c r="B834" s="10">
        <f t="shared" si="0"/>
        <v>26</v>
      </c>
      <c r="C834" s="8" t="str">
        <f t="shared" si="1"/>
        <v xml:space="preserve">Araujo, A. e Gouveia, L. </v>
      </c>
      <c r="D834" s="8" t="str">
        <f t="shared" si="2"/>
        <v>2019</v>
      </c>
      <c r="E834" s="10">
        <f t="shared" si="3"/>
        <v>31</v>
      </c>
      <c r="F834" s="10">
        <f t="shared" si="4"/>
        <v>133</v>
      </c>
      <c r="G834" s="8" t="str">
        <f t="shared" si="5"/>
        <v xml:space="preserve"> Implantação de um Sistema de Informação de Ouvidoria em uma Instituição de Ensino de Nível Superior. </v>
      </c>
      <c r="H834" s="10" t="str">
        <f t="shared" si="6"/>
        <v xml:space="preserve">Araujo, A. e Gouveia, L. </v>
      </c>
      <c r="I834" s="10" t="str">
        <f t="shared" si="7"/>
        <v xml:space="preserve">Araujo, A. e Gouveia, L. </v>
      </c>
      <c r="J834" s="10" t="str">
        <f t="shared" si="8"/>
        <v xml:space="preserve">Araujo, A.;Gouveia, L. </v>
      </c>
      <c r="K834" s="11" t="str">
        <f ca="1">IFERROR(__xludf.DUMMYFUNCTION("SPLIT(J834,"";"")"),"Araujo, A.")</f>
        <v>Araujo, A.</v>
      </c>
      <c r="L834" s="10" t="str">
        <f ca="1">IFERROR(__xludf.DUMMYFUNCTION("""COMPUTED_VALUE"""),"Gouveia, L. ")</f>
        <v xml:space="preserve">Gouveia, L. </v>
      </c>
      <c r="M834" s="10"/>
      <c r="N834" s="10"/>
      <c r="O834" s="10"/>
      <c r="P834" s="10"/>
      <c r="Q834" s="10"/>
      <c r="R834" s="10"/>
      <c r="S834" s="10"/>
      <c r="T834" s="10"/>
      <c r="U834" s="10"/>
      <c r="V834" s="10"/>
      <c r="W834" s="10"/>
      <c r="X834" s="10"/>
      <c r="Y834" s="10"/>
      <c r="Z834" s="10"/>
    </row>
    <row r="835" spans="1:26" ht="17.25" customHeight="1" x14ac:dyDescent="0.3">
      <c r="A835" s="10" t="s">
        <v>80</v>
      </c>
      <c r="B835" s="10">
        <f t="shared" si="0"/>
        <v>26</v>
      </c>
      <c r="C835" s="8" t="str">
        <f t="shared" si="1"/>
        <v xml:space="preserve">Araújo, A. e Gouveia, L. </v>
      </c>
      <c r="D835" s="8" t="str">
        <f t="shared" si="2"/>
        <v>2018</v>
      </c>
      <c r="E835" s="10">
        <f t="shared" si="3"/>
        <v>31</v>
      </c>
      <c r="F835" s="10">
        <f t="shared" si="4"/>
        <v>201</v>
      </c>
      <c r="G835" s="8" t="str">
        <f t="shared" si="5"/>
        <v xml:space="preserve"> O Digital nas Instituições de Ensino Superior: um diagnóstico sobre a percepção da comunidade acadêmica de uma instituição de ensino superior em Belém do Pará (Brasil). </v>
      </c>
      <c r="H835" s="10" t="str">
        <f t="shared" si="6"/>
        <v xml:space="preserve">Araújo, A. e Gouveia, L. </v>
      </c>
      <c r="I835" s="10" t="str">
        <f t="shared" si="7"/>
        <v xml:space="preserve">Araújo, A. e Gouveia, L. </v>
      </c>
      <c r="J835" s="10" t="str">
        <f t="shared" si="8"/>
        <v xml:space="preserve">Araújo, A.;Gouveia, L. </v>
      </c>
      <c r="K835" s="11" t="str">
        <f ca="1">IFERROR(__xludf.DUMMYFUNCTION("SPLIT(J835,"";"")"),"Araújo, A.")</f>
        <v>Araújo, A.</v>
      </c>
      <c r="L835" s="10" t="str">
        <f ca="1">IFERROR(__xludf.DUMMYFUNCTION("""COMPUTED_VALUE"""),"Gouveia, L. ")</f>
        <v xml:space="preserve">Gouveia, L. </v>
      </c>
      <c r="M835" s="10"/>
      <c r="N835" s="10"/>
      <c r="O835" s="10"/>
      <c r="P835" s="10"/>
      <c r="Q835" s="10"/>
      <c r="R835" s="10"/>
      <c r="S835" s="10"/>
      <c r="T835" s="10"/>
      <c r="U835" s="10"/>
      <c r="V835" s="10"/>
      <c r="W835" s="10"/>
      <c r="X835" s="10"/>
      <c r="Y835" s="10"/>
      <c r="Z835" s="10"/>
    </row>
    <row r="836" spans="1:26" ht="17.25" customHeight="1" x14ac:dyDescent="0.3">
      <c r="A836" s="10" t="s">
        <v>81</v>
      </c>
      <c r="B836" s="10">
        <f t="shared" si="0"/>
        <v>26</v>
      </c>
      <c r="C836" s="8" t="str">
        <f t="shared" si="1"/>
        <v xml:space="preserve">Guerra, F. e Gouveia, L. </v>
      </c>
      <c r="D836" s="8" t="str">
        <f t="shared" si="2"/>
        <v>2018</v>
      </c>
      <c r="E836" s="10">
        <f t="shared" si="3"/>
        <v>31</v>
      </c>
      <c r="F836" s="10">
        <f t="shared" si="4"/>
        <v>127</v>
      </c>
      <c r="G836" s="8" t="str">
        <f t="shared" si="5"/>
        <v xml:space="preserve"> Política tecnológica de combate à sonegação fiscal e seus reflexos nos processos das empresas. </v>
      </c>
      <c r="H836" s="10" t="str">
        <f t="shared" si="6"/>
        <v xml:space="preserve">Guerra, F. e Gouveia, L. </v>
      </c>
      <c r="I836" s="10" t="str">
        <f t="shared" si="7"/>
        <v xml:space="preserve">Guerra, F. e Gouveia, L. </v>
      </c>
      <c r="J836" s="10" t="str">
        <f t="shared" si="8"/>
        <v xml:space="preserve">Guerra, F.;Gouveia, L. </v>
      </c>
      <c r="K836" s="11" t="str">
        <f ca="1">IFERROR(__xludf.DUMMYFUNCTION("SPLIT(J836,"";"")"),"Guerra, F.")</f>
        <v>Guerra, F.</v>
      </c>
      <c r="L836" s="10" t="str">
        <f ca="1">IFERROR(__xludf.DUMMYFUNCTION("""COMPUTED_VALUE"""),"Gouveia, L. ")</f>
        <v xml:space="preserve">Gouveia, L. </v>
      </c>
      <c r="M836" s="10"/>
      <c r="N836" s="10"/>
      <c r="O836" s="10"/>
      <c r="P836" s="10"/>
      <c r="Q836" s="10"/>
      <c r="R836" s="10"/>
      <c r="S836" s="10"/>
      <c r="T836" s="10"/>
      <c r="U836" s="10"/>
      <c r="V836" s="10"/>
      <c r="W836" s="10"/>
      <c r="X836" s="10"/>
      <c r="Y836" s="10"/>
      <c r="Z836" s="10"/>
    </row>
    <row r="837" spans="1:26" ht="17.25" customHeight="1" x14ac:dyDescent="0.3">
      <c r="A837" s="10" t="s">
        <v>82</v>
      </c>
      <c r="B837" s="10">
        <f t="shared" si="0"/>
        <v>26</v>
      </c>
      <c r="C837" s="8" t="str">
        <f t="shared" si="1"/>
        <v xml:space="preserve">Araújo, A. e Gouveia, L. </v>
      </c>
      <c r="D837" s="8" t="str">
        <f t="shared" si="2"/>
        <v>2018</v>
      </c>
      <c r="E837" s="10">
        <f t="shared" si="3"/>
        <v>31</v>
      </c>
      <c r="F837" s="10">
        <f t="shared" si="4"/>
        <v>115</v>
      </c>
      <c r="G837" s="8" t="str">
        <f t="shared" si="5"/>
        <v xml:space="preserve"> A informação como fator diferenciados para o sucesso estratégico das organizações. </v>
      </c>
      <c r="H837" s="10" t="str">
        <f t="shared" si="6"/>
        <v xml:space="preserve">Araújo, A. e Gouveia, L. </v>
      </c>
      <c r="I837" s="10" t="str">
        <f t="shared" si="7"/>
        <v xml:space="preserve">Araújo, A. e Gouveia, L. </v>
      </c>
      <c r="J837" s="10" t="str">
        <f t="shared" si="8"/>
        <v xml:space="preserve">Araújo, A.;Gouveia, L. </v>
      </c>
      <c r="K837" s="11" t="str">
        <f ca="1">IFERROR(__xludf.DUMMYFUNCTION("SPLIT(J837,"";"")"),"Araújo, A.")</f>
        <v>Araújo, A.</v>
      </c>
      <c r="L837" s="10" t="str">
        <f ca="1">IFERROR(__xludf.DUMMYFUNCTION("""COMPUTED_VALUE"""),"Gouveia, L. ")</f>
        <v xml:space="preserve">Gouveia, L. </v>
      </c>
      <c r="M837" s="10"/>
      <c r="N837" s="10"/>
      <c r="O837" s="10"/>
      <c r="P837" s="10"/>
      <c r="Q837" s="10"/>
      <c r="R837" s="10"/>
      <c r="S837" s="10"/>
      <c r="T837" s="10"/>
      <c r="U837" s="10"/>
      <c r="V837" s="10"/>
      <c r="W837" s="10"/>
      <c r="X837" s="10"/>
      <c r="Y837" s="10"/>
      <c r="Z837" s="10"/>
    </row>
    <row r="838" spans="1:26" ht="17.25" customHeight="1" x14ac:dyDescent="0.3">
      <c r="A838" s="10" t="s">
        <v>83</v>
      </c>
      <c r="B838" s="10">
        <f t="shared" si="0"/>
        <v>27</v>
      </c>
      <c r="C838" s="8" t="str">
        <f t="shared" si="1"/>
        <v xml:space="preserve">Gouveia, L. e Morgado, R. </v>
      </c>
      <c r="D838" s="8" t="str">
        <f t="shared" si="2"/>
        <v>2017</v>
      </c>
      <c r="E838" s="10">
        <f t="shared" si="3"/>
        <v>32</v>
      </c>
      <c r="F838" s="10">
        <f t="shared" si="4"/>
        <v>111</v>
      </c>
      <c r="G838" s="8" t="str">
        <f t="shared" si="5"/>
        <v xml:space="preserve"> A importância das Ciberarmas no Contexto da Ciberdefesa de um Pequeno Estado. </v>
      </c>
      <c r="H838" s="10" t="str">
        <f t="shared" si="6"/>
        <v xml:space="preserve">Gouveia, L. e Morgado, R. </v>
      </c>
      <c r="I838" s="10" t="str">
        <f t="shared" si="7"/>
        <v xml:space="preserve">Gouveia, L. e Morgado, R. </v>
      </c>
      <c r="J838" s="10" t="str">
        <f t="shared" si="8"/>
        <v xml:space="preserve">Gouveia, L.;Morgado, R. </v>
      </c>
      <c r="K838" s="11" t="str">
        <f ca="1">IFERROR(__xludf.DUMMYFUNCTION("SPLIT(J838,"";"")"),"Gouveia, L.")</f>
        <v>Gouveia, L.</v>
      </c>
      <c r="L838" s="10" t="str">
        <f ca="1">IFERROR(__xludf.DUMMYFUNCTION("""COMPUTED_VALUE"""),"Morgado, R. ")</f>
        <v xml:space="preserve">Morgado, R. </v>
      </c>
      <c r="M838" s="10"/>
      <c r="N838" s="10"/>
      <c r="O838" s="10"/>
      <c r="P838" s="10"/>
      <c r="Q838" s="10"/>
      <c r="R838" s="10"/>
      <c r="S838" s="10"/>
      <c r="T838" s="10"/>
      <c r="U838" s="10"/>
      <c r="V838" s="10"/>
      <c r="W838" s="10"/>
      <c r="X838" s="10"/>
      <c r="Y838" s="10"/>
      <c r="Z838" s="10"/>
    </row>
    <row r="839" spans="1:26" ht="17.25" customHeight="1" x14ac:dyDescent="0.3">
      <c r="A839" s="10" t="s">
        <v>84</v>
      </c>
      <c r="B839" s="10">
        <f t="shared" si="0"/>
        <v>25</v>
      </c>
      <c r="C839" s="8" t="str">
        <f t="shared" si="1"/>
        <v xml:space="preserve">Gouveia, L. e Couto, P. </v>
      </c>
      <c r="D839" s="8" t="str">
        <f t="shared" si="2"/>
        <v>2017</v>
      </c>
      <c r="E839" s="10">
        <f t="shared" si="3"/>
        <v>30</v>
      </c>
      <c r="F839" s="10">
        <f t="shared" si="4"/>
        <v>144</v>
      </c>
      <c r="G839" s="8" t="str">
        <f t="shared" si="5"/>
        <v xml:space="preserve"> A importância crescente do Capital Humano, Intelectual, Social e Territorial e a sua associação ao conhecimento. </v>
      </c>
      <c r="H839" s="10" t="str">
        <f t="shared" si="6"/>
        <v xml:space="preserve">Gouveia, L. e Couto, P. </v>
      </c>
      <c r="I839" s="10" t="str">
        <f t="shared" si="7"/>
        <v xml:space="preserve">Gouveia, L. e Couto, P. </v>
      </c>
      <c r="J839" s="10" t="str">
        <f t="shared" si="8"/>
        <v xml:space="preserve">Gouveia, L.;Couto, P. </v>
      </c>
      <c r="K839" s="11" t="str">
        <f ca="1">IFERROR(__xludf.DUMMYFUNCTION("SPLIT(J839,"";"")"),"Gouveia, L.")</f>
        <v>Gouveia, L.</v>
      </c>
      <c r="L839" s="10" t="str">
        <f ca="1">IFERROR(__xludf.DUMMYFUNCTION("""COMPUTED_VALUE"""),"Couto, P. ")</f>
        <v xml:space="preserve">Couto, P. </v>
      </c>
      <c r="M839" s="10"/>
      <c r="N839" s="10"/>
      <c r="O839" s="10"/>
      <c r="P839" s="10"/>
      <c r="Q839" s="10"/>
      <c r="R839" s="10"/>
      <c r="S839" s="10"/>
      <c r="T839" s="10"/>
      <c r="U839" s="10"/>
      <c r="V839" s="10"/>
      <c r="W839" s="10"/>
      <c r="X839" s="10"/>
      <c r="Y839" s="10"/>
      <c r="Z839" s="10"/>
    </row>
    <row r="840" spans="1:26" ht="17.25" customHeight="1" x14ac:dyDescent="0.3">
      <c r="A840" s="10" t="s">
        <v>85</v>
      </c>
      <c r="B840" s="10">
        <f t="shared" si="0"/>
        <v>25</v>
      </c>
      <c r="C840" s="8" t="str">
        <f t="shared" si="1"/>
        <v xml:space="preserve">Gouveia, L. e Pinto, C. </v>
      </c>
      <c r="D840" s="8" t="str">
        <f t="shared" si="2"/>
        <v>2017</v>
      </c>
      <c r="E840" s="10">
        <f t="shared" si="3"/>
        <v>30</v>
      </c>
      <c r="F840" s="10">
        <f t="shared" si="4"/>
        <v>136</v>
      </c>
      <c r="G840" s="8" t="str">
        <f t="shared" si="5"/>
        <v xml:space="preserve"> Contributo para a discussão sobre a contabilização do Conhecimento e do Capital Humano nas Organizações. </v>
      </c>
      <c r="H840" s="10" t="str">
        <f t="shared" si="6"/>
        <v xml:space="preserve">Gouveia, L. e Pinto, C. </v>
      </c>
      <c r="I840" s="10" t="str">
        <f t="shared" si="7"/>
        <v xml:space="preserve">Gouveia, L. e Pinto, C. </v>
      </c>
      <c r="J840" s="10" t="str">
        <f t="shared" si="8"/>
        <v xml:space="preserve">Gouveia, L.;Pinto, C. </v>
      </c>
      <c r="K840" s="11" t="str">
        <f ca="1">IFERROR(__xludf.DUMMYFUNCTION("SPLIT(J840,"";"")"),"Gouveia, L.")</f>
        <v>Gouveia, L.</v>
      </c>
      <c r="L840" s="10" t="str">
        <f ca="1">IFERROR(__xludf.DUMMYFUNCTION("""COMPUTED_VALUE"""),"Pinto, C. ")</f>
        <v xml:space="preserve">Pinto, C. </v>
      </c>
      <c r="M840" s="10"/>
      <c r="N840" s="10"/>
      <c r="O840" s="10"/>
      <c r="P840" s="10"/>
      <c r="Q840" s="10"/>
      <c r="R840" s="10"/>
      <c r="S840" s="10"/>
      <c r="T840" s="10"/>
      <c r="U840" s="10"/>
      <c r="V840" s="10"/>
      <c r="W840" s="10"/>
      <c r="X840" s="10"/>
      <c r="Y840" s="10"/>
      <c r="Z840" s="10"/>
    </row>
    <row r="841" spans="1:26" ht="17.25" customHeight="1" x14ac:dyDescent="0.3">
      <c r="A841" s="10" t="s">
        <v>86</v>
      </c>
      <c r="B841" s="10">
        <f t="shared" si="0"/>
        <v>26</v>
      </c>
      <c r="C841" s="8" t="str">
        <f t="shared" si="1"/>
        <v xml:space="preserve">Araújo, A. e Gouveia, L. </v>
      </c>
      <c r="D841" s="8" t="str">
        <f t="shared" si="2"/>
        <v>2016</v>
      </c>
      <c r="E841" s="10">
        <f t="shared" si="3"/>
        <v>31</v>
      </c>
      <c r="F841" s="10">
        <f t="shared" si="4"/>
        <v>94</v>
      </c>
      <c r="G841" s="8" t="str">
        <f t="shared" si="5"/>
        <v xml:space="preserve"> Uma Revisão sobre os Princípios da Teoria Geral dos Sistemas. </v>
      </c>
      <c r="H841" s="10" t="str">
        <f t="shared" si="6"/>
        <v xml:space="preserve">Araújo, A. e Gouveia, L. </v>
      </c>
      <c r="I841" s="10" t="str">
        <f t="shared" si="7"/>
        <v xml:space="preserve">Araújo, A. e Gouveia, L. </v>
      </c>
      <c r="J841" s="10" t="str">
        <f t="shared" si="8"/>
        <v xml:space="preserve">Araújo, A.;Gouveia, L. </v>
      </c>
      <c r="K841" s="11" t="str">
        <f ca="1">IFERROR(__xludf.DUMMYFUNCTION("SPLIT(J841,"";"")"),"Araújo, A.")</f>
        <v>Araújo, A.</v>
      </c>
      <c r="L841" s="10" t="str">
        <f ca="1">IFERROR(__xludf.DUMMYFUNCTION("""COMPUTED_VALUE"""),"Gouveia, L. ")</f>
        <v xml:space="preserve">Gouveia, L. </v>
      </c>
      <c r="M841" s="10"/>
      <c r="N841" s="10"/>
      <c r="O841" s="10"/>
      <c r="P841" s="10"/>
      <c r="Q841" s="10"/>
      <c r="R841" s="10"/>
      <c r="S841" s="10"/>
      <c r="T841" s="10"/>
      <c r="U841" s="10"/>
      <c r="V841" s="10"/>
      <c r="W841" s="10"/>
      <c r="X841" s="10"/>
      <c r="Y841" s="10"/>
      <c r="Z841" s="10"/>
    </row>
    <row r="842" spans="1:26" ht="17.25" customHeight="1" x14ac:dyDescent="0.3">
      <c r="A842" s="10" t="s">
        <v>87</v>
      </c>
      <c r="B842" s="10">
        <f t="shared" si="0"/>
        <v>25</v>
      </c>
      <c r="C842" s="8" t="str">
        <f t="shared" si="1"/>
        <v xml:space="preserve">Gouveia, L. e Neves, J. </v>
      </c>
      <c r="D842" s="8" t="str">
        <f t="shared" si="2"/>
        <v>2014</v>
      </c>
      <c r="E842" s="10">
        <f t="shared" si="3"/>
        <v>30</v>
      </c>
      <c r="F842" s="10">
        <f t="shared" si="4"/>
        <v>139</v>
      </c>
      <c r="G842" s="8" t="str">
        <f t="shared" si="5"/>
        <v xml:space="preserve"> O Digital e a Sociedade em Rede: contribuições para a importância de considerar a questão da (ciber)defesa.R</v>
      </c>
      <c r="H842" s="10" t="str">
        <f t="shared" si="6"/>
        <v xml:space="preserve">Gouveia, L. e Neves, J. </v>
      </c>
      <c r="I842" s="10" t="str">
        <f t="shared" si="7"/>
        <v xml:space="preserve">Gouveia, L. e Neves, J. </v>
      </c>
      <c r="J842" s="10" t="str">
        <f t="shared" si="8"/>
        <v xml:space="preserve">Gouveia, L.;Neves, J. </v>
      </c>
      <c r="K842" s="11" t="str">
        <f ca="1">IFERROR(__xludf.DUMMYFUNCTION("SPLIT(J842,"";"")"),"Gouveia, L.")</f>
        <v>Gouveia, L.</v>
      </c>
      <c r="L842" s="10" t="str">
        <f ca="1">IFERROR(__xludf.DUMMYFUNCTION("""COMPUTED_VALUE"""),"Neves, J. ")</f>
        <v xml:space="preserve">Neves, J. </v>
      </c>
      <c r="M842" s="10"/>
      <c r="N842" s="10"/>
      <c r="O842" s="10"/>
      <c r="P842" s="10"/>
      <c r="Q842" s="10"/>
      <c r="R842" s="10"/>
      <c r="S842" s="10"/>
      <c r="T842" s="10"/>
      <c r="U842" s="10"/>
      <c r="V842" s="10"/>
      <c r="W842" s="10"/>
      <c r="X842" s="10"/>
      <c r="Y842" s="10"/>
      <c r="Z842" s="10"/>
    </row>
    <row r="843" spans="1:26" ht="17.25" customHeight="1" x14ac:dyDescent="0.3">
      <c r="A843" s="10" t="s">
        <v>88</v>
      </c>
      <c r="B843" s="10">
        <f t="shared" si="0"/>
        <v>25</v>
      </c>
      <c r="C843" s="8" t="str">
        <f t="shared" si="1"/>
        <v xml:space="preserve">Gouveia, L. e Neves, J. </v>
      </c>
      <c r="D843" s="8" t="str">
        <f t="shared" si="2"/>
        <v>2014</v>
      </c>
      <c r="E843" s="10">
        <f t="shared" si="3"/>
        <v>30</v>
      </c>
      <c r="F843" s="10">
        <f t="shared" si="4"/>
        <v>128</v>
      </c>
      <c r="G843" s="8" t="str">
        <f t="shared" si="5"/>
        <v xml:space="preserve"> Uma reflexão sobre o E-Government em Cidades Médias: o impacte do digital no contexto português.R</v>
      </c>
      <c r="H843" s="10" t="str">
        <f t="shared" si="6"/>
        <v xml:space="preserve">Gouveia, L. e Neves, J. </v>
      </c>
      <c r="I843" s="10" t="str">
        <f t="shared" si="7"/>
        <v xml:space="preserve">Gouveia, L. e Neves, J. </v>
      </c>
      <c r="J843" s="10" t="str">
        <f t="shared" si="8"/>
        <v xml:space="preserve">Gouveia, L.;Neves, J. </v>
      </c>
      <c r="K843" s="11" t="str">
        <f ca="1">IFERROR(__xludf.DUMMYFUNCTION("SPLIT(J843,"";"")"),"Gouveia, L.")</f>
        <v>Gouveia, L.</v>
      </c>
      <c r="L843" s="10" t="str">
        <f ca="1">IFERROR(__xludf.DUMMYFUNCTION("""COMPUTED_VALUE"""),"Neves, J. ")</f>
        <v xml:space="preserve">Neves, J. </v>
      </c>
      <c r="M843" s="10"/>
      <c r="N843" s="10"/>
      <c r="O843" s="10"/>
      <c r="P843" s="10"/>
      <c r="Q843" s="10"/>
      <c r="R843" s="10"/>
      <c r="S843" s="10"/>
      <c r="T843" s="10"/>
      <c r="U843" s="10"/>
      <c r="V843" s="10"/>
      <c r="W843" s="10"/>
      <c r="X843" s="10"/>
      <c r="Y843" s="10"/>
      <c r="Z843" s="10"/>
    </row>
    <row r="844" spans="1:26" ht="17.25" customHeight="1" x14ac:dyDescent="0.3">
      <c r="A844" s="10" t="s">
        <v>89</v>
      </c>
      <c r="B844" s="10">
        <f t="shared" si="0"/>
        <v>27</v>
      </c>
      <c r="C844" s="8" t="str">
        <f t="shared" si="1"/>
        <v xml:space="preserve">Cardoso, T. e Gouveia, L. </v>
      </c>
      <c r="D844" s="8" t="str">
        <f t="shared" si="2"/>
        <v>2013</v>
      </c>
      <c r="E844" s="10">
        <f t="shared" si="3"/>
        <v>32</v>
      </c>
      <c r="F844" s="10">
        <f t="shared" si="4"/>
        <v>61</v>
      </c>
      <c r="G844" s="8" t="str">
        <f t="shared" si="5"/>
        <v xml:space="preserve"> As redes sociais e a Web 2.0</v>
      </c>
      <c r="H844" s="10" t="str">
        <f t="shared" si="6"/>
        <v xml:space="preserve">Cardoso, T. e Gouveia, L. </v>
      </c>
      <c r="I844" s="10" t="str">
        <f t="shared" si="7"/>
        <v xml:space="preserve">Cardoso, T. e Gouveia, L. </v>
      </c>
      <c r="J844" s="10" t="str">
        <f t="shared" si="8"/>
        <v xml:space="preserve">Cardoso, T.;Gouveia, L. </v>
      </c>
      <c r="K844" s="11" t="str">
        <f ca="1">IFERROR(__xludf.DUMMYFUNCTION("SPLIT(J844,"";"")"),"Cardoso, T.")</f>
        <v>Cardoso, T.</v>
      </c>
      <c r="L844" s="10" t="str">
        <f ca="1">IFERROR(__xludf.DUMMYFUNCTION("""COMPUTED_VALUE"""),"Gouveia, L. ")</f>
        <v xml:space="preserve">Gouveia, L. </v>
      </c>
      <c r="M844" s="10"/>
      <c r="N844" s="10"/>
      <c r="O844" s="10"/>
      <c r="P844" s="10"/>
      <c r="Q844" s="10"/>
      <c r="R844" s="10"/>
      <c r="S844" s="10"/>
      <c r="T844" s="10"/>
      <c r="U844" s="10"/>
      <c r="V844" s="10"/>
      <c r="W844" s="10"/>
      <c r="X844" s="10"/>
      <c r="Y844" s="10"/>
      <c r="Z844" s="10"/>
    </row>
    <row r="845" spans="1:26" ht="17.25" customHeight="1" x14ac:dyDescent="0.3">
      <c r="A845" s="10" t="s">
        <v>90</v>
      </c>
      <c r="B845" s="10">
        <f t="shared" si="0"/>
        <v>25</v>
      </c>
      <c r="C845" s="8" t="str">
        <f t="shared" si="1"/>
        <v xml:space="preserve">Moura, P. e Gouveia, L. </v>
      </c>
      <c r="D845" s="8" t="str">
        <f t="shared" si="2"/>
        <v>2011</v>
      </c>
      <c r="E845" s="10">
        <f t="shared" si="3"/>
        <v>30</v>
      </c>
      <c r="F845" s="10">
        <f t="shared" si="4"/>
        <v>124</v>
      </c>
      <c r="G845" s="8" t="str">
        <f t="shared" si="5"/>
        <v xml:space="preserve"> Gestão da oferta cultural nos museus: uma proposta de reflexão sobre a oportunidade digital. </v>
      </c>
      <c r="H845" s="10" t="str">
        <f t="shared" si="6"/>
        <v xml:space="preserve">Moura, P. e Gouveia, L. </v>
      </c>
      <c r="I845" s="10" t="str">
        <f t="shared" si="7"/>
        <v xml:space="preserve">Moura, P. e Gouveia, L. </v>
      </c>
      <c r="J845" s="10" t="str">
        <f t="shared" si="8"/>
        <v xml:space="preserve">Moura, P.;Gouveia, L. </v>
      </c>
      <c r="K845" s="11" t="str">
        <f ca="1">IFERROR(__xludf.DUMMYFUNCTION("SPLIT(J845,"";"")"),"Moura, P.")</f>
        <v>Moura, P.</v>
      </c>
      <c r="L845" s="10" t="str">
        <f ca="1">IFERROR(__xludf.DUMMYFUNCTION("""COMPUTED_VALUE"""),"Gouveia, L. ")</f>
        <v xml:space="preserve">Gouveia, L. </v>
      </c>
      <c r="M845" s="10"/>
      <c r="N845" s="10"/>
      <c r="O845" s="10"/>
      <c r="P845" s="10"/>
      <c r="Q845" s="10"/>
      <c r="R845" s="10"/>
      <c r="S845" s="10"/>
      <c r="T845" s="10"/>
      <c r="U845" s="10"/>
      <c r="V845" s="10"/>
      <c r="W845" s="10"/>
      <c r="X845" s="10"/>
      <c r="Y845" s="10"/>
      <c r="Z845" s="10"/>
    </row>
    <row r="846" spans="1:26" ht="17.25" customHeight="1" x14ac:dyDescent="0.3">
      <c r="A846" s="10" t="s">
        <v>91</v>
      </c>
      <c r="B846" s="10">
        <f t="shared" si="0"/>
        <v>26</v>
      </c>
      <c r="C846" s="8" t="str">
        <f t="shared" si="1"/>
        <v xml:space="preserve">Simões, L. e Gouveia, L. </v>
      </c>
      <c r="D846" s="8" t="str">
        <f t="shared" si="2"/>
        <v>2011</v>
      </c>
      <c r="E846" s="10">
        <f t="shared" si="3"/>
        <v>31</v>
      </c>
      <c r="F846" s="10">
        <f t="shared" si="4"/>
        <v>65</v>
      </c>
      <c r="G846" s="8" t="str">
        <f t="shared" si="5"/>
        <v xml:space="preserve"> Apropriação de tecnologia Web 2.0</v>
      </c>
      <c r="H846" s="10" t="str">
        <f t="shared" si="6"/>
        <v xml:space="preserve">Simões, L. e Gouveia, L. </v>
      </c>
      <c r="I846" s="10" t="str">
        <f t="shared" si="7"/>
        <v xml:space="preserve">Simões, L. e Gouveia, L. </v>
      </c>
      <c r="J846" s="10" t="str">
        <f t="shared" si="8"/>
        <v xml:space="preserve">Simões, L.;Gouveia, L. </v>
      </c>
      <c r="K846" s="11" t="str">
        <f ca="1">IFERROR(__xludf.DUMMYFUNCTION("SPLIT(J846,"";"")"),"Simões, L.")</f>
        <v>Simões, L.</v>
      </c>
      <c r="L846" s="10" t="str">
        <f ca="1">IFERROR(__xludf.DUMMYFUNCTION("""COMPUTED_VALUE"""),"Gouveia, L. ")</f>
        <v xml:space="preserve">Gouveia, L. </v>
      </c>
      <c r="M846" s="10"/>
      <c r="N846" s="10"/>
      <c r="O846" s="10"/>
      <c r="P846" s="10"/>
      <c r="Q846" s="10"/>
      <c r="R846" s="10"/>
      <c r="S846" s="10"/>
      <c r="T846" s="10"/>
      <c r="U846" s="10"/>
      <c r="V846" s="10"/>
      <c r="W846" s="10"/>
      <c r="X846" s="10"/>
      <c r="Y846" s="10"/>
      <c r="Z846" s="10"/>
    </row>
    <row r="847" spans="1:26" ht="17.25" customHeight="1" x14ac:dyDescent="0.3">
      <c r="A847" s="10" t="s">
        <v>93</v>
      </c>
      <c r="B847" s="10">
        <f t="shared" si="0"/>
        <v>34</v>
      </c>
      <c r="C847" s="8" t="str">
        <f t="shared" si="1"/>
        <v xml:space="preserve">Reiter, Johannes and Gouveia, L. </v>
      </c>
      <c r="D847" s="8" t="str">
        <f t="shared" si="2"/>
        <v>2010</v>
      </c>
      <c r="E847" s="10">
        <f t="shared" si="3"/>
        <v>39</v>
      </c>
      <c r="F847" s="10">
        <f t="shared" si="4"/>
        <v>66</v>
      </c>
      <c r="G847" s="8" t="str">
        <f t="shared" si="5"/>
        <v xml:space="preserve"> Different views on Web 2.0</v>
      </c>
      <c r="H847" s="10" t="str">
        <f t="shared" si="6"/>
        <v xml:space="preserve">Reiter, Johannes ; Gouveia, L. </v>
      </c>
      <c r="I847" s="10" t="str">
        <f t="shared" si="7"/>
        <v xml:space="preserve">Reiter, Johannes ; Gouveia, L. </v>
      </c>
      <c r="J847" s="10" t="str">
        <f t="shared" si="8"/>
        <v xml:space="preserve">Reiter, Johannes ; Gouveia, L. </v>
      </c>
      <c r="K847" s="11" t="str">
        <f ca="1">IFERROR(__xludf.DUMMYFUNCTION("SPLIT(J847,"";"")"),"Reiter, Johannes ")</f>
        <v xml:space="preserve">Reiter, Johannes </v>
      </c>
      <c r="L847" s="10" t="str">
        <f ca="1">IFERROR(__xludf.DUMMYFUNCTION("""COMPUTED_VALUE""")," Gouveia, L. ")</f>
        <v xml:space="preserve"> Gouveia, L. </v>
      </c>
      <c r="M847" s="10"/>
      <c r="N847" s="10"/>
      <c r="O847" s="10"/>
      <c r="P847" s="10"/>
      <c r="Q847" s="10"/>
      <c r="R847" s="10"/>
      <c r="S847" s="10"/>
      <c r="T847" s="10"/>
      <c r="U847" s="10"/>
      <c r="V847" s="10"/>
      <c r="W847" s="10"/>
      <c r="X847" s="10"/>
      <c r="Y847" s="10"/>
      <c r="Z847" s="10"/>
    </row>
    <row r="848" spans="1:26" ht="17.25" customHeight="1" x14ac:dyDescent="0.3">
      <c r="A848" s="10" t="s">
        <v>94</v>
      </c>
      <c r="B848" s="10">
        <f t="shared" si="0"/>
        <v>26</v>
      </c>
      <c r="C848" s="8" t="str">
        <f t="shared" si="1"/>
        <v xml:space="preserve">Soigne, C. e Gouveia, L. </v>
      </c>
      <c r="D848" s="8" t="str">
        <f t="shared" si="2"/>
        <v>2011</v>
      </c>
      <c r="E848" s="10">
        <f t="shared" si="3"/>
        <v>31</v>
      </c>
      <c r="F848" s="10">
        <f t="shared" si="4"/>
        <v>54</v>
      </c>
      <c r="G848" s="8" t="str">
        <f t="shared" si="5"/>
        <v xml:space="preserve"> Universidade Virtual. </v>
      </c>
      <c r="H848" s="10" t="str">
        <f t="shared" si="6"/>
        <v xml:space="preserve">Soigne, C. e Gouveia, L. </v>
      </c>
      <c r="I848" s="10" t="str">
        <f t="shared" si="7"/>
        <v xml:space="preserve">Soigne, C. e Gouveia, L. </v>
      </c>
      <c r="J848" s="10" t="str">
        <f t="shared" si="8"/>
        <v xml:space="preserve">Soigne, C.;Gouveia, L. </v>
      </c>
      <c r="K848" s="11" t="str">
        <f ca="1">IFERROR(__xludf.DUMMYFUNCTION("SPLIT(J848,"";"")"),"Soigne, C.")</f>
        <v>Soigne, C.</v>
      </c>
      <c r="L848" s="10" t="str">
        <f ca="1">IFERROR(__xludf.DUMMYFUNCTION("""COMPUTED_VALUE"""),"Gouveia, L. ")</f>
        <v xml:space="preserve">Gouveia, L. </v>
      </c>
      <c r="M848" s="10"/>
      <c r="N848" s="10"/>
      <c r="O848" s="10"/>
      <c r="P848" s="10"/>
      <c r="Q848" s="10"/>
      <c r="R848" s="10"/>
      <c r="S848" s="10"/>
      <c r="T848" s="10"/>
      <c r="U848" s="10"/>
      <c r="V848" s="10"/>
      <c r="W848" s="10"/>
      <c r="X848" s="10"/>
      <c r="Y848" s="10"/>
      <c r="Z848" s="10"/>
    </row>
    <row r="849" spans="1:26" ht="17.25" customHeight="1" x14ac:dyDescent="0.3">
      <c r="A849" s="10" t="s">
        <v>95</v>
      </c>
      <c r="B849" s="10">
        <f t="shared" si="0"/>
        <v>28</v>
      </c>
      <c r="C849" s="8" t="str">
        <f t="shared" si="1"/>
        <v xml:space="preserve">Abrantes, S. e Gouveia, L. </v>
      </c>
      <c r="D849" s="8" t="str">
        <f t="shared" si="2"/>
        <v>2010</v>
      </c>
      <c r="E849" s="10">
        <f t="shared" si="3"/>
        <v>33</v>
      </c>
      <c r="F849" s="10">
        <f t="shared" si="4"/>
        <v>117</v>
      </c>
      <c r="G849" s="8" t="str">
        <f t="shared" si="5"/>
        <v xml:space="preserve"> O recurso a jogos de computador para suporte à aprendizagem: breve sistematização. </v>
      </c>
      <c r="H849" s="10" t="str">
        <f t="shared" si="6"/>
        <v xml:space="preserve">Abrantes, S. e Gouveia, L. </v>
      </c>
      <c r="I849" s="10" t="str">
        <f t="shared" si="7"/>
        <v xml:space="preserve">Abrantes, S. e Gouveia, L. </v>
      </c>
      <c r="J849" s="10" t="str">
        <f t="shared" si="8"/>
        <v xml:space="preserve">Abrantes, S.;Gouveia, L. </v>
      </c>
      <c r="K849" s="11" t="str">
        <f ca="1">IFERROR(__xludf.DUMMYFUNCTION("SPLIT(J849,"";"")"),"Abrantes, S.")</f>
        <v>Abrantes, S.</v>
      </c>
      <c r="L849" s="10" t="str">
        <f ca="1">IFERROR(__xludf.DUMMYFUNCTION("""COMPUTED_VALUE"""),"Gouveia, L. ")</f>
        <v xml:space="preserve">Gouveia, L. </v>
      </c>
      <c r="M849" s="10"/>
      <c r="N849" s="10"/>
      <c r="O849" s="10"/>
      <c r="P849" s="10"/>
      <c r="Q849" s="10"/>
      <c r="R849" s="10"/>
      <c r="S849" s="10"/>
      <c r="T849" s="10"/>
      <c r="U849" s="10"/>
      <c r="V849" s="10"/>
      <c r="W849" s="10"/>
      <c r="X849" s="10"/>
      <c r="Y849" s="10"/>
      <c r="Z849" s="10"/>
    </row>
    <row r="850" spans="1:26" ht="17.25" customHeight="1" x14ac:dyDescent="0.3">
      <c r="A850" s="10" t="s">
        <v>96</v>
      </c>
      <c r="B850" s="10">
        <f t="shared" si="0"/>
        <v>160</v>
      </c>
      <c r="C850" s="8" t="str">
        <f t="shared" si="1"/>
        <v xml:space="preserve">Sousa, P.; Rodrigues, E.; Cunha, M.; Neves, A.; Santos, A.; Malheiro, A.; Dudziak, E.; Ribeiro,F.; Reis, G.; Menou, M.; Ferreira, M.; Gouveia, L. e Santos, R. </v>
      </c>
      <c r="D850" s="8" t="str">
        <f t="shared" si="2"/>
        <v>2007</v>
      </c>
      <c r="E850" s="10">
        <f t="shared" si="3"/>
        <v>165</v>
      </c>
      <c r="F850" s="10">
        <f t="shared" si="4"/>
        <v>239</v>
      </c>
      <c r="G850" s="8" t="str">
        <f t="shared" si="5"/>
        <v xml:space="preserve"> A blogosfera: perspectivas e desafios no campo da ciência da informação. </v>
      </c>
      <c r="H850" s="10" t="str">
        <f t="shared" si="6"/>
        <v xml:space="preserve">Sousa, P.; Rodrigues, E.; Cunha, M.; Neves, A.; Santos, A.; Malheiro, A.; Dudziak, E.; Ribeiro,F.; Reis, G.; Menou, M.; Ferreira, M.; Gouveia, L. e Santos, R. </v>
      </c>
      <c r="I850" s="10" t="str">
        <f t="shared" si="7"/>
        <v xml:space="preserve">Sousa, P.; Rodrigues, E.; Cunha, M.; Neves, A.; Santos, A.; Malheiro, A.; Dudziak, E.; Ribeiro,F.; Reis, G.; Menou, M.; Ferreira, M.; Gouveia, L. e Santos, R. </v>
      </c>
      <c r="J850" s="10" t="str">
        <f t="shared" si="8"/>
        <v xml:space="preserve">Sousa, P.; Rodrigues, E.; Cunha, M.; Neves, A.; Santos, A.; Malheiro, A.; Dudziak, E.; Ribeiro,F.; Reis, G.; Menou, M.; Ferreira, M.; Gouveia, L.;Santos, R. </v>
      </c>
      <c r="K850" s="11" t="str">
        <f ca="1">IFERROR(__xludf.DUMMYFUNCTION("SPLIT(J850,"";"")"),"Sousa, P.")</f>
        <v>Sousa, P.</v>
      </c>
      <c r="L850" s="10" t="str">
        <f ca="1">IFERROR(__xludf.DUMMYFUNCTION("""COMPUTED_VALUE""")," Rodrigues, E.")</f>
        <v xml:space="preserve"> Rodrigues, E.</v>
      </c>
      <c r="M850" s="10" t="str">
        <f ca="1">IFERROR(__xludf.DUMMYFUNCTION("""COMPUTED_VALUE""")," Cunha, M.")</f>
        <v xml:space="preserve"> Cunha, M.</v>
      </c>
      <c r="N850" s="10" t="str">
        <f ca="1">IFERROR(__xludf.DUMMYFUNCTION("""COMPUTED_VALUE""")," Neves, A.")</f>
        <v xml:space="preserve"> Neves, A.</v>
      </c>
      <c r="O850" s="10" t="str">
        <f ca="1">IFERROR(__xludf.DUMMYFUNCTION("""COMPUTED_VALUE""")," Santos, A.")</f>
        <v xml:space="preserve"> Santos, A.</v>
      </c>
      <c r="P850" s="10" t="str">
        <f ca="1">IFERROR(__xludf.DUMMYFUNCTION("""COMPUTED_VALUE""")," Malheiro, A.")</f>
        <v xml:space="preserve"> Malheiro, A.</v>
      </c>
      <c r="Q850" s="10" t="str">
        <f ca="1">IFERROR(__xludf.DUMMYFUNCTION("""COMPUTED_VALUE""")," Dudziak, E.")</f>
        <v xml:space="preserve"> Dudziak, E.</v>
      </c>
      <c r="R850" s="10" t="str">
        <f ca="1">IFERROR(__xludf.DUMMYFUNCTION("""COMPUTED_VALUE""")," Ribeiro,F.")</f>
        <v xml:space="preserve"> Ribeiro,F.</v>
      </c>
      <c r="S850" s="10" t="str">
        <f ca="1">IFERROR(__xludf.DUMMYFUNCTION("""COMPUTED_VALUE""")," Reis, G.")</f>
        <v xml:space="preserve"> Reis, G.</v>
      </c>
      <c r="T850" s="10" t="str">
        <f ca="1">IFERROR(__xludf.DUMMYFUNCTION("""COMPUTED_VALUE""")," Menou, M.")</f>
        <v xml:space="preserve"> Menou, M.</v>
      </c>
      <c r="U850" s="10" t="str">
        <f ca="1">IFERROR(__xludf.DUMMYFUNCTION("""COMPUTED_VALUE""")," Ferreira, M.")</f>
        <v xml:space="preserve"> Ferreira, M.</v>
      </c>
      <c r="V850" s="10" t="str">
        <f ca="1">IFERROR(__xludf.DUMMYFUNCTION("""COMPUTED_VALUE""")," Gouveia, L.")</f>
        <v xml:space="preserve"> Gouveia, L.</v>
      </c>
      <c r="W850" s="10" t="str">
        <f ca="1">IFERROR(__xludf.DUMMYFUNCTION("""COMPUTED_VALUE"""),"Santos, R. ")</f>
        <v xml:space="preserve">Santos, R. </v>
      </c>
      <c r="X850" s="10"/>
      <c r="Y850" s="10"/>
      <c r="Z850" s="10"/>
    </row>
    <row r="851" spans="1:26" ht="17.25" customHeight="1" x14ac:dyDescent="0.3">
      <c r="A851" s="10" t="s">
        <v>97</v>
      </c>
      <c r="B851" s="10">
        <f t="shared" si="0"/>
        <v>31</v>
      </c>
      <c r="C851" s="8" t="str">
        <f t="shared" si="1"/>
        <v xml:space="preserve">Constantino, J. e Gouveia, L. </v>
      </c>
      <c r="D851" s="8" t="str">
        <f t="shared" si="2"/>
        <v>2009</v>
      </c>
      <c r="E851" s="10">
        <f t="shared" si="3"/>
        <v>36</v>
      </c>
      <c r="F851" s="10">
        <f t="shared" si="4"/>
        <v>108</v>
      </c>
      <c r="G851" s="8" t="str">
        <f t="shared" si="5"/>
        <v xml:space="preserve"> A minha aldeia é todo o mundo: uma reflexão sobre participação cívica. </v>
      </c>
      <c r="H851" s="10" t="str">
        <f t="shared" si="6"/>
        <v xml:space="preserve">Constantino, J. e Gouveia, L. </v>
      </c>
      <c r="I851" s="10" t="str">
        <f t="shared" si="7"/>
        <v xml:space="preserve">Constantino, J. e Gouveia, L. </v>
      </c>
      <c r="J851" s="10" t="str">
        <f t="shared" si="8"/>
        <v xml:space="preserve">Constantino, J.;Gouveia, L. </v>
      </c>
      <c r="K851" s="11" t="str">
        <f ca="1">IFERROR(__xludf.DUMMYFUNCTION("SPLIT(J851,"";"")"),"Constantino, J.")</f>
        <v>Constantino, J.</v>
      </c>
      <c r="L851" s="10" t="str">
        <f ca="1">IFERROR(__xludf.DUMMYFUNCTION("""COMPUTED_VALUE"""),"Gouveia, L. ")</f>
        <v xml:space="preserve">Gouveia, L. </v>
      </c>
      <c r="M851" s="10"/>
      <c r="N851" s="10"/>
      <c r="O851" s="10"/>
      <c r="P851" s="10"/>
      <c r="Q851" s="10"/>
      <c r="R851" s="10"/>
      <c r="S851" s="10"/>
      <c r="T851" s="10"/>
      <c r="U851" s="10"/>
      <c r="V851" s="10"/>
      <c r="W851" s="10"/>
      <c r="X851" s="10"/>
      <c r="Y851" s="10"/>
      <c r="Z851" s="10"/>
    </row>
    <row r="852" spans="1:26" ht="17.25" customHeight="1" x14ac:dyDescent="0.3">
      <c r="A852" s="10" t="s">
        <v>98</v>
      </c>
      <c r="B852" s="10">
        <f t="shared" si="0"/>
        <v>24</v>
      </c>
      <c r="C852" s="8" t="str">
        <f t="shared" si="1"/>
        <v xml:space="preserve">Gaio, S. e Gouveia, L. </v>
      </c>
      <c r="D852" s="8" t="str">
        <f t="shared" si="2"/>
        <v>2009</v>
      </c>
      <c r="E852" s="10">
        <f t="shared" si="3"/>
        <v>29</v>
      </c>
      <c r="F852" s="10">
        <f t="shared" si="4"/>
        <v>104</v>
      </c>
      <c r="G852" s="8" t="str">
        <f t="shared" si="5"/>
        <v xml:space="preserve"> A relevância de uma abordagem de rede na edificação da marca territorial. </v>
      </c>
      <c r="H852" s="10" t="str">
        <f t="shared" si="6"/>
        <v xml:space="preserve">Gaio, S. e Gouveia, L. </v>
      </c>
      <c r="I852" s="10" t="str">
        <f t="shared" si="7"/>
        <v xml:space="preserve">Gaio, S. e Gouveia, L. </v>
      </c>
      <c r="J852" s="10" t="str">
        <f t="shared" si="8"/>
        <v xml:space="preserve">Gaio, S.;Gouveia, L. </v>
      </c>
      <c r="K852" s="11" t="str">
        <f ca="1">IFERROR(__xludf.DUMMYFUNCTION("SPLIT(J852,"";"")"),"Gaio, S.")</f>
        <v>Gaio, S.</v>
      </c>
      <c r="L852" s="10" t="str">
        <f ca="1">IFERROR(__xludf.DUMMYFUNCTION("""COMPUTED_VALUE"""),"Gouveia, L. ")</f>
        <v xml:space="preserve">Gouveia, L. </v>
      </c>
      <c r="M852" s="10"/>
      <c r="N852" s="10"/>
      <c r="O852" s="10"/>
      <c r="P852" s="10"/>
      <c r="Q852" s="10"/>
      <c r="R852" s="10"/>
      <c r="S852" s="10"/>
      <c r="T852" s="10"/>
      <c r="U852" s="10"/>
      <c r="V852" s="10"/>
      <c r="W852" s="10"/>
      <c r="X852" s="10"/>
      <c r="Y852" s="10"/>
      <c r="Z852" s="10"/>
    </row>
    <row r="853" spans="1:26" ht="17.25" customHeight="1" x14ac:dyDescent="0.3">
      <c r="A853" s="10" t="s">
        <v>99</v>
      </c>
      <c r="B853" s="10">
        <f t="shared" si="0"/>
        <v>39</v>
      </c>
      <c r="C853" s="8" t="str">
        <f t="shared" si="1"/>
        <v xml:space="preserve">Gouveia, L.; Neves, N. e Carvalho, C. </v>
      </c>
      <c r="D853" s="8" t="str">
        <f t="shared" si="2"/>
        <v>2009</v>
      </c>
      <c r="E853" s="10">
        <f t="shared" si="3"/>
        <v>44</v>
      </c>
      <c r="F853" s="10">
        <f t="shared" si="4"/>
        <v>98</v>
      </c>
      <c r="G853" s="8" t="str">
        <f t="shared" si="5"/>
        <v xml:space="preserve"> Um ensaio sobre a Governação na Era da Globalização. </v>
      </c>
      <c r="H853" s="10" t="str">
        <f t="shared" si="6"/>
        <v xml:space="preserve">Gouveia, L.; Neves, N. e Carvalho, C. </v>
      </c>
      <c r="I853" s="10" t="str">
        <f t="shared" si="7"/>
        <v xml:space="preserve">Gouveia, L.; Neves, N. e Carvalho, C. </v>
      </c>
      <c r="J853" s="10" t="str">
        <f t="shared" si="8"/>
        <v xml:space="preserve">Gouveia, L.; Neves, N.;Carvalho, C. </v>
      </c>
      <c r="K853" s="11" t="str">
        <f ca="1">IFERROR(__xludf.DUMMYFUNCTION("SPLIT(J853,"";"")"),"Gouveia, L.")</f>
        <v>Gouveia, L.</v>
      </c>
      <c r="L853" s="10" t="str">
        <f ca="1">IFERROR(__xludf.DUMMYFUNCTION("""COMPUTED_VALUE""")," Neves, N.")</f>
        <v xml:space="preserve"> Neves, N.</v>
      </c>
      <c r="M853" s="10" t="str">
        <f ca="1">IFERROR(__xludf.DUMMYFUNCTION("""COMPUTED_VALUE"""),"Carvalho, C. ")</f>
        <v xml:space="preserve">Carvalho, C. </v>
      </c>
      <c r="N853" s="10"/>
      <c r="O853" s="10"/>
      <c r="P853" s="10"/>
      <c r="Q853" s="10"/>
      <c r="R853" s="10"/>
      <c r="S853" s="10"/>
      <c r="T853" s="10"/>
      <c r="U853" s="10"/>
      <c r="V853" s="10"/>
      <c r="W853" s="10"/>
      <c r="X853" s="10"/>
      <c r="Y853" s="10"/>
      <c r="Z853" s="10"/>
    </row>
    <row r="854" spans="1:26" ht="17.25" customHeight="1" x14ac:dyDescent="0.3">
      <c r="A854" s="10" t="s">
        <v>100</v>
      </c>
      <c r="B854" s="10">
        <f t="shared" si="0"/>
        <v>26</v>
      </c>
      <c r="C854" s="8" t="str">
        <f t="shared" si="1"/>
        <v xml:space="preserve">Simões, L. e Gouveia, L. </v>
      </c>
      <c r="D854" s="8" t="str">
        <f t="shared" si="2"/>
        <v>2008</v>
      </c>
      <c r="E854" s="10">
        <f t="shared" si="3"/>
        <v>31</v>
      </c>
      <c r="F854" s="10">
        <f t="shared" si="4"/>
        <v>52</v>
      </c>
      <c r="G854" s="8" t="str">
        <f t="shared" si="5"/>
        <v xml:space="preserve"> Geração Net, Web 2.0</v>
      </c>
      <c r="H854" s="10" t="str">
        <f t="shared" si="6"/>
        <v xml:space="preserve">Simões, L. e Gouveia, L. </v>
      </c>
      <c r="I854" s="10" t="str">
        <f t="shared" si="7"/>
        <v xml:space="preserve">Simões, L. e Gouveia, L. </v>
      </c>
      <c r="J854" s="10" t="str">
        <f t="shared" si="8"/>
        <v xml:space="preserve">Simões, L.;Gouveia, L. </v>
      </c>
      <c r="K854" s="11" t="str">
        <f ca="1">IFERROR(__xludf.DUMMYFUNCTION("SPLIT(J854,"";"")"),"Simões, L.")</f>
        <v>Simões, L.</v>
      </c>
      <c r="L854" s="10" t="str">
        <f ca="1">IFERROR(__xludf.DUMMYFUNCTION("""COMPUTED_VALUE"""),"Gouveia, L. ")</f>
        <v xml:space="preserve">Gouveia, L. </v>
      </c>
      <c r="M854" s="10"/>
      <c r="N854" s="10"/>
      <c r="O854" s="10"/>
      <c r="P854" s="10"/>
      <c r="Q854" s="10"/>
      <c r="R854" s="10"/>
      <c r="S854" s="10"/>
      <c r="T854" s="10"/>
      <c r="U854" s="10"/>
      <c r="V854" s="10"/>
      <c r="W854" s="10"/>
      <c r="X854" s="10"/>
      <c r="Y854" s="10"/>
      <c r="Z854" s="10"/>
    </row>
    <row r="855" spans="1:26" ht="17.25" customHeight="1" x14ac:dyDescent="0.3">
      <c r="A855" s="10" t="s">
        <v>101</v>
      </c>
      <c r="B855" s="10">
        <f t="shared" si="0"/>
        <v>24</v>
      </c>
      <c r="C855" s="8" t="str">
        <f t="shared" si="1"/>
        <v xml:space="preserve">Gouveia, L. e Reis, L. </v>
      </c>
      <c r="D855" s="8" t="str">
        <f t="shared" si="2"/>
        <v>2008</v>
      </c>
      <c r="E855" s="10">
        <f t="shared" si="3"/>
        <v>29</v>
      </c>
      <c r="F855" s="10">
        <f t="shared" si="4"/>
        <v>96</v>
      </c>
      <c r="G855" s="8" t="str">
        <f t="shared" si="5"/>
        <v xml:space="preserve"> The Sakai Collaborative Learning Environment: current experience. </v>
      </c>
      <c r="H855" s="10" t="str">
        <f t="shared" si="6"/>
        <v xml:space="preserve">Gouveia, L. e Reis, L. </v>
      </c>
      <c r="I855" s="10" t="str">
        <f t="shared" si="7"/>
        <v xml:space="preserve">Gouveia, L. e Reis, L. </v>
      </c>
      <c r="J855" s="10" t="str">
        <f t="shared" si="8"/>
        <v xml:space="preserve">Gouveia, L.;Reis, L. </v>
      </c>
      <c r="K855" s="11" t="str">
        <f ca="1">IFERROR(__xludf.DUMMYFUNCTION("SPLIT(J855,"";"")"),"Gouveia, L.")</f>
        <v>Gouveia, L.</v>
      </c>
      <c r="L855" s="10" t="str">
        <f ca="1">IFERROR(__xludf.DUMMYFUNCTION("""COMPUTED_VALUE"""),"Reis, L. ")</f>
        <v xml:space="preserve">Reis, L. </v>
      </c>
      <c r="M855" s="10"/>
      <c r="N855" s="10"/>
      <c r="O855" s="10"/>
      <c r="P855" s="10"/>
      <c r="Q855" s="10"/>
      <c r="R855" s="10"/>
      <c r="S855" s="10"/>
      <c r="T855" s="10"/>
      <c r="U855" s="10"/>
      <c r="V855" s="10"/>
      <c r="W855" s="10"/>
      <c r="X855" s="10"/>
      <c r="Y855" s="10"/>
      <c r="Z855" s="10"/>
    </row>
    <row r="856" spans="1:26" ht="17.25" customHeight="1" x14ac:dyDescent="0.3">
      <c r="A856" s="10" t="s">
        <v>103</v>
      </c>
      <c r="B856" s="10">
        <f t="shared" si="0"/>
        <v>40</v>
      </c>
      <c r="C856" s="8" t="str">
        <f t="shared" si="1"/>
        <v xml:space="preserve">Rurato, P. e Gouveia, L. e Gouveia, J. </v>
      </c>
      <c r="D856" s="8" t="str">
        <f t="shared" si="2"/>
        <v>2007</v>
      </c>
      <c r="E856" s="10">
        <f t="shared" si="3"/>
        <v>45</v>
      </c>
      <c r="F856" s="10">
        <f t="shared" si="4"/>
        <v>156</v>
      </c>
      <c r="G856" s="8" t="str">
        <f t="shared" si="5"/>
        <v xml:space="preserve"> As características dos Aprendentes na Educação a Distância: A particularidade de uma análise individualizada. </v>
      </c>
      <c r="H856" s="10" t="str">
        <f t="shared" si="6"/>
        <v xml:space="preserve">Rurato, P. e Gouveia, L. e Gouveia, J. </v>
      </c>
      <c r="I856" s="10" t="str">
        <f t="shared" si="7"/>
        <v xml:space="preserve">Rurato, P. e Gouveia, L. e Gouveia, J. </v>
      </c>
      <c r="J856" s="10" t="str">
        <f t="shared" si="8"/>
        <v xml:space="preserve">Rurato, P.;Gouveia, L.;Gouveia, J. </v>
      </c>
      <c r="K856" s="11" t="str">
        <f ca="1">IFERROR(__xludf.DUMMYFUNCTION("SPLIT(J856,"";"")"),"Rurato, P.")</f>
        <v>Rurato, P.</v>
      </c>
      <c r="L856" s="10" t="str">
        <f ca="1">IFERROR(__xludf.DUMMYFUNCTION("""COMPUTED_VALUE"""),"Gouveia, L.")</f>
        <v>Gouveia, L.</v>
      </c>
      <c r="M856" s="10" t="str">
        <f ca="1">IFERROR(__xludf.DUMMYFUNCTION("""COMPUTED_VALUE"""),"Gouveia, J. ")</f>
        <v xml:space="preserve">Gouveia, J. </v>
      </c>
      <c r="N856" s="10"/>
      <c r="O856" s="10"/>
      <c r="P856" s="10"/>
      <c r="Q856" s="10"/>
      <c r="R856" s="10"/>
      <c r="S856" s="10"/>
      <c r="T856" s="10"/>
      <c r="U856" s="10"/>
      <c r="V856" s="10"/>
      <c r="W856" s="10"/>
      <c r="X856" s="10"/>
      <c r="Y856" s="10"/>
      <c r="Z856" s="10"/>
    </row>
    <row r="857" spans="1:26" ht="17.25" customHeight="1" x14ac:dyDescent="0.3">
      <c r="A857" s="10" t="s">
        <v>104</v>
      </c>
      <c r="B857" s="10">
        <f t="shared" si="0"/>
        <v>40</v>
      </c>
      <c r="C857" s="8" t="str">
        <f t="shared" si="1"/>
        <v xml:space="preserve">Rurato, P. e Gouveia, L. e Gouveia, J. </v>
      </c>
      <c r="D857" s="8" t="str">
        <f t="shared" si="2"/>
        <v>2007</v>
      </c>
      <c r="E857" s="10">
        <f t="shared" si="3"/>
        <v>45</v>
      </c>
      <c r="F857" s="10">
        <f t="shared" si="4"/>
        <v>129</v>
      </c>
      <c r="G857" s="8" t="str">
        <f t="shared" si="5"/>
        <v xml:space="preserve"> As características dos Aprendentes na Educação a Distância: Factores de Motivação. </v>
      </c>
      <c r="H857" s="10" t="str">
        <f t="shared" si="6"/>
        <v xml:space="preserve">Rurato, P. e Gouveia, L. e Gouveia, J. </v>
      </c>
      <c r="I857" s="10" t="str">
        <f t="shared" si="7"/>
        <v xml:space="preserve">Rurato, P. e Gouveia, L. e Gouveia, J. </v>
      </c>
      <c r="J857" s="10" t="str">
        <f t="shared" si="8"/>
        <v xml:space="preserve">Rurato, P.;Gouveia, L.;Gouveia, J. </v>
      </c>
      <c r="K857" s="11" t="str">
        <f ca="1">IFERROR(__xludf.DUMMYFUNCTION("SPLIT(J857,"";"")"),"Rurato, P.")</f>
        <v>Rurato, P.</v>
      </c>
      <c r="L857" s="10" t="str">
        <f ca="1">IFERROR(__xludf.DUMMYFUNCTION("""COMPUTED_VALUE"""),"Gouveia, L.")</f>
        <v>Gouveia, L.</v>
      </c>
      <c r="M857" s="10" t="str">
        <f ca="1">IFERROR(__xludf.DUMMYFUNCTION("""COMPUTED_VALUE"""),"Gouveia, J. ")</f>
        <v xml:space="preserve">Gouveia, J. </v>
      </c>
      <c r="N857" s="10"/>
      <c r="O857" s="10"/>
      <c r="P857" s="10"/>
      <c r="Q857" s="10"/>
      <c r="R857" s="10"/>
      <c r="S857" s="10"/>
      <c r="T857" s="10"/>
      <c r="U857" s="10"/>
      <c r="V857" s="10"/>
      <c r="W857" s="10"/>
      <c r="X857" s="10"/>
      <c r="Y857" s="10"/>
      <c r="Z857" s="10"/>
    </row>
    <row r="858" spans="1:26" ht="17.25" customHeight="1" x14ac:dyDescent="0.3">
      <c r="A858" s="10" t="s">
        <v>105</v>
      </c>
      <c r="B858" s="10">
        <f t="shared" si="0"/>
        <v>25</v>
      </c>
      <c r="C858" s="8" t="str">
        <f t="shared" si="1"/>
        <v xml:space="preserve">Silva, R. e Gouveia, L. </v>
      </c>
      <c r="D858" s="8" t="str">
        <f t="shared" si="2"/>
        <v>2007</v>
      </c>
      <c r="E858" s="10">
        <f t="shared" si="3"/>
        <v>30</v>
      </c>
      <c r="F858" s="10">
        <f t="shared" si="4"/>
        <v>122</v>
      </c>
      <c r="G858" s="8" t="str">
        <f t="shared" si="5"/>
        <v xml:space="preserve"> Utilização do computador para a aprendizagem da matemática no ensino pré-escolar e básico. </v>
      </c>
      <c r="H858" s="10" t="str">
        <f t="shared" si="6"/>
        <v xml:space="preserve">Silva, R. e Gouveia, L. </v>
      </c>
      <c r="I858" s="10" t="str">
        <f t="shared" si="7"/>
        <v xml:space="preserve">Silva, R. e Gouveia, L. </v>
      </c>
      <c r="J858" s="10" t="str">
        <f t="shared" si="8"/>
        <v xml:space="preserve">Silva, R.;Gouveia, L. </v>
      </c>
      <c r="K858" s="11" t="str">
        <f ca="1">IFERROR(__xludf.DUMMYFUNCTION("SPLIT(J858,"";"")"),"Silva, R.")</f>
        <v>Silva, R.</v>
      </c>
      <c r="L858" s="10" t="str">
        <f ca="1">IFERROR(__xludf.DUMMYFUNCTION("""COMPUTED_VALUE"""),"Gouveia, L. ")</f>
        <v xml:space="preserve">Gouveia, L. </v>
      </c>
      <c r="M858" s="10"/>
      <c r="N858" s="10"/>
      <c r="O858" s="10"/>
      <c r="P858" s="10"/>
      <c r="Q858" s="10"/>
      <c r="R858" s="10"/>
      <c r="S858" s="10"/>
      <c r="T858" s="10"/>
      <c r="U858" s="10"/>
      <c r="V858" s="10"/>
      <c r="W858" s="10"/>
      <c r="X858" s="10"/>
      <c r="Y858" s="10"/>
      <c r="Z858" s="10"/>
    </row>
    <row r="859" spans="1:26" ht="17.25" customHeight="1" x14ac:dyDescent="0.3">
      <c r="A859" s="10" t="s">
        <v>106</v>
      </c>
      <c r="B859" s="10">
        <f t="shared" si="0"/>
        <v>37</v>
      </c>
      <c r="C859" s="8" t="str">
        <f t="shared" si="1"/>
        <v xml:space="preserve">Gaio, S., Gouveia, J. e Gouveia, L. </v>
      </c>
      <c r="D859" s="8" t="str">
        <f t="shared" si="2"/>
        <v>2007</v>
      </c>
      <c r="E859" s="10">
        <f t="shared" si="3"/>
        <v>42</v>
      </c>
      <c r="F859" s="10">
        <f t="shared" si="4"/>
        <v>134</v>
      </c>
      <c r="G859" s="8" t="str">
        <f t="shared" si="5"/>
        <v xml:space="preserve"> O Branding e a dimensão digital da cidade: dinâmicas e contributos para a competitividade. </v>
      </c>
      <c r="H859" s="10" t="str">
        <f t="shared" si="6"/>
        <v xml:space="preserve">Gaio, S., Gouveia, J. e Gouveia, L. </v>
      </c>
      <c r="I859" s="10" t="str">
        <f t="shared" si="7"/>
        <v xml:space="preserve">Gaio, S.; Gouveia, J. e Gouveia, L. </v>
      </c>
      <c r="J859" s="10" t="str">
        <f t="shared" si="8"/>
        <v xml:space="preserve">Gaio, S.; Gouveia, J.;Gouveia, L. </v>
      </c>
      <c r="K859" s="11" t="str">
        <f ca="1">IFERROR(__xludf.DUMMYFUNCTION("SPLIT(J859,"";"")"),"Gaio, S.")</f>
        <v>Gaio, S.</v>
      </c>
      <c r="L859" s="10" t="str">
        <f ca="1">IFERROR(__xludf.DUMMYFUNCTION("""COMPUTED_VALUE""")," Gouveia, J.")</f>
        <v xml:space="preserve"> Gouveia, J.</v>
      </c>
      <c r="M859" s="10" t="str">
        <f ca="1">IFERROR(__xludf.DUMMYFUNCTION("""COMPUTED_VALUE"""),"Gouveia, L. ")</f>
        <v xml:space="preserve">Gouveia, L. </v>
      </c>
      <c r="N859" s="10"/>
      <c r="O859" s="10"/>
      <c r="P859" s="10"/>
      <c r="Q859" s="10"/>
      <c r="R859" s="10"/>
      <c r="S859" s="10"/>
      <c r="T859" s="10"/>
      <c r="U859" s="10"/>
      <c r="V859" s="10"/>
      <c r="W859" s="10"/>
      <c r="X859" s="10"/>
      <c r="Y859" s="10"/>
      <c r="Z859" s="10"/>
    </row>
    <row r="860" spans="1:26" ht="17.25" customHeight="1" x14ac:dyDescent="0.3">
      <c r="A860" s="10" t="s">
        <v>107</v>
      </c>
      <c r="B860" s="10">
        <f t="shared" si="0"/>
        <v>24</v>
      </c>
      <c r="C860" s="8" t="str">
        <f t="shared" si="1"/>
        <v xml:space="preserve">Gaio, S. e Gouveia, L. </v>
      </c>
      <c r="D860" s="8" t="str">
        <f t="shared" si="2"/>
        <v>2007</v>
      </c>
      <c r="E860" s="10" t="e">
        <f t="shared" si="3"/>
        <v>#VALUE!</v>
      </c>
      <c r="F860" s="10" t="e">
        <f t="shared" si="4"/>
        <v>#VALUE!</v>
      </c>
      <c r="G860" s="8" t="e">
        <f t="shared" si="5"/>
        <v>#VALUE!</v>
      </c>
      <c r="H860" s="10" t="str">
        <f t="shared" si="6"/>
        <v xml:space="preserve">Gaio, S. e Gouveia, L. </v>
      </c>
      <c r="I860" s="10" t="str">
        <f t="shared" si="7"/>
        <v xml:space="preserve">Gaio, S. e Gouveia, L. </v>
      </c>
      <c r="J860" s="10" t="str">
        <f t="shared" si="8"/>
        <v xml:space="preserve">Gaio, S.;Gouveia, L. </v>
      </c>
      <c r="K860" s="11" t="str">
        <f ca="1">IFERROR(__xludf.DUMMYFUNCTION("SPLIT(J860,"";"")"),"Gaio, S.")</f>
        <v>Gaio, S.</v>
      </c>
      <c r="L860" s="10" t="str">
        <f ca="1">IFERROR(__xludf.DUMMYFUNCTION("""COMPUTED_VALUE"""),"Gouveia, L. ")</f>
        <v xml:space="preserve">Gouveia, L. </v>
      </c>
      <c r="M860" s="10"/>
      <c r="N860" s="10"/>
      <c r="O860" s="10"/>
      <c r="P860" s="10"/>
      <c r="Q860" s="10"/>
      <c r="R860" s="10"/>
      <c r="S860" s="10"/>
      <c r="T860" s="10"/>
      <c r="U860" s="10"/>
      <c r="V860" s="10"/>
      <c r="W860" s="10"/>
      <c r="X860" s="10"/>
      <c r="Y860" s="10"/>
      <c r="Z860" s="10"/>
    </row>
    <row r="861" spans="1:26" ht="17.25" customHeight="1" x14ac:dyDescent="0.3">
      <c r="A861" s="10" t="s">
        <v>108</v>
      </c>
      <c r="B861" s="10">
        <f t="shared" si="0"/>
        <v>26</v>
      </c>
      <c r="C861" s="8" t="str">
        <f t="shared" si="1"/>
        <v xml:space="preserve">Rurato, P. e Gouveia, L. </v>
      </c>
      <c r="D861" s="8" t="str">
        <f t="shared" si="2"/>
        <v>2005</v>
      </c>
      <c r="E861" s="10">
        <f t="shared" si="3"/>
        <v>31</v>
      </c>
      <c r="F861" s="10">
        <f t="shared" si="4"/>
        <v>114</v>
      </c>
      <c r="G861" s="8" t="str">
        <f t="shared" si="5"/>
        <v xml:space="preserve"> Uma Reflexão sobre o Perfil dos Aprendentes Adultos no Ensino a Distância  (EAD). </v>
      </c>
      <c r="H861" s="10" t="str">
        <f t="shared" si="6"/>
        <v xml:space="preserve">Rurato, P. e Gouveia, L. </v>
      </c>
      <c r="I861" s="10" t="str">
        <f t="shared" si="7"/>
        <v xml:space="preserve">Rurato, P. e Gouveia, L. </v>
      </c>
      <c r="J861" s="10" t="str">
        <f t="shared" si="8"/>
        <v xml:space="preserve">Rurato, P.;Gouveia, L. </v>
      </c>
      <c r="K861" s="11" t="str">
        <f ca="1">IFERROR(__xludf.DUMMYFUNCTION("SPLIT(J861,"";"")"),"Rurato, P.")</f>
        <v>Rurato, P.</v>
      </c>
      <c r="L861" s="10" t="str">
        <f ca="1">IFERROR(__xludf.DUMMYFUNCTION("""COMPUTED_VALUE"""),"Gouveia, L. ")</f>
        <v xml:space="preserve">Gouveia, L. </v>
      </c>
      <c r="M861" s="10"/>
      <c r="N861" s="10"/>
      <c r="O861" s="10"/>
      <c r="P861" s="10"/>
      <c r="Q861" s="10"/>
      <c r="R861" s="10"/>
      <c r="S861" s="10"/>
      <c r="T861" s="10"/>
      <c r="U861" s="10"/>
      <c r="V861" s="10"/>
      <c r="W861" s="10"/>
      <c r="X861" s="10"/>
      <c r="Y861" s="10"/>
      <c r="Z861" s="10"/>
    </row>
    <row r="862" spans="1:26" ht="17.25" customHeight="1" x14ac:dyDescent="0.3">
      <c r="A862" s="10" t="s">
        <v>109</v>
      </c>
      <c r="B862" s="10">
        <f t="shared" si="0"/>
        <v>28</v>
      </c>
      <c r="C862" s="8" t="str">
        <f t="shared" si="1"/>
        <v xml:space="preserve">Teixeira, P. e Gouveia, L. </v>
      </c>
      <c r="D862" s="8" t="str">
        <f t="shared" si="2"/>
        <v>2005</v>
      </c>
      <c r="E862" s="10">
        <f t="shared" si="3"/>
        <v>33</v>
      </c>
      <c r="F862" s="10">
        <f t="shared" si="4"/>
        <v>123</v>
      </c>
      <c r="G862" s="8" t="str">
        <f t="shared" si="5"/>
        <v xml:space="preserve"> Local E-Government: A Situação das Juntas de Freguesia do Concelho de Vila Nova de Gaia. </v>
      </c>
      <c r="H862" s="10" t="str">
        <f t="shared" si="6"/>
        <v xml:space="preserve">Teixeira, P. e Gouveia, L. </v>
      </c>
      <c r="I862" s="10" t="str">
        <f t="shared" si="7"/>
        <v xml:space="preserve">Teixeira, P. e Gouveia, L. </v>
      </c>
      <c r="J862" s="10" t="str">
        <f t="shared" si="8"/>
        <v xml:space="preserve">Teixeira, P.;Gouveia, L. </v>
      </c>
      <c r="K862" s="11" t="str">
        <f ca="1">IFERROR(__xludf.DUMMYFUNCTION("SPLIT(J862,"";"")"),"Teixeira, P.")</f>
        <v>Teixeira, P.</v>
      </c>
      <c r="L862" s="10" t="str">
        <f ca="1">IFERROR(__xludf.DUMMYFUNCTION("""COMPUTED_VALUE"""),"Gouveia, L. ")</f>
        <v xml:space="preserve">Gouveia, L. </v>
      </c>
      <c r="M862" s="10"/>
      <c r="N862" s="10"/>
      <c r="O862" s="10"/>
      <c r="P862" s="10"/>
      <c r="Q862" s="10"/>
      <c r="R862" s="10"/>
      <c r="S862" s="10"/>
      <c r="T862" s="10"/>
      <c r="U862" s="10"/>
      <c r="V862" s="10"/>
      <c r="W862" s="10"/>
      <c r="X862" s="10"/>
      <c r="Y862" s="10"/>
      <c r="Z862" s="10"/>
    </row>
    <row r="863" spans="1:26" ht="17.25" customHeight="1" x14ac:dyDescent="0.3">
      <c r="A863" s="10" t="s">
        <v>110</v>
      </c>
      <c r="B863" s="10">
        <f t="shared" si="0"/>
        <v>13</v>
      </c>
      <c r="C863" s="8" t="str">
        <f t="shared" si="1"/>
        <v xml:space="preserve">Gouveia, L. </v>
      </c>
      <c r="D863" s="8" t="str">
        <f t="shared" si="2"/>
        <v>2004</v>
      </c>
      <c r="E863" s="10">
        <f t="shared" si="3"/>
        <v>18</v>
      </c>
      <c r="F863" s="10">
        <f t="shared" si="4"/>
        <v>60</v>
      </c>
      <c r="G863" s="8" t="str">
        <f t="shared" si="5"/>
        <v xml:space="preserve"> Manifesto Digital para o espaço público. </v>
      </c>
      <c r="H863" s="10" t="str">
        <f t="shared" si="6"/>
        <v xml:space="preserve">Gouveia, L. </v>
      </c>
      <c r="I863" s="10" t="str">
        <f t="shared" si="7"/>
        <v xml:space="preserve">Gouveia, L. </v>
      </c>
      <c r="J863" s="10" t="str">
        <f t="shared" si="8"/>
        <v xml:space="preserve">Gouveia, L. </v>
      </c>
      <c r="K863" s="11" t="str">
        <f ca="1">IFERROR(__xludf.DUMMYFUNCTION("SPLIT(J863,"";"")"),"Gouveia, L. ")</f>
        <v xml:space="preserve">Gouveia, L. </v>
      </c>
      <c r="L863" s="10"/>
      <c r="M863" s="10"/>
      <c r="N863" s="10"/>
      <c r="O863" s="10"/>
      <c r="P863" s="10"/>
      <c r="Q863" s="10"/>
      <c r="R863" s="10"/>
      <c r="S863" s="10"/>
      <c r="T863" s="10"/>
      <c r="U863" s="10"/>
      <c r="V863" s="10"/>
      <c r="W863" s="10"/>
      <c r="X863" s="10"/>
      <c r="Y863" s="10"/>
      <c r="Z863" s="10"/>
    </row>
    <row r="864" spans="1:26" ht="17.25" customHeight="1" x14ac:dyDescent="0.3">
      <c r="A864" s="10" t="s">
        <v>112</v>
      </c>
      <c r="B864" s="10">
        <f t="shared" si="0"/>
        <v>28</v>
      </c>
      <c r="C864" s="8" t="str">
        <f t="shared" si="1"/>
        <v xml:space="preserve">Ferreira, M. e Gouveia, L. </v>
      </c>
      <c r="D864" s="8" t="str">
        <f t="shared" si="2"/>
        <v>2004</v>
      </c>
      <c r="E864" s="10">
        <f t="shared" si="3"/>
        <v>33</v>
      </c>
      <c r="F864" s="10">
        <f t="shared" si="4"/>
        <v>104</v>
      </c>
      <c r="G864" s="8" t="str">
        <f t="shared" si="5"/>
        <v xml:space="preserve"> Património Local e Tecnologias de Informação, uma relação inevitável. </v>
      </c>
      <c r="H864" s="10" t="str">
        <f t="shared" si="6"/>
        <v xml:space="preserve">Ferreira, M. e Gouveia, L. </v>
      </c>
      <c r="I864" s="10" t="str">
        <f t="shared" si="7"/>
        <v xml:space="preserve">Ferreira, M. e Gouveia, L. </v>
      </c>
      <c r="J864" s="10" t="str">
        <f t="shared" si="8"/>
        <v xml:space="preserve">Ferreira, M.;Gouveia, L. </v>
      </c>
      <c r="K864" s="11" t="str">
        <f ca="1">IFERROR(__xludf.DUMMYFUNCTION("SPLIT(J864,"";"")"),"Ferreira, M.")</f>
        <v>Ferreira, M.</v>
      </c>
      <c r="L864" s="10" t="str">
        <f ca="1">IFERROR(__xludf.DUMMYFUNCTION("""COMPUTED_VALUE"""),"Gouveia, L. ")</f>
        <v xml:space="preserve">Gouveia, L. </v>
      </c>
      <c r="M864" s="10"/>
      <c r="N864" s="10"/>
      <c r="O864" s="10"/>
      <c r="P864" s="10"/>
      <c r="Q864" s="10"/>
      <c r="R864" s="10"/>
      <c r="S864" s="10"/>
      <c r="T864" s="10"/>
      <c r="U864" s="10"/>
      <c r="V864" s="10"/>
      <c r="W864" s="10"/>
      <c r="X864" s="10"/>
      <c r="Y864" s="10"/>
      <c r="Z864" s="10"/>
    </row>
    <row r="865" spans="1:26" ht="17.25" customHeight="1" x14ac:dyDescent="0.3">
      <c r="A865" s="10" t="s">
        <v>113</v>
      </c>
      <c r="B865" s="10">
        <f t="shared" si="0"/>
        <v>26</v>
      </c>
      <c r="C865" s="8" t="str">
        <f t="shared" si="1"/>
        <v xml:space="preserve">Rurato, P. e Gouveia, L. </v>
      </c>
      <c r="D865" s="8" t="str">
        <f t="shared" si="2"/>
        <v>2004</v>
      </c>
      <c r="E865" s="10">
        <f t="shared" si="3"/>
        <v>31</v>
      </c>
      <c r="F865" s="10">
        <f t="shared" si="4"/>
        <v>91</v>
      </c>
      <c r="G865" s="8" t="str">
        <f t="shared" si="5"/>
        <v xml:space="preserve"> História do ensino a distância: uma abordagem estruturada. </v>
      </c>
      <c r="H865" s="10" t="str">
        <f t="shared" si="6"/>
        <v xml:space="preserve">Rurato, P. e Gouveia, L. </v>
      </c>
      <c r="I865" s="10" t="str">
        <f t="shared" si="7"/>
        <v xml:space="preserve">Rurato, P. e Gouveia, L. </v>
      </c>
      <c r="J865" s="10" t="str">
        <f t="shared" si="8"/>
        <v xml:space="preserve">Rurato, P.;Gouveia, L. </v>
      </c>
      <c r="K865" s="11" t="str">
        <f ca="1">IFERROR(__xludf.DUMMYFUNCTION("SPLIT(J865,"";"")"),"Rurato, P.")</f>
        <v>Rurato, P.</v>
      </c>
      <c r="L865" s="10" t="str">
        <f ca="1">IFERROR(__xludf.DUMMYFUNCTION("""COMPUTED_VALUE"""),"Gouveia, L. ")</f>
        <v xml:space="preserve">Gouveia, L. </v>
      </c>
      <c r="M865" s="10"/>
      <c r="N865" s="10"/>
      <c r="O865" s="10"/>
      <c r="P865" s="10"/>
      <c r="Q865" s="10"/>
      <c r="R865" s="10"/>
      <c r="S865" s="10"/>
      <c r="T865" s="10"/>
      <c r="U865" s="10"/>
      <c r="V865" s="10"/>
      <c r="W865" s="10"/>
      <c r="X865" s="10"/>
      <c r="Y865" s="10"/>
      <c r="Z865" s="10"/>
    </row>
    <row r="866" spans="1:26" ht="17.25" customHeight="1" x14ac:dyDescent="0.3">
      <c r="A866" s="10" t="s">
        <v>114</v>
      </c>
      <c r="B866" s="10">
        <f t="shared" si="0"/>
        <v>27</v>
      </c>
      <c r="C866" s="8" t="str">
        <f t="shared" si="1"/>
        <v xml:space="preserve">Ribeiro, N. e Gouveia, L. </v>
      </c>
      <c r="D866" s="8" t="str">
        <f t="shared" si="2"/>
        <v>2004</v>
      </c>
      <c r="E866" s="10">
        <f t="shared" si="3"/>
        <v>32</v>
      </c>
      <c r="F866" s="10">
        <f t="shared" si="4"/>
        <v>101</v>
      </c>
      <c r="G866" s="8" t="str">
        <f t="shared" si="5"/>
        <v xml:space="preserve"> Proposta de um modelo de referência para as tecnologias multimédia. </v>
      </c>
      <c r="H866" s="10" t="str">
        <f t="shared" si="6"/>
        <v xml:space="preserve">Ribeiro, N. e Gouveia, L. </v>
      </c>
      <c r="I866" s="10" t="str">
        <f t="shared" si="7"/>
        <v xml:space="preserve">Ribeiro, N. e Gouveia, L. </v>
      </c>
      <c r="J866" s="10" t="str">
        <f t="shared" si="8"/>
        <v xml:space="preserve">Ribeiro, N.;Gouveia, L. </v>
      </c>
      <c r="K866" s="11" t="str">
        <f ca="1">IFERROR(__xludf.DUMMYFUNCTION("SPLIT(J866,"";"")"),"Ribeiro, N.")</f>
        <v>Ribeiro, N.</v>
      </c>
      <c r="L866" s="10" t="str">
        <f ca="1">IFERROR(__xludf.DUMMYFUNCTION("""COMPUTED_VALUE"""),"Gouveia, L. ")</f>
        <v xml:space="preserve">Gouveia, L. </v>
      </c>
      <c r="M866" s="10"/>
      <c r="N866" s="10"/>
      <c r="O866" s="10"/>
      <c r="P866" s="10"/>
      <c r="Q866" s="10"/>
      <c r="R866" s="10"/>
      <c r="S866" s="10"/>
      <c r="T866" s="10"/>
      <c r="U866" s="10"/>
      <c r="V866" s="10"/>
      <c r="W866" s="10"/>
      <c r="X866" s="10"/>
      <c r="Y866" s="10"/>
      <c r="Z866" s="10"/>
    </row>
    <row r="867" spans="1:26" ht="17.25" customHeight="1" x14ac:dyDescent="0.3">
      <c r="A867" s="10" t="s">
        <v>115</v>
      </c>
      <c r="B867" s="10">
        <f t="shared" si="0"/>
        <v>26</v>
      </c>
      <c r="C867" s="8" t="str">
        <f t="shared" si="1"/>
        <v xml:space="preserve">Rurato, P. e Gouveia, L. </v>
      </c>
      <c r="D867" s="8" t="str">
        <f t="shared" si="2"/>
        <v>2004</v>
      </c>
      <c r="E867" s="10">
        <f t="shared" si="3"/>
        <v>31</v>
      </c>
      <c r="F867" s="10">
        <f t="shared" si="4"/>
        <v>125</v>
      </c>
      <c r="G867" s="8" t="str">
        <f t="shared" si="5"/>
        <v xml:space="preserve"> Contribuição para o conceito de ensino a distância: vantagens e desvantagens da sua prática. </v>
      </c>
      <c r="H867" s="10" t="str">
        <f t="shared" si="6"/>
        <v xml:space="preserve">Rurato, P. e Gouveia, L. </v>
      </c>
      <c r="I867" s="10" t="str">
        <f t="shared" si="7"/>
        <v xml:space="preserve">Rurato, P. e Gouveia, L. </v>
      </c>
      <c r="J867" s="10" t="str">
        <f t="shared" si="8"/>
        <v xml:space="preserve">Rurato, P.;Gouveia, L. </v>
      </c>
      <c r="K867" s="11" t="str">
        <f ca="1">IFERROR(__xludf.DUMMYFUNCTION("SPLIT(J867,"";"")"),"Rurato, P.")</f>
        <v>Rurato, P.</v>
      </c>
      <c r="L867" s="10" t="str">
        <f ca="1">IFERROR(__xludf.DUMMYFUNCTION("""COMPUTED_VALUE"""),"Gouveia, L. ")</f>
        <v xml:space="preserve">Gouveia, L. </v>
      </c>
      <c r="M867" s="10"/>
      <c r="N867" s="10"/>
      <c r="O867" s="10"/>
      <c r="P867" s="10"/>
      <c r="Q867" s="10"/>
      <c r="R867" s="10"/>
      <c r="S867" s="10"/>
      <c r="T867" s="10"/>
      <c r="U867" s="10"/>
      <c r="V867" s="10"/>
      <c r="W867" s="10"/>
      <c r="X867" s="10"/>
      <c r="Y867" s="10"/>
      <c r="Z867" s="10"/>
    </row>
    <row r="868" spans="1:26" ht="17.25" customHeight="1" x14ac:dyDescent="0.3">
      <c r="A868" s="10" t="s">
        <v>116</v>
      </c>
      <c r="B868" s="10">
        <f t="shared" si="0"/>
        <v>13</v>
      </c>
      <c r="C868" s="8" t="str">
        <f t="shared" si="1"/>
        <v xml:space="preserve">Gouveia, L. </v>
      </c>
      <c r="D868" s="8" t="str">
        <f t="shared" si="2"/>
        <v>2004</v>
      </c>
      <c r="E868" s="10">
        <f t="shared" si="3"/>
        <v>18</v>
      </c>
      <c r="F868" s="10">
        <f t="shared" si="4"/>
        <v>55</v>
      </c>
      <c r="G868" s="8" t="str">
        <f t="shared" si="5"/>
        <v xml:space="preserve"> O impacto do digital no território. </v>
      </c>
      <c r="H868" s="10" t="str">
        <f t="shared" si="6"/>
        <v xml:space="preserve">Gouveia, L. </v>
      </c>
      <c r="I868" s="10" t="str">
        <f t="shared" si="7"/>
        <v xml:space="preserve">Gouveia, L. </v>
      </c>
      <c r="J868" s="10" t="str">
        <f t="shared" si="8"/>
        <v xml:space="preserve">Gouveia, L. </v>
      </c>
      <c r="K868" s="11" t="str">
        <f ca="1">IFERROR(__xludf.DUMMYFUNCTION("SPLIT(J868,"";"")"),"Gouveia, L. ")</f>
        <v xml:space="preserve">Gouveia, L. </v>
      </c>
      <c r="L868" s="10"/>
      <c r="M868" s="10"/>
      <c r="N868" s="10"/>
      <c r="O868" s="10"/>
      <c r="P868" s="10"/>
      <c r="Q868" s="10"/>
      <c r="R868" s="10"/>
      <c r="S868" s="10"/>
      <c r="T868" s="10"/>
      <c r="U868" s="10"/>
      <c r="V868" s="10"/>
      <c r="W868" s="10"/>
      <c r="X868" s="10"/>
      <c r="Y868" s="10"/>
      <c r="Z868" s="10"/>
    </row>
    <row r="869" spans="1:26" ht="17.25" customHeight="1" x14ac:dyDescent="0.3">
      <c r="A869" s="10" t="s">
        <v>117</v>
      </c>
      <c r="B869" s="10">
        <f t="shared" si="0"/>
        <v>13</v>
      </c>
      <c r="C869" s="8" t="str">
        <f t="shared" si="1"/>
        <v xml:space="preserve">Gouveia, L. </v>
      </c>
      <c r="D869" s="8" t="str">
        <f t="shared" si="2"/>
        <v>2003</v>
      </c>
      <c r="E869" s="10">
        <f t="shared" si="3"/>
        <v>18</v>
      </c>
      <c r="F869" s="10">
        <f t="shared" si="4"/>
        <v>92</v>
      </c>
      <c r="G869" s="8" t="str">
        <f t="shared" si="5"/>
        <v xml:space="preserve"> Estudo sobre a utilização da Internet para suporte ao ensino presencial. </v>
      </c>
      <c r="H869" s="10" t="str">
        <f t="shared" si="6"/>
        <v xml:space="preserve">Gouveia, L. </v>
      </c>
      <c r="I869" s="10" t="str">
        <f t="shared" si="7"/>
        <v xml:space="preserve">Gouveia, L. </v>
      </c>
      <c r="J869" s="10" t="str">
        <f t="shared" si="8"/>
        <v xml:space="preserve">Gouveia, L. </v>
      </c>
      <c r="K869" s="11" t="str">
        <f ca="1">IFERROR(__xludf.DUMMYFUNCTION("SPLIT(J869,"";"")"),"Gouveia, L. ")</f>
        <v xml:space="preserve">Gouveia, L. </v>
      </c>
      <c r="L869" s="10"/>
      <c r="M869" s="10"/>
      <c r="N869" s="10"/>
      <c r="O869" s="10"/>
      <c r="P869" s="10"/>
      <c r="Q869" s="10"/>
      <c r="R869" s="10"/>
      <c r="S869" s="10"/>
      <c r="T869" s="10"/>
      <c r="U869" s="10"/>
      <c r="V869" s="10"/>
      <c r="W869" s="10"/>
      <c r="X869" s="10"/>
      <c r="Y869" s="10"/>
      <c r="Z869" s="10"/>
    </row>
    <row r="870" spans="1:26" ht="17.25" customHeight="1" x14ac:dyDescent="0.3">
      <c r="A870" s="10" t="s">
        <v>118</v>
      </c>
      <c r="B870" s="10">
        <f t="shared" si="0"/>
        <v>29</v>
      </c>
      <c r="C870" s="8" t="str">
        <f t="shared" si="1"/>
        <v xml:space="preserve">Gouveia, L. and Gouveia, F. </v>
      </c>
      <c r="D870" s="8" t="str">
        <f t="shared" si="2"/>
        <v>2001</v>
      </c>
      <c r="E870" s="10">
        <f t="shared" si="3"/>
        <v>34</v>
      </c>
      <c r="F870" s="10">
        <f t="shared" si="4"/>
        <v>135</v>
      </c>
      <c r="G870" s="8" t="str">
        <f t="shared" si="5"/>
        <v xml:space="preserve"> Visualisation issues for human systems development: the case of a knowledge sharing support system. </v>
      </c>
      <c r="H870" s="10" t="str">
        <f t="shared" si="6"/>
        <v xml:space="preserve">Gouveia, L. ; Gouveia, F. </v>
      </c>
      <c r="I870" s="10" t="str">
        <f t="shared" si="7"/>
        <v xml:space="preserve">Gouveia, L. ; Gouveia, F. </v>
      </c>
      <c r="J870" s="10" t="str">
        <f t="shared" si="8"/>
        <v xml:space="preserve">Gouveia, L. ; Gouveia, F. </v>
      </c>
      <c r="K870" s="11" t="str">
        <f ca="1">IFERROR(__xludf.DUMMYFUNCTION("SPLIT(J870,"";"")"),"Gouveia, L. ")</f>
        <v xml:space="preserve">Gouveia, L. </v>
      </c>
      <c r="L870" s="10" t="str">
        <f ca="1">IFERROR(__xludf.DUMMYFUNCTION("""COMPUTED_VALUE""")," Gouveia, F. ")</f>
        <v xml:space="preserve"> Gouveia, F. </v>
      </c>
      <c r="M870" s="10"/>
      <c r="N870" s="10"/>
      <c r="O870" s="10"/>
      <c r="P870" s="10"/>
      <c r="Q870" s="10"/>
      <c r="R870" s="10"/>
      <c r="S870" s="10"/>
      <c r="T870" s="10"/>
      <c r="U870" s="10"/>
      <c r="V870" s="10"/>
      <c r="W870" s="10"/>
      <c r="X870" s="10"/>
      <c r="Y870" s="10"/>
      <c r="Z870" s="10"/>
    </row>
    <row r="871" spans="1:26" ht="17.25" customHeight="1" x14ac:dyDescent="0.3">
      <c r="A871" s="10" t="s">
        <v>119</v>
      </c>
      <c r="B871" s="10">
        <f t="shared" si="0"/>
        <v>13</v>
      </c>
      <c r="C871" s="8" t="str">
        <f t="shared" si="1"/>
        <v xml:space="preserve">Gouveia, L. </v>
      </c>
      <c r="D871" s="8" t="str">
        <f t="shared" si="2"/>
        <v>2000</v>
      </c>
      <c r="E871" s="10">
        <f t="shared" si="3"/>
        <v>18</v>
      </c>
      <c r="F871" s="10">
        <f t="shared" si="4"/>
        <v>101</v>
      </c>
      <c r="G871" s="8" t="str">
        <f t="shared" si="5"/>
        <v xml:space="preserve"> Ambientes Virtuais Colaborativos: a procura de formas alternativas de interacção. </v>
      </c>
      <c r="H871" s="10" t="str">
        <f t="shared" si="6"/>
        <v xml:space="preserve">Gouveia, L. </v>
      </c>
      <c r="I871" s="10" t="str">
        <f t="shared" si="7"/>
        <v xml:space="preserve">Gouveia, L. </v>
      </c>
      <c r="J871" s="10" t="str">
        <f t="shared" si="8"/>
        <v xml:space="preserve">Gouveia, L. </v>
      </c>
      <c r="K871" s="11" t="str">
        <f ca="1">IFERROR(__xludf.DUMMYFUNCTION("SPLIT(J871,"";"")"),"Gouveia, L. ")</f>
        <v xml:space="preserve">Gouveia, L. </v>
      </c>
      <c r="L871" s="10"/>
      <c r="M871" s="10"/>
      <c r="N871" s="10"/>
      <c r="O871" s="10"/>
      <c r="P871" s="10"/>
      <c r="Q871" s="10"/>
      <c r="R871" s="10"/>
      <c r="S871" s="10"/>
      <c r="T871" s="10"/>
      <c r="U871" s="10"/>
      <c r="V871" s="10"/>
      <c r="W871" s="10"/>
      <c r="X871" s="10"/>
      <c r="Y871" s="10"/>
      <c r="Z871" s="10"/>
    </row>
    <row r="872" spans="1:26" ht="17.25" customHeight="1" x14ac:dyDescent="0.3">
      <c r="A872" s="10" t="s">
        <v>120</v>
      </c>
      <c r="B872" s="10">
        <f t="shared" si="0"/>
        <v>13</v>
      </c>
      <c r="C872" s="8" t="str">
        <f t="shared" si="1"/>
        <v xml:space="preserve">Gouveia, L. </v>
      </c>
      <c r="D872" s="8" t="str">
        <f t="shared" si="2"/>
        <v>2000</v>
      </c>
      <c r="E872" s="10">
        <f t="shared" si="3"/>
        <v>18</v>
      </c>
      <c r="F872" s="10">
        <f t="shared" si="4"/>
        <v>139</v>
      </c>
      <c r="G872" s="8" t="str">
        <f t="shared" si="5"/>
        <v xml:space="preserve"> Efeitos da exposição prolongada à tecnologia (ou uma contribuição para a discussão do conceito de cultura tecnologica). </v>
      </c>
      <c r="H872" s="10" t="str">
        <f t="shared" si="6"/>
        <v xml:space="preserve">Gouveia, L. </v>
      </c>
      <c r="I872" s="10" t="str">
        <f t="shared" si="7"/>
        <v xml:space="preserve">Gouveia, L. </v>
      </c>
      <c r="J872" s="10" t="str">
        <f t="shared" si="8"/>
        <v xml:space="preserve">Gouveia, L. </v>
      </c>
      <c r="K872" s="11" t="str">
        <f ca="1">IFERROR(__xludf.DUMMYFUNCTION("SPLIT(J872,"";"")"),"Gouveia, L. ")</f>
        <v xml:space="preserve">Gouveia, L. </v>
      </c>
      <c r="L872" s="10"/>
      <c r="M872" s="10"/>
      <c r="N872" s="10"/>
      <c r="O872" s="10"/>
      <c r="P872" s="10"/>
      <c r="Q872" s="10"/>
      <c r="R872" s="10"/>
      <c r="S872" s="10"/>
      <c r="T872" s="10"/>
      <c r="U872" s="10"/>
      <c r="V872" s="10"/>
      <c r="W872" s="10"/>
      <c r="X872" s="10"/>
      <c r="Y872" s="10"/>
      <c r="Z872" s="10"/>
    </row>
    <row r="873" spans="1:26" ht="17.25" customHeight="1" x14ac:dyDescent="0.3">
      <c r="A873" s="10" t="s">
        <v>121</v>
      </c>
      <c r="B873" s="10">
        <f t="shared" si="0"/>
        <v>13</v>
      </c>
      <c r="C873" s="8" t="str">
        <f t="shared" si="1"/>
        <v xml:space="preserve">Gouveia, L. </v>
      </c>
      <c r="D873" s="8" t="str">
        <f t="shared" si="2"/>
        <v>1999</v>
      </c>
      <c r="E873" s="10">
        <f t="shared" si="3"/>
        <v>18</v>
      </c>
      <c r="F873" s="10">
        <f t="shared" si="4"/>
        <v>94</v>
      </c>
      <c r="G873" s="8" t="str">
        <f t="shared" si="5"/>
        <v xml:space="preserve"> On Education, Learning and Training: bring windows where just walls exist. </v>
      </c>
      <c r="H873" s="10" t="str">
        <f t="shared" si="6"/>
        <v xml:space="preserve">Gouveia, L. </v>
      </c>
      <c r="I873" s="10" t="str">
        <f t="shared" si="7"/>
        <v xml:space="preserve">Gouveia, L. </v>
      </c>
      <c r="J873" s="10" t="str">
        <f t="shared" si="8"/>
        <v xml:space="preserve">Gouveia, L. </v>
      </c>
      <c r="K873" s="11" t="str">
        <f ca="1">IFERROR(__xludf.DUMMYFUNCTION("SPLIT(J873,"";"")"),"Gouveia, L. ")</f>
        <v xml:space="preserve">Gouveia, L. </v>
      </c>
      <c r="L873" s="10"/>
      <c r="M873" s="10"/>
      <c r="N873" s="10"/>
      <c r="O873" s="10"/>
      <c r="P873" s="10"/>
      <c r="Q873" s="10"/>
      <c r="R873" s="10"/>
      <c r="S873" s="10"/>
      <c r="T873" s="10"/>
      <c r="U873" s="10"/>
      <c r="V873" s="10"/>
      <c r="W873" s="10"/>
      <c r="X873" s="10"/>
      <c r="Y873" s="10"/>
      <c r="Z873" s="10"/>
    </row>
    <row r="874" spans="1:26" ht="17.25" customHeight="1" x14ac:dyDescent="0.3">
      <c r="A874" s="10" t="s">
        <v>123</v>
      </c>
      <c r="B874" s="10">
        <f t="shared" si="0"/>
        <v>13</v>
      </c>
      <c r="C874" s="8" t="str">
        <f t="shared" si="1"/>
        <v xml:space="preserve">Gouveia, L. </v>
      </c>
      <c r="D874" s="8" t="str">
        <f t="shared" si="2"/>
        <v>1998</v>
      </c>
      <c r="E874" s="10">
        <f t="shared" si="3"/>
        <v>18</v>
      </c>
      <c r="F874" s="10">
        <f t="shared" si="4"/>
        <v>83</v>
      </c>
      <c r="G874" s="8" t="str">
        <f t="shared" si="5"/>
        <v xml:space="preserve"> Group assessment: alternative forms to evaluate student skills. </v>
      </c>
      <c r="H874" s="10" t="str">
        <f t="shared" si="6"/>
        <v xml:space="preserve">Gouveia, L. </v>
      </c>
      <c r="I874" s="10" t="str">
        <f t="shared" si="7"/>
        <v xml:space="preserve">Gouveia, L. </v>
      </c>
      <c r="J874" s="10" t="str">
        <f t="shared" si="8"/>
        <v xml:space="preserve">Gouveia, L. </v>
      </c>
      <c r="K874" s="11" t="str">
        <f ca="1">IFERROR(__xludf.DUMMYFUNCTION("SPLIT(J874,"";"")"),"Gouveia, L. ")</f>
        <v xml:space="preserve">Gouveia, L. </v>
      </c>
      <c r="L874" s="10"/>
      <c r="M874" s="10"/>
      <c r="N874" s="10"/>
      <c r="O874" s="10"/>
      <c r="P874" s="10"/>
      <c r="Q874" s="10"/>
      <c r="R874" s="10"/>
      <c r="S874" s="10"/>
      <c r="T874" s="10"/>
      <c r="U874" s="10"/>
      <c r="V874" s="10"/>
      <c r="W874" s="10"/>
      <c r="X874" s="10"/>
      <c r="Y874" s="10"/>
      <c r="Z874" s="10"/>
    </row>
    <row r="875" spans="1:26" ht="17.25" customHeight="1" x14ac:dyDescent="0.3">
      <c r="A875" s="10" t="s">
        <v>124</v>
      </c>
      <c r="B875" s="10" t="e">
        <f t="shared" si="0"/>
        <v>#VALUE!</v>
      </c>
      <c r="C875" s="8" t="e">
        <f t="shared" si="1"/>
        <v>#VALUE!</v>
      </c>
      <c r="D875" s="8" t="e">
        <f t="shared" si="2"/>
        <v>#VALUE!</v>
      </c>
      <c r="E875" s="10" t="e">
        <f t="shared" si="3"/>
        <v>#VALUE!</v>
      </c>
      <c r="F875" s="10" t="e">
        <f t="shared" si="4"/>
        <v>#VALUE!</v>
      </c>
      <c r="G875" s="8" t="e">
        <f t="shared" si="5"/>
        <v>#VALUE!</v>
      </c>
      <c r="H875" s="10" t="e">
        <f t="shared" si="6"/>
        <v>#VALUE!</v>
      </c>
      <c r="I875" s="10" t="e">
        <f t="shared" si="7"/>
        <v>#VALUE!</v>
      </c>
      <c r="J875" s="10" t="e">
        <f t="shared" si="8"/>
        <v>#VALUE!</v>
      </c>
      <c r="K875" s="11" t="str">
        <f ca="1">IFERROR(__xludf.DUMMYFUNCTION("SPLIT(J875,"";"")"),"#VALUE!")</f>
        <v>#VALUE!</v>
      </c>
      <c r="L875" s="10"/>
      <c r="M875" s="10"/>
      <c r="N875" s="10"/>
      <c r="O875" s="10"/>
      <c r="P875" s="10"/>
      <c r="Q875" s="10"/>
      <c r="R875" s="10"/>
      <c r="S875" s="10"/>
      <c r="T875" s="10"/>
      <c r="U875" s="10"/>
      <c r="V875" s="10"/>
      <c r="W875" s="10"/>
      <c r="X875" s="10"/>
      <c r="Y875" s="10"/>
      <c r="Z875" s="10"/>
    </row>
    <row r="876" spans="1:26" ht="17.25" customHeight="1" x14ac:dyDescent="0.3">
      <c r="A876" s="10" t="s">
        <v>125</v>
      </c>
      <c r="B876" s="10" t="e">
        <f t="shared" si="0"/>
        <v>#VALUE!</v>
      </c>
      <c r="C876" s="8" t="e">
        <f t="shared" si="1"/>
        <v>#VALUE!</v>
      </c>
      <c r="D876" s="8" t="e">
        <f t="shared" si="2"/>
        <v>#VALUE!</v>
      </c>
      <c r="E876" s="10" t="e">
        <f t="shared" si="3"/>
        <v>#VALUE!</v>
      </c>
      <c r="F876" s="10" t="e">
        <f t="shared" si="4"/>
        <v>#VALUE!</v>
      </c>
      <c r="G876" s="8" t="e">
        <f t="shared" si="5"/>
        <v>#VALUE!</v>
      </c>
      <c r="H876" s="10" t="e">
        <f t="shared" si="6"/>
        <v>#VALUE!</v>
      </c>
      <c r="I876" s="10" t="e">
        <f t="shared" si="7"/>
        <v>#VALUE!</v>
      </c>
      <c r="J876" s="10" t="e">
        <f t="shared" si="8"/>
        <v>#VALUE!</v>
      </c>
      <c r="K876" s="11" t="str">
        <f ca="1">IFERROR(__xludf.DUMMYFUNCTION("SPLIT(J876,"";"")"),"#VALUE!")</f>
        <v>#VALUE!</v>
      </c>
      <c r="L876" s="10"/>
      <c r="M876" s="10"/>
      <c r="N876" s="10"/>
      <c r="O876" s="10"/>
      <c r="P876" s="10"/>
      <c r="Q876" s="10"/>
      <c r="R876" s="10"/>
      <c r="S876" s="10"/>
      <c r="T876" s="10"/>
      <c r="U876" s="10"/>
      <c r="V876" s="10"/>
      <c r="W876" s="10"/>
      <c r="X876" s="10"/>
      <c r="Y876" s="10"/>
      <c r="Z876" s="10"/>
    </row>
    <row r="877" spans="1:26" ht="17.25" customHeight="1" x14ac:dyDescent="0.3">
      <c r="A877" s="10" t="s">
        <v>126</v>
      </c>
      <c r="B877" s="10">
        <f t="shared" si="0"/>
        <v>27</v>
      </c>
      <c r="C877" s="8" t="str">
        <f t="shared" si="1"/>
        <v xml:space="preserve">Martins, E. e Gouveia, L. </v>
      </c>
      <c r="D877" s="8" t="str">
        <f t="shared" si="2"/>
        <v>2020</v>
      </c>
      <c r="E877" s="10">
        <f t="shared" si="3"/>
        <v>32</v>
      </c>
      <c r="F877" s="10">
        <f t="shared" si="4"/>
        <v>98</v>
      </c>
      <c r="G877" s="8" t="str">
        <f t="shared" si="5"/>
        <v xml:space="preserve"> Educational Model MS-SAI: Mobile Learning and Flipped Classroom. </v>
      </c>
      <c r="H877" s="10" t="str">
        <f t="shared" si="6"/>
        <v xml:space="preserve">Martins, E. e Gouveia, L. </v>
      </c>
      <c r="I877" s="10" t="str">
        <f t="shared" si="7"/>
        <v xml:space="preserve">Martins, E. e Gouveia, L. </v>
      </c>
      <c r="J877" s="10" t="str">
        <f t="shared" si="8"/>
        <v xml:space="preserve">Martins, E.;Gouveia, L. </v>
      </c>
      <c r="K877" s="11" t="str">
        <f ca="1">IFERROR(__xludf.DUMMYFUNCTION("SPLIT(J877,"";"")"),"Martins, E.")</f>
        <v>Martins, E.</v>
      </c>
      <c r="L877" s="10" t="str">
        <f ca="1">IFERROR(__xludf.DUMMYFUNCTION("""COMPUTED_VALUE"""),"Gouveia, L. ")</f>
        <v xml:space="preserve">Gouveia, L. </v>
      </c>
      <c r="M877" s="10"/>
      <c r="N877" s="10"/>
      <c r="O877" s="10"/>
      <c r="P877" s="10"/>
      <c r="Q877" s="10"/>
      <c r="R877" s="10"/>
      <c r="S877" s="10"/>
      <c r="T877" s="10"/>
      <c r="U877" s="10"/>
      <c r="V877" s="10"/>
      <c r="W877" s="10"/>
      <c r="X877" s="10"/>
      <c r="Y877" s="10"/>
      <c r="Z877" s="10"/>
    </row>
    <row r="878" spans="1:26" ht="17.25" customHeight="1" x14ac:dyDescent="0.3">
      <c r="A878" s="10" t="s">
        <v>127</v>
      </c>
      <c r="B878" s="10">
        <f t="shared" si="0"/>
        <v>27</v>
      </c>
      <c r="C878" s="8" t="str">
        <f t="shared" si="1"/>
        <v xml:space="preserve">Correia, A. e Gouveia, L. </v>
      </c>
      <c r="D878" s="8" t="str">
        <f t="shared" si="2"/>
        <v>2019</v>
      </c>
      <c r="E878" s="10">
        <f t="shared" si="3"/>
        <v>32</v>
      </c>
      <c r="F878" s="10">
        <f t="shared" si="4"/>
        <v>60</v>
      </c>
      <c r="G878" s="8" t="str">
        <f t="shared" si="5"/>
        <v xml:space="preserve"> Governação e Smart Cities. </v>
      </c>
      <c r="H878" s="10" t="str">
        <f t="shared" si="6"/>
        <v xml:space="preserve">Correia, A. e Gouveia, L. </v>
      </c>
      <c r="I878" s="10" t="str">
        <f t="shared" si="7"/>
        <v xml:space="preserve">Correia, A. e Gouveia, L. </v>
      </c>
      <c r="J878" s="10" t="str">
        <f t="shared" si="8"/>
        <v xml:space="preserve">Correia, A.;Gouveia, L. </v>
      </c>
      <c r="K878" s="11" t="str">
        <f ca="1">IFERROR(__xludf.DUMMYFUNCTION("SPLIT(J878,"";"")"),"Correia, A.")</f>
        <v>Correia, A.</v>
      </c>
      <c r="L878" s="10" t="str">
        <f ca="1">IFERROR(__xludf.DUMMYFUNCTION("""COMPUTED_VALUE"""),"Gouveia, L. ")</f>
        <v xml:space="preserve">Gouveia, L. </v>
      </c>
      <c r="M878" s="10"/>
      <c r="N878" s="10"/>
      <c r="O878" s="10"/>
      <c r="P878" s="10"/>
      <c r="Q878" s="10"/>
      <c r="R878" s="10"/>
      <c r="S878" s="10"/>
      <c r="T878" s="10"/>
      <c r="U878" s="10"/>
      <c r="V878" s="10"/>
      <c r="W878" s="10"/>
      <c r="X878" s="10"/>
      <c r="Y878" s="10"/>
      <c r="Z878" s="10"/>
    </row>
    <row r="879" spans="1:26" ht="17.25" customHeight="1" x14ac:dyDescent="0.3">
      <c r="A879" s="10" t="s">
        <v>128</v>
      </c>
      <c r="B879" s="10">
        <f t="shared" si="0"/>
        <v>27</v>
      </c>
      <c r="C879" s="8" t="str">
        <f t="shared" si="1"/>
        <v xml:space="preserve">Martins, E. e Gouveia, L. </v>
      </c>
      <c r="D879" s="8" t="str">
        <f t="shared" si="2"/>
        <v>2018</v>
      </c>
      <c r="E879" s="10">
        <f t="shared" si="3"/>
        <v>32</v>
      </c>
      <c r="F879" s="10">
        <f t="shared" si="4"/>
        <v>84</v>
      </c>
      <c r="G879" s="8" t="str">
        <f t="shared" si="5"/>
        <v xml:space="preserve"> Sala de Aula Invertida utilizando Mobile Learning. </v>
      </c>
      <c r="H879" s="10" t="str">
        <f t="shared" si="6"/>
        <v xml:space="preserve">Martins, E. e Gouveia, L. </v>
      </c>
      <c r="I879" s="10" t="str">
        <f t="shared" si="7"/>
        <v xml:space="preserve">Martins, E. e Gouveia, L. </v>
      </c>
      <c r="J879" s="10" t="str">
        <f t="shared" si="8"/>
        <v xml:space="preserve">Martins, E.;Gouveia, L. </v>
      </c>
      <c r="K879" s="11" t="str">
        <f ca="1">IFERROR(__xludf.DUMMYFUNCTION("SPLIT(J879,"";"")"),"Martins, E.")</f>
        <v>Martins, E.</v>
      </c>
      <c r="L879" s="10" t="str">
        <f ca="1">IFERROR(__xludf.DUMMYFUNCTION("""COMPUTED_VALUE"""),"Gouveia, L. ")</f>
        <v xml:space="preserve">Gouveia, L. </v>
      </c>
      <c r="M879" s="10"/>
      <c r="N879" s="10"/>
      <c r="O879" s="10"/>
      <c r="P879" s="10"/>
      <c r="Q879" s="10"/>
      <c r="R879" s="10"/>
      <c r="S879" s="10"/>
      <c r="T879" s="10"/>
      <c r="U879" s="10"/>
      <c r="V879" s="10"/>
      <c r="W879" s="10"/>
      <c r="X879" s="10"/>
      <c r="Y879" s="10"/>
      <c r="Z879" s="10"/>
    </row>
    <row r="880" spans="1:26" ht="17.25" customHeight="1" x14ac:dyDescent="0.3">
      <c r="A880" s="10" t="s">
        <v>129</v>
      </c>
      <c r="B880" s="10">
        <f t="shared" si="0"/>
        <v>26</v>
      </c>
      <c r="C880" s="8" t="str">
        <f t="shared" si="1"/>
        <v xml:space="preserve">Araújo, A. e Gouveia, L. </v>
      </c>
      <c r="D880" s="8" t="str">
        <f t="shared" si="2"/>
        <v>2017</v>
      </c>
      <c r="E880" s="10">
        <f t="shared" si="3"/>
        <v>31</v>
      </c>
      <c r="F880" s="10">
        <f t="shared" si="4"/>
        <v>79</v>
      </c>
      <c r="G880" s="8" t="str">
        <f t="shared" si="5"/>
        <v xml:space="preserve"> O Digital nas Instituições de Ensino Superior. </v>
      </c>
      <c r="H880" s="10" t="str">
        <f t="shared" si="6"/>
        <v xml:space="preserve">Araújo, A. e Gouveia, L. </v>
      </c>
      <c r="I880" s="10" t="str">
        <f t="shared" si="7"/>
        <v xml:space="preserve">Araújo, A. e Gouveia, L. </v>
      </c>
      <c r="J880" s="10" t="str">
        <f t="shared" si="8"/>
        <v xml:space="preserve">Araújo, A.;Gouveia, L. </v>
      </c>
      <c r="K880" s="11" t="str">
        <f ca="1">IFERROR(__xludf.DUMMYFUNCTION("SPLIT(J880,"";"")"),"Araújo, A.")</f>
        <v>Araújo, A.</v>
      </c>
      <c r="L880" s="10" t="str">
        <f ca="1">IFERROR(__xludf.DUMMYFUNCTION("""COMPUTED_VALUE"""),"Gouveia, L. ")</f>
        <v xml:space="preserve">Gouveia, L. </v>
      </c>
      <c r="M880" s="10"/>
      <c r="N880" s="10"/>
      <c r="O880" s="10"/>
      <c r="P880" s="10"/>
      <c r="Q880" s="10"/>
      <c r="R880" s="10"/>
      <c r="S880" s="10"/>
      <c r="T880" s="10"/>
      <c r="U880" s="10"/>
      <c r="V880" s="10"/>
      <c r="W880" s="10"/>
      <c r="X880" s="10"/>
      <c r="Y880" s="10"/>
      <c r="Z880" s="10"/>
    </row>
    <row r="881" spans="1:26" ht="17.25" customHeight="1" x14ac:dyDescent="0.3">
      <c r="A881" s="10" t="s">
        <v>130</v>
      </c>
      <c r="B881" s="10">
        <f t="shared" si="0"/>
        <v>27</v>
      </c>
      <c r="C881" s="8" t="str">
        <f t="shared" si="1"/>
        <v xml:space="preserve">Alfredo, P. e Gouveia, L. </v>
      </c>
      <c r="D881" s="8" t="str">
        <f t="shared" si="2"/>
        <v>2015</v>
      </c>
      <c r="E881" s="10">
        <f t="shared" si="3"/>
        <v>32</v>
      </c>
      <c r="F881" s="10">
        <f t="shared" si="4"/>
        <v>118</v>
      </c>
      <c r="G881" s="8" t="str">
        <f t="shared" si="5"/>
        <v>Contribuições para a discussão de um modelo de Governo Electrónico Local para Angola.P</v>
      </c>
      <c r="H881" s="10" t="str">
        <f t="shared" si="6"/>
        <v xml:space="preserve">Alfredo, P. e Gouveia, L. </v>
      </c>
      <c r="I881" s="10" t="str">
        <f t="shared" si="7"/>
        <v xml:space="preserve">Alfredo, P. e Gouveia, L. </v>
      </c>
      <c r="J881" s="10" t="str">
        <f t="shared" si="8"/>
        <v xml:space="preserve">Alfredo, P.;Gouveia, L. </v>
      </c>
      <c r="K881" s="11" t="str">
        <f ca="1">IFERROR(__xludf.DUMMYFUNCTION("SPLIT(J881,"";"")"),"Alfredo, P.")</f>
        <v>Alfredo, P.</v>
      </c>
      <c r="L881" s="10" t="str">
        <f ca="1">IFERROR(__xludf.DUMMYFUNCTION("""COMPUTED_VALUE"""),"Gouveia, L. ")</f>
        <v xml:space="preserve">Gouveia, L. </v>
      </c>
      <c r="M881" s="10"/>
      <c r="N881" s="10"/>
      <c r="O881" s="10"/>
      <c r="P881" s="10"/>
      <c r="Q881" s="10"/>
      <c r="R881" s="10"/>
      <c r="S881" s="10"/>
      <c r="T881" s="10"/>
      <c r="U881" s="10"/>
      <c r="V881" s="10"/>
      <c r="W881" s="10"/>
      <c r="X881" s="10"/>
      <c r="Y881" s="10"/>
      <c r="Z881" s="10"/>
    </row>
    <row r="882" spans="1:26" ht="17.25" customHeight="1" x14ac:dyDescent="0.3">
      <c r="A882" s="10" t="s">
        <v>131</v>
      </c>
      <c r="B882" s="10">
        <f t="shared" si="0"/>
        <v>25</v>
      </c>
      <c r="C882" s="8" t="str">
        <f t="shared" si="1"/>
        <v xml:space="preserve">Gouveia, L. e Cunha, L. </v>
      </c>
      <c r="D882" s="8" t="str">
        <f t="shared" si="2"/>
        <v>2015</v>
      </c>
      <c r="E882" s="10">
        <f t="shared" si="3"/>
        <v>30</v>
      </c>
      <c r="F882" s="10">
        <f t="shared" si="4"/>
        <v>37</v>
      </c>
      <c r="G882" s="8" t="str">
        <f t="shared" si="5"/>
        <v>Web 2.0</v>
      </c>
      <c r="H882" s="10" t="str">
        <f t="shared" si="6"/>
        <v xml:space="preserve">Gouveia, L. e Cunha, L. </v>
      </c>
      <c r="I882" s="10" t="str">
        <f t="shared" si="7"/>
        <v xml:space="preserve">Gouveia, L. e Cunha, L. </v>
      </c>
      <c r="J882" s="10" t="str">
        <f t="shared" si="8"/>
        <v xml:space="preserve">Gouveia, L.;Cunha, L. </v>
      </c>
      <c r="K882" s="11" t="str">
        <f ca="1">IFERROR(__xludf.DUMMYFUNCTION("SPLIT(J882,"";"")"),"Gouveia, L.")</f>
        <v>Gouveia, L.</v>
      </c>
      <c r="L882" s="10" t="str">
        <f ca="1">IFERROR(__xludf.DUMMYFUNCTION("""COMPUTED_VALUE"""),"Cunha, L. ")</f>
        <v xml:space="preserve">Cunha, L. </v>
      </c>
      <c r="M882" s="10"/>
      <c r="N882" s="10"/>
      <c r="O882" s="10"/>
      <c r="P882" s="10"/>
      <c r="Q882" s="10"/>
      <c r="R882" s="10"/>
      <c r="S882" s="10"/>
      <c r="T882" s="10"/>
      <c r="U882" s="10"/>
      <c r="V882" s="10"/>
      <c r="W882" s="10"/>
      <c r="X882" s="10"/>
      <c r="Y882" s="10"/>
      <c r="Z882" s="10"/>
    </row>
    <row r="883" spans="1:26" ht="17.25" customHeight="1" x14ac:dyDescent="0.3">
      <c r="A883" s="10" t="s">
        <v>132</v>
      </c>
      <c r="B883" s="10">
        <f t="shared" si="0"/>
        <v>25</v>
      </c>
      <c r="C883" s="8" t="str">
        <f t="shared" si="1"/>
        <v xml:space="preserve">Moura, P. e Gouveia, L. </v>
      </c>
      <c r="D883" s="8" t="str">
        <f t="shared" si="2"/>
        <v>2014</v>
      </c>
      <c r="E883" s="10">
        <f t="shared" si="3"/>
        <v>30</v>
      </c>
      <c r="F883" s="10">
        <f t="shared" si="4"/>
        <v>93</v>
      </c>
      <c r="G883" s="8" t="str">
        <f t="shared" si="5"/>
        <v xml:space="preserve"> Gestão da Informação em Museus: contributo para o seu estudo. </v>
      </c>
      <c r="H883" s="10" t="str">
        <f t="shared" si="6"/>
        <v xml:space="preserve">Moura, P. e Gouveia, L. </v>
      </c>
      <c r="I883" s="10" t="str">
        <f t="shared" si="7"/>
        <v xml:space="preserve">Moura, P. e Gouveia, L. </v>
      </c>
      <c r="J883" s="10" t="str">
        <f t="shared" si="8"/>
        <v xml:space="preserve">Moura, P.;Gouveia, L. </v>
      </c>
      <c r="K883" s="11" t="str">
        <f ca="1">IFERROR(__xludf.DUMMYFUNCTION("SPLIT(J883,"";"")"),"Moura, P.")</f>
        <v>Moura, P.</v>
      </c>
      <c r="L883" s="10" t="str">
        <f ca="1">IFERROR(__xludf.DUMMYFUNCTION("""COMPUTED_VALUE"""),"Gouveia, L. ")</f>
        <v xml:space="preserve">Gouveia, L. </v>
      </c>
      <c r="M883" s="10"/>
      <c r="N883" s="10"/>
      <c r="O883" s="10"/>
      <c r="P883" s="10"/>
      <c r="Q883" s="10"/>
      <c r="R883" s="10"/>
      <c r="S883" s="10"/>
      <c r="T883" s="10"/>
      <c r="U883" s="10"/>
      <c r="V883" s="10"/>
      <c r="W883" s="10"/>
      <c r="X883" s="10"/>
      <c r="Y883" s="10"/>
      <c r="Z883" s="10"/>
    </row>
    <row r="884" spans="1:26" ht="17.25" customHeight="1" x14ac:dyDescent="0.3">
      <c r="A884" s="10" t="s">
        <v>133</v>
      </c>
      <c r="B884" s="10">
        <f t="shared" si="0"/>
        <v>19</v>
      </c>
      <c r="C884" s="8" t="str">
        <f t="shared" si="1"/>
        <v xml:space="preserve">Coelho, J. et al. </v>
      </c>
      <c r="D884" s="8" t="str">
        <f t="shared" si="2"/>
        <v>2012</v>
      </c>
      <c r="E884" s="10">
        <f t="shared" si="3"/>
        <v>24</v>
      </c>
      <c r="F884" s="10">
        <f t="shared" si="4"/>
        <v>103</v>
      </c>
      <c r="G884" s="8" t="str">
        <f t="shared" si="5"/>
        <v xml:space="preserve"> Repensar a Sociedade da Informação e do Conhecimento no Início do Século XXI. </v>
      </c>
      <c r="H884" s="10" t="str">
        <f t="shared" si="6"/>
        <v xml:space="preserve">Coelho, J. et al. </v>
      </c>
      <c r="I884" s="10" t="str">
        <f t="shared" si="7"/>
        <v xml:space="preserve">Coelho, J. et al. </v>
      </c>
      <c r="J884" s="10" t="str">
        <f t="shared" si="8"/>
        <v xml:space="preserve">Coelho, J. et al. </v>
      </c>
      <c r="K884" s="11" t="str">
        <f ca="1">IFERROR(__xludf.DUMMYFUNCTION("SPLIT(J884,"";"")"),"Coelho, J. et al. ")</f>
        <v xml:space="preserve">Coelho, J. et al. </v>
      </c>
      <c r="L884" s="10"/>
      <c r="M884" s="10"/>
      <c r="N884" s="10"/>
      <c r="O884" s="10"/>
      <c r="P884" s="10"/>
      <c r="Q884" s="10"/>
      <c r="R884" s="10"/>
      <c r="S884" s="10"/>
      <c r="T884" s="10"/>
      <c r="U884" s="10"/>
      <c r="V884" s="10"/>
      <c r="W884" s="10"/>
      <c r="X884" s="10"/>
      <c r="Y884" s="10"/>
      <c r="Z884" s="10"/>
    </row>
    <row r="885" spans="1:26" ht="17.25" customHeight="1" x14ac:dyDescent="0.3">
      <c r="A885" s="10" t="s">
        <v>135</v>
      </c>
      <c r="B885" s="10">
        <f t="shared" si="0"/>
        <v>13</v>
      </c>
      <c r="C885" s="8" t="str">
        <f t="shared" si="1"/>
        <v xml:space="preserve">Gouveia, L. </v>
      </c>
      <c r="D885" s="8" t="str">
        <f t="shared" si="2"/>
        <v>2009</v>
      </c>
      <c r="E885" s="10">
        <f t="shared" si="3"/>
        <v>18</v>
      </c>
      <c r="F885" s="10">
        <f t="shared" si="4"/>
        <v>61</v>
      </c>
      <c r="G885" s="8" t="str">
        <f t="shared" si="5"/>
        <v xml:space="preserve"> A Virtual Environment to share knowledge. </v>
      </c>
      <c r="H885" s="10" t="str">
        <f t="shared" si="6"/>
        <v xml:space="preserve">Gouveia, L. </v>
      </c>
      <c r="I885" s="10" t="str">
        <f t="shared" si="7"/>
        <v xml:space="preserve">Gouveia, L. </v>
      </c>
      <c r="J885" s="10" t="str">
        <f t="shared" si="8"/>
        <v xml:space="preserve">Gouveia, L. </v>
      </c>
      <c r="K885" s="11" t="str">
        <f ca="1">IFERROR(__xludf.DUMMYFUNCTION("SPLIT(J885,"";"")"),"Gouveia, L. ")</f>
        <v xml:space="preserve">Gouveia, L. </v>
      </c>
      <c r="L885" s="10"/>
      <c r="M885" s="10"/>
      <c r="N885" s="10"/>
      <c r="O885" s="10"/>
      <c r="P885" s="10"/>
      <c r="Q885" s="10"/>
      <c r="R885" s="10"/>
      <c r="S885" s="10"/>
      <c r="T885" s="10"/>
      <c r="U885" s="10"/>
      <c r="V885" s="10"/>
      <c r="W885" s="10"/>
      <c r="X885" s="10"/>
      <c r="Y885" s="10"/>
      <c r="Z885" s="10"/>
    </row>
    <row r="886" spans="1:26" ht="17.25" customHeight="1" x14ac:dyDescent="0.3">
      <c r="A886" s="10" t="s">
        <v>137</v>
      </c>
      <c r="B886" s="10">
        <f t="shared" si="0"/>
        <v>27</v>
      </c>
      <c r="C886" s="8" t="str">
        <f t="shared" si="1"/>
        <v xml:space="preserve">Bairrão, M. e Gouveia, L. </v>
      </c>
      <c r="D886" s="8" t="str">
        <f t="shared" si="2"/>
        <v>2007</v>
      </c>
      <c r="E886" s="10">
        <f t="shared" si="3"/>
        <v>32</v>
      </c>
      <c r="F886" s="10">
        <f t="shared" si="4"/>
        <v>77</v>
      </c>
      <c r="G886" s="8" t="str">
        <f t="shared" si="5"/>
        <v xml:space="preserve"> Gestão da Informação na Biblioteca Escolar. </v>
      </c>
      <c r="H886" s="10" t="str">
        <f t="shared" si="6"/>
        <v xml:space="preserve">Bairrão, M. e Gouveia, L. </v>
      </c>
      <c r="I886" s="10" t="str">
        <f t="shared" si="7"/>
        <v xml:space="preserve">Bairrão, M. e Gouveia, L. </v>
      </c>
      <c r="J886" s="10" t="str">
        <f t="shared" si="8"/>
        <v xml:space="preserve">Bairrão, M.;Gouveia, L. </v>
      </c>
      <c r="K886" s="11" t="str">
        <f ca="1">IFERROR(__xludf.DUMMYFUNCTION("SPLIT(J886,"";"")"),"Bairrão, M.")</f>
        <v>Bairrão, M.</v>
      </c>
      <c r="L886" s="10" t="str">
        <f ca="1">IFERROR(__xludf.DUMMYFUNCTION("""COMPUTED_VALUE"""),"Gouveia, L. ")</f>
        <v xml:space="preserve">Gouveia, L. </v>
      </c>
      <c r="M886" s="10"/>
      <c r="N886" s="10"/>
      <c r="O886" s="10"/>
      <c r="P886" s="10"/>
      <c r="Q886" s="10"/>
      <c r="R886" s="10"/>
      <c r="S886" s="10"/>
      <c r="T886" s="10"/>
      <c r="U886" s="10"/>
      <c r="V886" s="10"/>
      <c r="W886" s="10"/>
      <c r="X886" s="10"/>
      <c r="Y886" s="10"/>
      <c r="Z886" s="10"/>
    </row>
    <row r="887" spans="1:26" ht="17.25" customHeight="1" x14ac:dyDescent="0.3">
      <c r="A887" s="10" t="s">
        <v>138</v>
      </c>
      <c r="B887" s="10">
        <f t="shared" si="0"/>
        <v>13</v>
      </c>
      <c r="C887" s="8" t="str">
        <f t="shared" si="1"/>
        <v xml:space="preserve">Gouveia, L. </v>
      </c>
      <c r="D887" s="8" t="str">
        <f t="shared" si="2"/>
        <v>2006</v>
      </c>
      <c r="E887" s="10" t="e">
        <f t="shared" si="3"/>
        <v>#VALUE!</v>
      </c>
      <c r="F887" s="10" t="e">
        <f t="shared" si="4"/>
        <v>#VALUE!</v>
      </c>
      <c r="G887" s="8" t="e">
        <f t="shared" si="5"/>
        <v>#VALUE!</v>
      </c>
      <c r="H887" s="10" t="str">
        <f t="shared" si="6"/>
        <v xml:space="preserve">Gouveia, L. </v>
      </c>
      <c r="I887" s="10" t="str">
        <f t="shared" si="7"/>
        <v xml:space="preserve">Gouveia, L. </v>
      </c>
      <c r="J887" s="10" t="str">
        <f t="shared" si="8"/>
        <v xml:space="preserve">Gouveia, L. </v>
      </c>
      <c r="K887" s="11" t="str">
        <f ca="1">IFERROR(__xludf.DUMMYFUNCTION("SPLIT(J887,"";"")"),"Gouveia, L. ")</f>
        <v xml:space="preserve">Gouveia, L. </v>
      </c>
      <c r="L887" s="10"/>
      <c r="M887" s="10"/>
      <c r="N887" s="10"/>
      <c r="O887" s="10"/>
      <c r="P887" s="10"/>
      <c r="Q887" s="10"/>
      <c r="R887" s="10"/>
      <c r="S887" s="10"/>
      <c r="T887" s="10"/>
      <c r="U887" s="10"/>
      <c r="V887" s="10"/>
      <c r="W887" s="10"/>
      <c r="X887" s="10"/>
      <c r="Y887" s="10"/>
      <c r="Z887" s="10"/>
    </row>
    <row r="888" spans="1:26" ht="17.25" customHeight="1" x14ac:dyDescent="0.3">
      <c r="A888" s="10" t="s">
        <v>139</v>
      </c>
      <c r="B888" s="10">
        <f t="shared" si="0"/>
        <v>54</v>
      </c>
      <c r="C888" s="8" t="str">
        <f t="shared" si="1"/>
        <v xml:space="preserve">Ribeiro, N. e Gouveia, L. e Rurato, P. e Moreira, R. </v>
      </c>
      <c r="D888" s="8" t="str">
        <f t="shared" si="2"/>
        <v>2005</v>
      </c>
      <c r="E888" s="10">
        <f t="shared" si="3"/>
        <v>59</v>
      </c>
      <c r="F888" s="10">
        <f t="shared" si="4"/>
        <v>132</v>
      </c>
      <c r="G888" s="8" t="str">
        <f t="shared" si="5"/>
        <v xml:space="preserve"> Informática e Competências Tecnológicas para a Sociedade da Informação. </v>
      </c>
      <c r="H888" s="10" t="str">
        <f t="shared" si="6"/>
        <v xml:space="preserve">Ribeiro, N. e Gouveia, L. e Rurato, P. e Moreira, R. </v>
      </c>
      <c r="I888" s="10" t="str">
        <f t="shared" si="7"/>
        <v xml:space="preserve">Ribeiro, N. e Gouveia, L. e Rurato, P. e Moreira, R. </v>
      </c>
      <c r="J888" s="10" t="str">
        <f t="shared" si="8"/>
        <v xml:space="preserve">Ribeiro, N.;Gouveia, L.;Rurato, P.;Moreira, R. </v>
      </c>
      <c r="K888" s="11" t="str">
        <f ca="1">IFERROR(__xludf.DUMMYFUNCTION("SPLIT(J888,"";"")"),"Ribeiro, N.")</f>
        <v>Ribeiro, N.</v>
      </c>
      <c r="L888" s="10" t="str">
        <f ca="1">IFERROR(__xludf.DUMMYFUNCTION("""COMPUTED_VALUE"""),"Gouveia, L.")</f>
        <v>Gouveia, L.</v>
      </c>
      <c r="M888" s="10" t="str">
        <f ca="1">IFERROR(__xludf.DUMMYFUNCTION("""COMPUTED_VALUE"""),"Rurato, P.")</f>
        <v>Rurato, P.</v>
      </c>
      <c r="N888" s="10" t="str">
        <f ca="1">IFERROR(__xludf.DUMMYFUNCTION("""COMPUTED_VALUE"""),"Moreira, R. ")</f>
        <v xml:space="preserve">Moreira, R. </v>
      </c>
      <c r="O888" s="10"/>
      <c r="P888" s="10"/>
      <c r="Q888" s="10"/>
      <c r="R888" s="10"/>
      <c r="S888" s="10"/>
      <c r="T888" s="10"/>
      <c r="U888" s="10"/>
      <c r="V888" s="10"/>
      <c r="W888" s="10"/>
      <c r="X888" s="10"/>
      <c r="Y888" s="10"/>
      <c r="Z888" s="10"/>
    </row>
    <row r="889" spans="1:26" ht="17.25" customHeight="1" x14ac:dyDescent="0.3">
      <c r="A889" s="10" t="s">
        <v>140</v>
      </c>
      <c r="B889" s="10">
        <f t="shared" si="0"/>
        <v>26</v>
      </c>
      <c r="C889" s="8" t="str">
        <f t="shared" si="1"/>
        <v xml:space="preserve">Gouveia, L. e Ranito, J. </v>
      </c>
      <c r="D889" s="8" t="str">
        <f t="shared" si="2"/>
        <v>2004</v>
      </c>
      <c r="E889" s="10">
        <f t="shared" si="3"/>
        <v>31</v>
      </c>
      <c r="F889" s="10">
        <f t="shared" si="4"/>
        <v>75</v>
      </c>
      <c r="G889" s="8" t="str">
        <f t="shared" si="5"/>
        <v xml:space="preserve"> Sistemas de Informação de Apoio à Decisão. </v>
      </c>
      <c r="H889" s="10" t="str">
        <f t="shared" si="6"/>
        <v xml:space="preserve">Gouveia, L. e Ranito, J. </v>
      </c>
      <c r="I889" s="10" t="str">
        <f t="shared" si="7"/>
        <v xml:space="preserve">Gouveia, L. e Ranito, J. </v>
      </c>
      <c r="J889" s="10" t="str">
        <f t="shared" si="8"/>
        <v xml:space="preserve">Gouveia, L.;Ranito, J. </v>
      </c>
      <c r="K889" s="11" t="str">
        <f ca="1">IFERROR(__xludf.DUMMYFUNCTION("SPLIT(J889,"";"")"),"Gouveia, L.")</f>
        <v>Gouveia, L.</v>
      </c>
      <c r="L889" s="10" t="str">
        <f ca="1">IFERROR(__xludf.DUMMYFUNCTION("""COMPUTED_VALUE"""),"Ranito, J. ")</f>
        <v xml:space="preserve">Ranito, J. </v>
      </c>
      <c r="M889" s="10"/>
      <c r="N889" s="10"/>
      <c r="O889" s="10"/>
      <c r="P889" s="10"/>
      <c r="Q889" s="10"/>
      <c r="R889" s="10"/>
      <c r="S889" s="10"/>
      <c r="T889" s="10"/>
      <c r="U889" s="10"/>
      <c r="V889" s="10"/>
      <c r="W889" s="10"/>
      <c r="X889" s="10"/>
      <c r="Y889" s="10"/>
      <c r="Z889" s="10"/>
    </row>
    <row r="890" spans="1:26" ht="17.25" customHeight="1" x14ac:dyDescent="0.3">
      <c r="A890" s="10" t="s">
        <v>141</v>
      </c>
      <c r="B890" s="10">
        <f t="shared" si="0"/>
        <v>13</v>
      </c>
      <c r="C890" s="8" t="str">
        <f t="shared" si="1"/>
        <v xml:space="preserve">Gouveia, L. </v>
      </c>
      <c r="D890" s="8" t="str">
        <f t="shared" si="2"/>
        <v>2004</v>
      </c>
      <c r="E890" s="10">
        <f t="shared" si="3"/>
        <v>18</v>
      </c>
      <c r="F890" s="10">
        <f t="shared" si="4"/>
        <v>74</v>
      </c>
      <c r="G890" s="8" t="str">
        <f t="shared" si="5"/>
        <v xml:space="preserve"> Local e-government: a governação digital na autarquia. </v>
      </c>
      <c r="H890" s="10" t="str">
        <f t="shared" si="6"/>
        <v xml:space="preserve">Gouveia, L. </v>
      </c>
      <c r="I890" s="10" t="str">
        <f t="shared" si="7"/>
        <v xml:space="preserve">Gouveia, L. </v>
      </c>
      <c r="J890" s="10" t="str">
        <f t="shared" si="8"/>
        <v xml:space="preserve">Gouveia, L. </v>
      </c>
      <c r="K890" s="11" t="str">
        <f ca="1">IFERROR(__xludf.DUMMYFUNCTION("SPLIT(J890,"";"")"),"Gouveia, L. ")</f>
        <v xml:space="preserve">Gouveia, L. </v>
      </c>
      <c r="L890" s="10"/>
      <c r="M890" s="10"/>
      <c r="N890" s="10"/>
      <c r="O890" s="10"/>
      <c r="P890" s="10"/>
      <c r="Q890" s="10"/>
      <c r="R890" s="10"/>
      <c r="S890" s="10"/>
      <c r="T890" s="10"/>
      <c r="U890" s="10"/>
      <c r="V890" s="10"/>
      <c r="W890" s="10"/>
      <c r="X890" s="10"/>
      <c r="Y890" s="10"/>
      <c r="Z890" s="10"/>
    </row>
    <row r="891" spans="1:26" ht="17.25" customHeight="1" x14ac:dyDescent="0.3">
      <c r="A891" s="10" t="s">
        <v>142</v>
      </c>
      <c r="B891" s="10">
        <f t="shared" si="0"/>
        <v>42</v>
      </c>
      <c r="C891" s="8" t="str">
        <f t="shared" si="1"/>
        <v xml:space="preserve">Magalhães, N. e Gouveia, L. e Rurato, P. </v>
      </c>
      <c r="D891" s="8" t="str">
        <f t="shared" si="2"/>
        <v>2003</v>
      </c>
      <c r="E891" s="10">
        <f t="shared" si="3"/>
        <v>47</v>
      </c>
      <c r="F891" s="10">
        <f t="shared" si="4"/>
        <v>120</v>
      </c>
      <c r="G891" s="8" t="str">
        <f t="shared" si="5"/>
        <v xml:space="preserve"> Informática e Competências Tecnológicas para a Sociedade da Informação. </v>
      </c>
      <c r="H891" s="10" t="str">
        <f t="shared" si="6"/>
        <v xml:space="preserve">Magalhães, N. e Gouveia, L. e Rurato, P. </v>
      </c>
      <c r="I891" s="10" t="str">
        <f t="shared" si="7"/>
        <v xml:space="preserve">Magalhães, N. e Gouveia, L. e Rurato, P. </v>
      </c>
      <c r="J891" s="10" t="str">
        <f t="shared" si="8"/>
        <v xml:space="preserve">Magalhães, N.;Gouveia, L.;Rurato, P. </v>
      </c>
      <c r="K891" s="11" t="str">
        <f ca="1">IFERROR(__xludf.DUMMYFUNCTION("SPLIT(J891,"";"")"),"Magalhães, N.")</f>
        <v>Magalhães, N.</v>
      </c>
      <c r="L891" s="10" t="str">
        <f ca="1">IFERROR(__xludf.DUMMYFUNCTION("""COMPUTED_VALUE"""),"Gouveia, L.")</f>
        <v>Gouveia, L.</v>
      </c>
      <c r="M891" s="10" t="str">
        <f ca="1">IFERROR(__xludf.DUMMYFUNCTION("""COMPUTED_VALUE"""),"Rurato, P. ")</f>
        <v xml:space="preserve">Rurato, P. </v>
      </c>
      <c r="N891" s="10"/>
      <c r="O891" s="10"/>
      <c r="P891" s="10"/>
      <c r="Q891" s="10"/>
      <c r="R891" s="10"/>
      <c r="S891" s="10"/>
      <c r="T891" s="10"/>
      <c r="U891" s="10"/>
      <c r="V891" s="10"/>
      <c r="W891" s="10"/>
      <c r="X891" s="10"/>
      <c r="Y891" s="10"/>
      <c r="Z891" s="10"/>
    </row>
    <row r="892" spans="1:26" ht="17.25" customHeight="1" x14ac:dyDescent="0.3">
      <c r="A892" s="10" t="s">
        <v>143</v>
      </c>
      <c r="B892" s="10" t="e">
        <f t="shared" si="0"/>
        <v>#VALUE!</v>
      </c>
      <c r="C892" s="8" t="e">
        <f t="shared" si="1"/>
        <v>#VALUE!</v>
      </c>
      <c r="D892" s="8" t="e">
        <f t="shared" si="2"/>
        <v>#VALUE!</v>
      </c>
      <c r="E892" s="10" t="e">
        <f t="shared" si="3"/>
        <v>#VALUE!</v>
      </c>
      <c r="F892" s="10" t="e">
        <f t="shared" si="4"/>
        <v>#VALUE!</v>
      </c>
      <c r="G892" s="8" t="e">
        <f t="shared" si="5"/>
        <v>#VALUE!</v>
      </c>
      <c r="H892" s="10" t="e">
        <f t="shared" si="6"/>
        <v>#VALUE!</v>
      </c>
      <c r="I892" s="10" t="e">
        <f t="shared" si="7"/>
        <v>#VALUE!</v>
      </c>
      <c r="J892" s="10" t="e">
        <f t="shared" si="8"/>
        <v>#VALUE!</v>
      </c>
      <c r="K892" s="11" t="str">
        <f ca="1">IFERROR(__xludf.DUMMYFUNCTION("SPLIT(J892,"";"")"),"#VALUE!")</f>
        <v>#VALUE!</v>
      </c>
      <c r="L892" s="10"/>
      <c r="M892" s="10"/>
      <c r="N892" s="10"/>
      <c r="O892" s="10"/>
      <c r="P892" s="10"/>
      <c r="Q892" s="10"/>
      <c r="R892" s="10"/>
      <c r="S892" s="10"/>
      <c r="T892" s="10"/>
      <c r="U892" s="10"/>
      <c r="V892" s="10"/>
      <c r="W892" s="10"/>
      <c r="X892" s="10"/>
      <c r="Y892" s="10"/>
      <c r="Z892" s="10"/>
    </row>
    <row r="893" spans="1:26" ht="17.25" customHeight="1" x14ac:dyDescent="0.3">
      <c r="A893" s="10" t="s">
        <v>144</v>
      </c>
      <c r="B893" s="10">
        <f t="shared" si="0"/>
        <v>40</v>
      </c>
      <c r="C893" s="8" t="str">
        <f t="shared" si="1"/>
        <v xml:space="preserve">Freitas, J.; Gouveia, L. e Regedor, A. </v>
      </c>
      <c r="D893" s="8" t="str">
        <f t="shared" si="2"/>
        <v>edit</v>
      </c>
      <c r="E893" s="10">
        <f t="shared" si="3"/>
        <v>56</v>
      </c>
      <c r="F893" s="10">
        <f t="shared" si="4"/>
        <v>80</v>
      </c>
      <c r="G893" s="8" t="str">
        <f t="shared" si="5"/>
        <v xml:space="preserve"> Ciência da Informação. </v>
      </c>
      <c r="H893" s="10" t="str">
        <f t="shared" si="6"/>
        <v xml:space="preserve">Freitas, J.; Gouveia, L. e Regedor, A. </v>
      </c>
      <c r="I893" s="10" t="str">
        <f t="shared" si="7"/>
        <v xml:space="preserve">Freitas, J.; Gouveia, L. e Regedor, A. </v>
      </c>
      <c r="J893" s="10" t="str">
        <f t="shared" si="8"/>
        <v xml:space="preserve">Freitas, J.; Gouveia, L.;Regedor, A. </v>
      </c>
      <c r="K893" s="11" t="str">
        <f ca="1">IFERROR(__xludf.DUMMYFUNCTION("SPLIT(J893,"";"")"),"Freitas, J.")</f>
        <v>Freitas, J.</v>
      </c>
      <c r="L893" s="10" t="str">
        <f ca="1">IFERROR(__xludf.DUMMYFUNCTION("""COMPUTED_VALUE""")," Gouveia, L.")</f>
        <v xml:space="preserve"> Gouveia, L.</v>
      </c>
      <c r="M893" s="10" t="str">
        <f ca="1">IFERROR(__xludf.DUMMYFUNCTION("""COMPUTED_VALUE"""),"Regedor, A. ")</f>
        <v xml:space="preserve">Regedor, A. </v>
      </c>
      <c r="N893" s="10"/>
      <c r="O893" s="10"/>
      <c r="P893" s="10"/>
      <c r="Q893" s="10"/>
      <c r="R893" s="10"/>
      <c r="S893" s="10"/>
      <c r="T893" s="10"/>
      <c r="U893" s="10"/>
      <c r="V893" s="10"/>
      <c r="W893" s="10"/>
      <c r="X893" s="10"/>
      <c r="Y893" s="10"/>
      <c r="Z893" s="10"/>
    </row>
    <row r="894" spans="1:26" ht="17.25" customHeight="1" x14ac:dyDescent="0.3">
      <c r="A894" s="10" t="s">
        <v>145</v>
      </c>
      <c r="B894" s="10">
        <f t="shared" si="0"/>
        <v>24</v>
      </c>
      <c r="C894" s="8" t="str">
        <f t="shared" si="1"/>
        <v xml:space="preserve">Gouveia, L. e Gaio, S. </v>
      </c>
      <c r="D894" s="8" t="str">
        <f t="shared" si="2"/>
        <v>edit</v>
      </c>
      <c r="E894" s="10">
        <f t="shared" si="3"/>
        <v>40</v>
      </c>
      <c r="F894" s="10">
        <f t="shared" si="4"/>
        <v>89</v>
      </c>
      <c r="G894" s="8" t="str">
        <f t="shared" si="5"/>
        <v xml:space="preserve"> Sociedade da Informação: balanço e implicações. </v>
      </c>
      <c r="H894" s="10" t="str">
        <f t="shared" si="6"/>
        <v xml:space="preserve">Gouveia, L. e Gaio, S. </v>
      </c>
      <c r="I894" s="10" t="str">
        <f t="shared" si="7"/>
        <v xml:space="preserve">Gouveia, L. e Gaio, S. </v>
      </c>
      <c r="J894" s="10" t="str">
        <f t="shared" si="8"/>
        <v xml:space="preserve">Gouveia, L.;Gaio, S. </v>
      </c>
      <c r="K894" s="11" t="str">
        <f ca="1">IFERROR(__xludf.DUMMYFUNCTION("SPLIT(J894,"";"")"),"Gouveia, L.")</f>
        <v>Gouveia, L.</v>
      </c>
      <c r="L894" s="10" t="str">
        <f ca="1">IFERROR(__xludf.DUMMYFUNCTION("""COMPUTED_VALUE"""),"Gaio, S. ")</f>
        <v xml:space="preserve">Gaio, S. </v>
      </c>
      <c r="M894" s="10"/>
      <c r="N894" s="10"/>
      <c r="O894" s="10"/>
      <c r="P894" s="10"/>
      <c r="Q894" s="10"/>
      <c r="R894" s="10"/>
      <c r="S894" s="10"/>
      <c r="T894" s="10"/>
      <c r="U894" s="10"/>
      <c r="V894" s="10"/>
      <c r="W894" s="10"/>
      <c r="X894" s="10"/>
      <c r="Y894" s="10"/>
      <c r="Z894" s="10"/>
    </row>
    <row r="895" spans="1:26" ht="17.25" customHeight="1" x14ac:dyDescent="0.3">
      <c r="A895" s="10" t="s">
        <v>146</v>
      </c>
      <c r="B895" s="10">
        <f t="shared" si="0"/>
        <v>26</v>
      </c>
      <c r="C895" s="8" t="str">
        <f t="shared" si="1"/>
        <v xml:space="preserve">Gouveia, L. and Gaio, S. </v>
      </c>
      <c r="D895" s="8" t="str">
        <f t="shared" si="2"/>
        <v>eds)</v>
      </c>
      <c r="E895" s="10">
        <f t="shared" si="3"/>
        <v>37</v>
      </c>
      <c r="F895" s="10">
        <f t="shared" si="4"/>
        <v>71</v>
      </c>
      <c r="G895" s="8" t="str">
        <f t="shared" si="5"/>
        <v xml:space="preserve"> Readings in Information Society. </v>
      </c>
      <c r="H895" s="10" t="str">
        <f t="shared" si="6"/>
        <v xml:space="preserve">Gouveia, L. ; Gaio, S. </v>
      </c>
      <c r="I895" s="10" t="str">
        <f t="shared" si="7"/>
        <v xml:space="preserve">Gouveia, L. ; Gaio, S. </v>
      </c>
      <c r="J895" s="10" t="str">
        <f t="shared" si="8"/>
        <v xml:space="preserve">Gouveia, L. ; Gaio, S. </v>
      </c>
      <c r="K895" s="11" t="str">
        <f ca="1">IFERROR(__xludf.DUMMYFUNCTION("SPLIT(J895,"";"")"),"Gouveia, L. ")</f>
        <v xml:space="preserve">Gouveia, L. </v>
      </c>
      <c r="L895" s="10" t="str">
        <f ca="1">IFERROR(__xludf.DUMMYFUNCTION("""COMPUTED_VALUE""")," Gaio, S. ")</f>
        <v xml:space="preserve"> Gaio, S. </v>
      </c>
      <c r="M895" s="10"/>
      <c r="N895" s="10"/>
      <c r="O895" s="10"/>
      <c r="P895" s="10"/>
      <c r="Q895" s="10"/>
      <c r="R895" s="10"/>
      <c r="S895" s="10"/>
      <c r="T895" s="10"/>
      <c r="U895" s="10"/>
      <c r="V895" s="10"/>
      <c r="W895" s="10"/>
      <c r="X895" s="10"/>
      <c r="Y895" s="10"/>
      <c r="Z895" s="10"/>
    </row>
    <row r="896" spans="1:26" ht="17.25" customHeight="1" x14ac:dyDescent="0.3">
      <c r="A896" s="10" t="s">
        <v>147</v>
      </c>
      <c r="B896" s="10">
        <f t="shared" si="0"/>
        <v>13</v>
      </c>
      <c r="C896" s="8" t="str">
        <f t="shared" si="1"/>
        <v xml:space="preserve">Gouveia, L. </v>
      </c>
      <c r="D896" s="8" t="str">
        <f t="shared" si="2"/>
        <v>edit</v>
      </c>
      <c r="E896" s="10">
        <f t="shared" si="3"/>
        <v>20</v>
      </c>
      <c r="F896" s="10">
        <f t="shared" si="4"/>
        <v>29</v>
      </c>
      <c r="G896" s="8" t="str">
        <f t="shared" si="5"/>
        <v xml:space="preserve"> (2003). </v>
      </c>
      <c r="H896" s="10" t="str">
        <f t="shared" si="6"/>
        <v xml:space="preserve">Gouveia, L. </v>
      </c>
      <c r="I896" s="10" t="str">
        <f t="shared" si="7"/>
        <v xml:space="preserve">Gouveia, L. </v>
      </c>
      <c r="J896" s="10" t="str">
        <f t="shared" si="8"/>
        <v xml:space="preserve">Gouveia, L. </v>
      </c>
      <c r="K896" s="11" t="str">
        <f ca="1">IFERROR(__xludf.DUMMYFUNCTION("SPLIT(J896,"";"")"),"Gouveia, L. ")</f>
        <v xml:space="preserve">Gouveia, L. </v>
      </c>
      <c r="L896" s="10"/>
      <c r="M896" s="10"/>
      <c r="N896" s="10"/>
      <c r="O896" s="10"/>
      <c r="P896" s="10"/>
      <c r="Q896" s="10"/>
      <c r="R896" s="10"/>
      <c r="S896" s="10"/>
      <c r="T896" s="10"/>
      <c r="U896" s="10"/>
      <c r="V896" s="10"/>
      <c r="W896" s="10"/>
      <c r="X896" s="10"/>
      <c r="Y896" s="10"/>
      <c r="Z896" s="10"/>
    </row>
    <row r="897" spans="1:26" ht="17.25" customHeight="1" x14ac:dyDescent="0.3">
      <c r="A897" s="10"/>
      <c r="B897" s="10"/>
      <c r="C897" s="8"/>
      <c r="D897" s="8"/>
      <c r="E897" s="10"/>
      <c r="F897" s="10"/>
      <c r="G897" s="8"/>
      <c r="H897" s="10"/>
      <c r="I897" s="10"/>
      <c r="J897" s="10"/>
      <c r="K897" s="10"/>
      <c r="L897" s="10"/>
      <c r="M897" s="10"/>
      <c r="N897" s="10"/>
      <c r="O897" s="10"/>
      <c r="P897" s="10"/>
      <c r="Q897" s="10"/>
      <c r="R897" s="10"/>
      <c r="S897" s="10"/>
      <c r="T897" s="10"/>
      <c r="U897" s="10"/>
      <c r="V897" s="10"/>
      <c r="W897" s="10"/>
      <c r="X897" s="10"/>
      <c r="Y897" s="10"/>
      <c r="Z897" s="10"/>
    </row>
    <row r="898" spans="1:26" ht="17.25" customHeight="1" x14ac:dyDescent="0.3">
      <c r="A898" s="10"/>
      <c r="B898" s="10"/>
      <c r="C898" s="8"/>
      <c r="D898" s="8"/>
      <c r="E898" s="10"/>
      <c r="F898" s="10"/>
      <c r="G898" s="8"/>
      <c r="H898" s="10"/>
      <c r="I898" s="10"/>
      <c r="J898" s="10"/>
      <c r="K898" s="10"/>
      <c r="L898" s="10"/>
      <c r="M898" s="10"/>
      <c r="N898" s="10"/>
      <c r="O898" s="10"/>
      <c r="P898" s="10"/>
      <c r="Q898" s="10"/>
      <c r="R898" s="10"/>
      <c r="S898" s="10"/>
      <c r="T898" s="10"/>
      <c r="U898" s="10"/>
      <c r="V898" s="10"/>
      <c r="W898" s="10"/>
      <c r="X898" s="10"/>
      <c r="Y898" s="10"/>
      <c r="Z898" s="10"/>
    </row>
    <row r="899" spans="1:26" ht="17.25" customHeight="1" x14ac:dyDescent="0.3">
      <c r="A899" s="10"/>
      <c r="B899" s="10"/>
      <c r="C899" s="8"/>
      <c r="D899" s="8"/>
      <c r="E899" s="10"/>
      <c r="F899" s="10"/>
      <c r="G899" s="8"/>
      <c r="H899" s="10"/>
      <c r="I899" s="10"/>
      <c r="J899" s="10"/>
      <c r="K899" s="10"/>
      <c r="L899" s="10"/>
      <c r="M899" s="10"/>
      <c r="N899" s="10"/>
      <c r="O899" s="10"/>
      <c r="P899" s="10"/>
      <c r="Q899" s="10"/>
      <c r="R899" s="10"/>
      <c r="S899" s="10"/>
      <c r="T899" s="10"/>
      <c r="U899" s="10"/>
      <c r="V899" s="10"/>
      <c r="W899" s="10"/>
      <c r="X899" s="10"/>
      <c r="Y899" s="10"/>
      <c r="Z899" s="10"/>
    </row>
    <row r="900" spans="1:26" ht="17.25" customHeight="1" x14ac:dyDescent="0.3">
      <c r="A900" s="10"/>
      <c r="B900" s="10"/>
      <c r="C900" s="8"/>
      <c r="D900" s="8"/>
      <c r="E900" s="10"/>
      <c r="F900" s="10"/>
      <c r="G900" s="8"/>
      <c r="H900" s="10"/>
      <c r="I900" s="10"/>
      <c r="J900" s="10"/>
      <c r="K900" s="10"/>
      <c r="L900" s="10"/>
      <c r="M900" s="10"/>
      <c r="N900" s="10"/>
      <c r="O900" s="10"/>
      <c r="P900" s="10"/>
      <c r="Q900" s="10"/>
      <c r="R900" s="10"/>
      <c r="S900" s="10"/>
      <c r="T900" s="10"/>
      <c r="U900" s="10"/>
      <c r="V900" s="10"/>
      <c r="W900" s="10"/>
      <c r="X900" s="10"/>
      <c r="Y900" s="10"/>
      <c r="Z900" s="10"/>
    </row>
    <row r="901" spans="1:26" ht="17.25" customHeight="1" x14ac:dyDescent="0.3">
      <c r="A901" s="10"/>
      <c r="B901" s="10"/>
      <c r="C901" s="8"/>
      <c r="D901" s="8"/>
      <c r="E901" s="10"/>
      <c r="F901" s="10"/>
      <c r="G901" s="8"/>
      <c r="H901" s="10"/>
      <c r="I901" s="10"/>
      <c r="J901" s="10"/>
      <c r="K901" s="10"/>
      <c r="L901" s="10"/>
      <c r="M901" s="10"/>
      <c r="N901" s="10"/>
      <c r="O901" s="10"/>
      <c r="P901" s="10"/>
      <c r="Q901" s="10"/>
      <c r="R901" s="10"/>
      <c r="S901" s="10"/>
      <c r="T901" s="10"/>
      <c r="U901" s="10"/>
      <c r="V901" s="10"/>
      <c r="W901" s="10"/>
      <c r="X901" s="10"/>
      <c r="Y901" s="10"/>
      <c r="Z901" s="10"/>
    </row>
    <row r="902" spans="1:26" ht="17.25" customHeight="1" x14ac:dyDescent="0.3">
      <c r="A902" s="10"/>
      <c r="B902" s="10"/>
      <c r="C902" s="8"/>
      <c r="D902" s="8"/>
      <c r="E902" s="10"/>
      <c r="F902" s="10"/>
      <c r="G902" s="8"/>
      <c r="H902" s="10"/>
      <c r="I902" s="10"/>
      <c r="J902" s="10"/>
      <c r="K902" s="10"/>
      <c r="L902" s="10"/>
      <c r="M902" s="10"/>
      <c r="N902" s="10"/>
      <c r="O902" s="10"/>
      <c r="P902" s="10"/>
      <c r="Q902" s="10"/>
      <c r="R902" s="10"/>
      <c r="S902" s="10"/>
      <c r="T902" s="10"/>
      <c r="U902" s="10"/>
      <c r="V902" s="10"/>
      <c r="W902" s="10"/>
      <c r="X902" s="10"/>
      <c r="Y902" s="10"/>
      <c r="Z902" s="10"/>
    </row>
    <row r="903" spans="1:26" ht="17.25" customHeight="1" x14ac:dyDescent="0.3">
      <c r="A903" s="10"/>
      <c r="B903" s="10"/>
      <c r="C903" s="8"/>
      <c r="D903" s="8"/>
      <c r="E903" s="10"/>
      <c r="F903" s="10"/>
      <c r="G903" s="8"/>
      <c r="H903" s="10"/>
      <c r="I903" s="10"/>
      <c r="J903" s="10"/>
      <c r="K903" s="10"/>
      <c r="L903" s="10"/>
      <c r="M903" s="10"/>
      <c r="N903" s="10"/>
      <c r="O903" s="10"/>
      <c r="P903" s="10"/>
      <c r="Q903" s="10"/>
      <c r="R903" s="10"/>
      <c r="S903" s="10"/>
      <c r="T903" s="10"/>
      <c r="U903" s="10"/>
      <c r="V903" s="10"/>
      <c r="W903" s="10"/>
      <c r="X903" s="10"/>
      <c r="Y903" s="10"/>
      <c r="Z903" s="10"/>
    </row>
    <row r="904" spans="1:26" ht="17.25" customHeight="1" x14ac:dyDescent="0.3">
      <c r="A904" s="10"/>
      <c r="B904" s="10"/>
      <c r="C904" s="8"/>
      <c r="D904" s="8"/>
      <c r="E904" s="10"/>
      <c r="F904" s="10"/>
      <c r="G904" s="8"/>
      <c r="H904" s="10"/>
      <c r="I904" s="10"/>
      <c r="J904" s="10"/>
      <c r="K904" s="10"/>
      <c r="L904" s="10"/>
      <c r="M904" s="10"/>
      <c r="N904" s="10"/>
      <c r="O904" s="10"/>
      <c r="P904" s="10"/>
      <c r="Q904" s="10"/>
      <c r="R904" s="10"/>
      <c r="S904" s="10"/>
      <c r="T904" s="10"/>
      <c r="U904" s="10"/>
      <c r="V904" s="10"/>
      <c r="W904" s="10"/>
      <c r="X904" s="10"/>
      <c r="Y904" s="10"/>
      <c r="Z904" s="10"/>
    </row>
    <row r="905" spans="1:26" ht="17.25" customHeight="1" x14ac:dyDescent="0.3">
      <c r="A905" s="10"/>
      <c r="B905" s="10"/>
      <c r="C905" s="8"/>
      <c r="D905" s="8"/>
      <c r="E905" s="10"/>
      <c r="F905" s="10"/>
      <c r="G905" s="8"/>
      <c r="H905" s="10"/>
      <c r="I905" s="10"/>
      <c r="J905" s="10"/>
      <c r="K905" s="10"/>
      <c r="L905" s="10"/>
      <c r="M905" s="10"/>
      <c r="N905" s="10"/>
      <c r="O905" s="10"/>
      <c r="P905" s="10"/>
      <c r="Q905" s="10"/>
      <c r="R905" s="10"/>
      <c r="S905" s="10"/>
      <c r="T905" s="10"/>
      <c r="U905" s="10"/>
      <c r="V905" s="10"/>
      <c r="W905" s="10"/>
      <c r="X905" s="10"/>
      <c r="Y905" s="10"/>
      <c r="Z905" s="10"/>
    </row>
    <row r="906" spans="1:26" ht="17.25" customHeight="1" x14ac:dyDescent="0.3">
      <c r="A906" s="10"/>
      <c r="B906" s="10"/>
      <c r="C906" s="8"/>
      <c r="D906" s="8"/>
      <c r="E906" s="10"/>
      <c r="F906" s="10"/>
      <c r="G906" s="8"/>
      <c r="H906" s="10"/>
      <c r="I906" s="10"/>
      <c r="J906" s="10"/>
      <c r="K906" s="10"/>
      <c r="L906" s="10"/>
      <c r="M906" s="10"/>
      <c r="N906" s="10"/>
      <c r="O906" s="10"/>
      <c r="P906" s="10"/>
      <c r="Q906" s="10"/>
      <c r="R906" s="10"/>
      <c r="S906" s="10"/>
      <c r="T906" s="10"/>
      <c r="U906" s="10"/>
      <c r="V906" s="10"/>
      <c r="W906" s="10"/>
      <c r="X906" s="10"/>
      <c r="Y906" s="10"/>
      <c r="Z906" s="10"/>
    </row>
    <row r="907" spans="1:26" ht="17.25" customHeight="1" x14ac:dyDescent="0.3">
      <c r="A907" s="10"/>
      <c r="B907" s="10"/>
      <c r="C907" s="8"/>
      <c r="D907" s="8"/>
      <c r="E907" s="10"/>
      <c r="F907" s="10"/>
      <c r="G907" s="8"/>
      <c r="H907" s="10"/>
      <c r="I907" s="10"/>
      <c r="J907" s="10"/>
      <c r="K907" s="10"/>
      <c r="L907" s="10"/>
      <c r="M907" s="10"/>
      <c r="N907" s="10"/>
      <c r="O907" s="10"/>
      <c r="P907" s="10"/>
      <c r="Q907" s="10"/>
      <c r="R907" s="10"/>
      <c r="S907" s="10"/>
      <c r="T907" s="10"/>
      <c r="U907" s="10"/>
      <c r="V907" s="10"/>
      <c r="W907" s="10"/>
      <c r="X907" s="10"/>
      <c r="Y907" s="10"/>
      <c r="Z907" s="10"/>
    </row>
    <row r="908" spans="1:26" ht="17.25" customHeight="1" x14ac:dyDescent="0.3">
      <c r="A908" s="10"/>
      <c r="B908" s="10"/>
      <c r="C908" s="8"/>
      <c r="D908" s="8"/>
      <c r="E908" s="10"/>
      <c r="F908" s="10"/>
      <c r="G908" s="8"/>
      <c r="H908" s="10"/>
      <c r="I908" s="10"/>
      <c r="J908" s="10"/>
      <c r="K908" s="10"/>
      <c r="L908" s="10"/>
      <c r="M908" s="10"/>
      <c r="N908" s="10"/>
      <c r="O908" s="10"/>
      <c r="P908" s="10"/>
      <c r="Q908" s="10"/>
      <c r="R908" s="10"/>
      <c r="S908" s="10"/>
      <c r="T908" s="10"/>
      <c r="U908" s="10"/>
      <c r="V908" s="10"/>
      <c r="W908" s="10"/>
      <c r="X908" s="10"/>
      <c r="Y908" s="10"/>
      <c r="Z908" s="10"/>
    </row>
    <row r="909" spans="1:26" ht="17.25" customHeight="1" x14ac:dyDescent="0.3">
      <c r="A909" s="10"/>
      <c r="B909" s="10"/>
      <c r="C909" s="8"/>
      <c r="D909" s="8"/>
      <c r="E909" s="10"/>
      <c r="F909" s="10"/>
      <c r="G909" s="8"/>
      <c r="H909" s="10"/>
      <c r="I909" s="10"/>
      <c r="J909" s="10"/>
      <c r="K909" s="10"/>
      <c r="L909" s="10"/>
      <c r="M909" s="10"/>
      <c r="N909" s="10"/>
      <c r="O909" s="10"/>
      <c r="P909" s="10"/>
      <c r="Q909" s="10"/>
      <c r="R909" s="10"/>
      <c r="S909" s="10"/>
      <c r="T909" s="10"/>
      <c r="U909" s="10"/>
      <c r="V909" s="10"/>
      <c r="W909" s="10"/>
      <c r="X909" s="10"/>
      <c r="Y909" s="10"/>
      <c r="Z909" s="10"/>
    </row>
    <row r="910" spans="1:26" ht="17.25" customHeight="1" x14ac:dyDescent="0.3">
      <c r="A910" s="10"/>
      <c r="B910" s="10"/>
      <c r="C910" s="8"/>
      <c r="D910" s="8"/>
      <c r="E910" s="10"/>
      <c r="F910" s="10"/>
      <c r="G910" s="8"/>
      <c r="H910" s="10"/>
      <c r="I910" s="10"/>
      <c r="J910" s="10"/>
      <c r="K910" s="10"/>
      <c r="L910" s="10"/>
      <c r="M910" s="10"/>
      <c r="N910" s="10"/>
      <c r="O910" s="10"/>
      <c r="P910" s="10"/>
      <c r="Q910" s="10"/>
      <c r="R910" s="10"/>
      <c r="S910" s="10"/>
      <c r="T910" s="10"/>
      <c r="U910" s="10"/>
      <c r="V910" s="10"/>
      <c r="W910" s="10"/>
      <c r="X910" s="10"/>
      <c r="Y910" s="10"/>
      <c r="Z910" s="10"/>
    </row>
    <row r="911" spans="1:26" ht="17.25" customHeight="1" x14ac:dyDescent="0.3">
      <c r="A911" s="10"/>
      <c r="B911" s="10"/>
      <c r="C911" s="8"/>
      <c r="D911" s="8"/>
      <c r="E911" s="10"/>
      <c r="F911" s="10"/>
      <c r="G911" s="8"/>
      <c r="H911" s="10"/>
      <c r="I911" s="10"/>
      <c r="J911" s="10"/>
      <c r="K911" s="10"/>
      <c r="L911" s="10"/>
      <c r="M911" s="10"/>
      <c r="N911" s="10"/>
      <c r="O911" s="10"/>
      <c r="P911" s="10"/>
      <c r="Q911" s="10"/>
      <c r="R911" s="10"/>
      <c r="S911" s="10"/>
      <c r="T911" s="10"/>
      <c r="U911" s="10"/>
      <c r="V911" s="10"/>
      <c r="W911" s="10"/>
      <c r="X911" s="10"/>
      <c r="Y911" s="10"/>
      <c r="Z911" s="10"/>
    </row>
    <row r="912" spans="1:26" ht="17.25" customHeight="1" x14ac:dyDescent="0.3">
      <c r="A912" s="10"/>
      <c r="B912" s="10"/>
      <c r="C912" s="8"/>
      <c r="D912" s="8"/>
      <c r="E912" s="10"/>
      <c r="F912" s="10"/>
      <c r="G912" s="8"/>
      <c r="H912" s="10"/>
      <c r="I912" s="10"/>
      <c r="J912" s="10"/>
      <c r="K912" s="10"/>
      <c r="L912" s="10"/>
      <c r="M912" s="10"/>
      <c r="N912" s="10"/>
      <c r="O912" s="10"/>
      <c r="P912" s="10"/>
      <c r="Q912" s="10"/>
      <c r="R912" s="10"/>
      <c r="S912" s="10"/>
      <c r="T912" s="10"/>
      <c r="U912" s="10"/>
      <c r="V912" s="10"/>
      <c r="W912" s="10"/>
      <c r="X912" s="10"/>
      <c r="Y912" s="10"/>
      <c r="Z912" s="10"/>
    </row>
    <row r="913" spans="1:26" ht="17.25" customHeight="1" x14ac:dyDescent="0.3">
      <c r="A913" s="10"/>
      <c r="B913" s="10"/>
      <c r="C913" s="8"/>
      <c r="D913" s="8"/>
      <c r="E913" s="10"/>
      <c r="F913" s="10"/>
      <c r="G913" s="8"/>
      <c r="H913" s="10"/>
      <c r="I913" s="10"/>
      <c r="J913" s="10"/>
      <c r="K913" s="10"/>
      <c r="L913" s="10"/>
      <c r="M913" s="10"/>
      <c r="N913" s="10"/>
      <c r="O913" s="10"/>
      <c r="P913" s="10"/>
      <c r="Q913" s="10"/>
      <c r="R913" s="10"/>
      <c r="S913" s="10"/>
      <c r="T913" s="10"/>
      <c r="U913" s="10"/>
      <c r="V913" s="10"/>
      <c r="W913" s="10"/>
      <c r="X913" s="10"/>
      <c r="Y913" s="10"/>
      <c r="Z913" s="10"/>
    </row>
    <row r="914" spans="1:26" ht="17.25" customHeight="1" x14ac:dyDescent="0.3">
      <c r="A914" s="10"/>
      <c r="B914" s="10"/>
      <c r="C914" s="8"/>
      <c r="D914" s="8"/>
      <c r="E914" s="10"/>
      <c r="F914" s="10"/>
      <c r="G914" s="8"/>
      <c r="H914" s="10"/>
      <c r="I914" s="10"/>
      <c r="J914" s="10"/>
      <c r="K914" s="10"/>
      <c r="L914" s="10"/>
      <c r="M914" s="10"/>
      <c r="N914" s="10"/>
      <c r="O914" s="10"/>
      <c r="P914" s="10"/>
      <c r="Q914" s="10"/>
      <c r="R914" s="10"/>
      <c r="S914" s="10"/>
      <c r="T914" s="10"/>
      <c r="U914" s="10"/>
      <c r="V914" s="10"/>
      <c r="W914" s="10"/>
      <c r="X914" s="10"/>
      <c r="Y914" s="10"/>
      <c r="Z914" s="10"/>
    </row>
    <row r="915" spans="1:26" ht="17.25" customHeight="1" x14ac:dyDescent="0.3">
      <c r="A915" s="10"/>
      <c r="B915" s="10"/>
      <c r="C915" s="8"/>
      <c r="D915" s="8"/>
      <c r="E915" s="10"/>
      <c r="F915" s="10"/>
      <c r="G915" s="8"/>
      <c r="H915" s="10"/>
      <c r="I915" s="10"/>
      <c r="J915" s="10"/>
      <c r="K915" s="10"/>
      <c r="L915" s="10"/>
      <c r="M915" s="10"/>
      <c r="N915" s="10"/>
      <c r="O915" s="10"/>
      <c r="P915" s="10"/>
      <c r="Q915" s="10"/>
      <c r="R915" s="10"/>
      <c r="S915" s="10"/>
      <c r="T915" s="10"/>
      <c r="U915" s="10"/>
      <c r="V915" s="10"/>
      <c r="W915" s="10"/>
      <c r="X915" s="10"/>
      <c r="Y915" s="10"/>
      <c r="Z915" s="10"/>
    </row>
    <row r="916" spans="1:26" ht="17.25" customHeight="1" x14ac:dyDescent="0.3">
      <c r="A916" s="10"/>
      <c r="B916" s="10"/>
      <c r="C916" s="8"/>
      <c r="D916" s="8"/>
      <c r="E916" s="10"/>
      <c r="F916" s="10"/>
      <c r="G916" s="8"/>
      <c r="H916" s="10"/>
      <c r="I916" s="10"/>
      <c r="J916" s="10"/>
      <c r="K916" s="10"/>
      <c r="L916" s="10"/>
      <c r="M916" s="10"/>
      <c r="N916" s="10"/>
      <c r="O916" s="10"/>
      <c r="P916" s="10"/>
      <c r="Q916" s="10"/>
      <c r="R916" s="10"/>
      <c r="S916" s="10"/>
      <c r="T916" s="10"/>
      <c r="U916" s="10"/>
      <c r="V916" s="10"/>
      <c r="W916" s="10"/>
      <c r="X916" s="10"/>
      <c r="Y916" s="10"/>
      <c r="Z916" s="10"/>
    </row>
    <row r="917" spans="1:26" ht="17.25" customHeight="1" x14ac:dyDescent="0.3">
      <c r="A917" s="10"/>
      <c r="B917" s="10"/>
      <c r="C917" s="8"/>
      <c r="D917" s="8"/>
      <c r="E917" s="10"/>
      <c r="F917" s="10"/>
      <c r="G917" s="8"/>
      <c r="H917" s="10"/>
      <c r="I917" s="10"/>
      <c r="J917" s="10"/>
      <c r="K917" s="10"/>
      <c r="L917" s="10"/>
      <c r="M917" s="10"/>
      <c r="N917" s="10"/>
      <c r="O917" s="10"/>
      <c r="P917" s="10"/>
      <c r="Q917" s="10"/>
      <c r="R917" s="10"/>
      <c r="S917" s="10"/>
      <c r="T917" s="10"/>
      <c r="U917" s="10"/>
      <c r="V917" s="10"/>
      <c r="W917" s="10"/>
      <c r="X917" s="10"/>
      <c r="Y917" s="10"/>
      <c r="Z917" s="10"/>
    </row>
    <row r="918" spans="1:26" ht="17.25" customHeight="1" x14ac:dyDescent="0.3">
      <c r="A918" s="10"/>
      <c r="B918" s="10"/>
      <c r="C918" s="8"/>
      <c r="D918" s="8"/>
      <c r="E918" s="10"/>
      <c r="F918" s="10"/>
      <c r="G918" s="8"/>
      <c r="H918" s="10"/>
      <c r="I918" s="10"/>
      <c r="J918" s="10"/>
      <c r="K918" s="10"/>
      <c r="L918" s="10"/>
      <c r="M918" s="10"/>
      <c r="N918" s="10"/>
      <c r="O918" s="10"/>
      <c r="P918" s="10"/>
      <c r="Q918" s="10"/>
      <c r="R918" s="10"/>
      <c r="S918" s="10"/>
      <c r="T918" s="10"/>
      <c r="U918" s="10"/>
      <c r="V918" s="10"/>
      <c r="W918" s="10"/>
      <c r="X918" s="10"/>
      <c r="Y918" s="10"/>
      <c r="Z918" s="10"/>
    </row>
    <row r="919" spans="1:26" ht="17.25" customHeight="1" x14ac:dyDescent="0.3">
      <c r="A919" s="10"/>
      <c r="B919" s="10"/>
      <c r="C919" s="8"/>
      <c r="D919" s="8"/>
      <c r="E919" s="10"/>
      <c r="F919" s="10"/>
      <c r="G919" s="8"/>
      <c r="H919" s="10"/>
      <c r="I919" s="10"/>
      <c r="J919" s="10"/>
      <c r="K919" s="10"/>
      <c r="L919" s="10"/>
      <c r="M919" s="10"/>
      <c r="N919" s="10"/>
      <c r="O919" s="10"/>
      <c r="P919" s="10"/>
      <c r="Q919" s="10"/>
      <c r="R919" s="10"/>
      <c r="S919" s="10"/>
      <c r="T919" s="10"/>
      <c r="U919" s="10"/>
      <c r="V919" s="10"/>
      <c r="W919" s="10"/>
      <c r="X919" s="10"/>
      <c r="Y919" s="10"/>
      <c r="Z919" s="10"/>
    </row>
    <row r="920" spans="1:26" ht="17.25" customHeight="1" x14ac:dyDescent="0.3">
      <c r="A920" s="10"/>
      <c r="B920" s="10"/>
      <c r="C920" s="8"/>
      <c r="D920" s="8"/>
      <c r="E920" s="10"/>
      <c r="F920" s="10"/>
      <c r="G920" s="8"/>
      <c r="H920" s="10"/>
      <c r="I920" s="10"/>
      <c r="J920" s="10"/>
      <c r="K920" s="10"/>
      <c r="L920" s="10"/>
      <c r="M920" s="10"/>
      <c r="N920" s="10"/>
      <c r="O920" s="10"/>
      <c r="P920" s="10"/>
      <c r="Q920" s="10"/>
      <c r="R920" s="10"/>
      <c r="S920" s="10"/>
      <c r="T920" s="10"/>
      <c r="U920" s="10"/>
      <c r="V920" s="10"/>
      <c r="W920" s="10"/>
      <c r="X920" s="10"/>
      <c r="Y920" s="10"/>
      <c r="Z920" s="10"/>
    </row>
    <row r="921" spans="1:26" ht="17.25" customHeight="1" x14ac:dyDescent="0.3">
      <c r="A921" s="10"/>
      <c r="B921" s="10"/>
      <c r="C921" s="8"/>
      <c r="D921" s="8"/>
      <c r="E921" s="10"/>
      <c r="F921" s="10"/>
      <c r="G921" s="8"/>
      <c r="H921" s="10"/>
      <c r="I921" s="10"/>
      <c r="J921" s="10"/>
      <c r="K921" s="10"/>
      <c r="L921" s="10"/>
      <c r="M921" s="10"/>
      <c r="N921" s="10"/>
      <c r="O921" s="10"/>
      <c r="P921" s="10"/>
      <c r="Q921" s="10"/>
      <c r="R921" s="10"/>
      <c r="S921" s="10"/>
      <c r="T921" s="10"/>
      <c r="U921" s="10"/>
      <c r="V921" s="10"/>
      <c r="W921" s="10"/>
      <c r="X921" s="10"/>
      <c r="Y921" s="10"/>
      <c r="Z921" s="10"/>
    </row>
    <row r="922" spans="1:26" ht="17.25" customHeight="1" x14ac:dyDescent="0.3">
      <c r="A922" s="10"/>
      <c r="B922" s="10"/>
      <c r="C922" s="8"/>
      <c r="D922" s="8"/>
      <c r="E922" s="10"/>
      <c r="F922" s="10"/>
      <c r="G922" s="8"/>
      <c r="H922" s="10"/>
      <c r="I922" s="10"/>
      <c r="J922" s="10"/>
      <c r="K922" s="10"/>
      <c r="L922" s="10"/>
      <c r="M922" s="10"/>
      <c r="N922" s="10"/>
      <c r="O922" s="10"/>
      <c r="P922" s="10"/>
      <c r="Q922" s="10"/>
      <c r="R922" s="10"/>
      <c r="S922" s="10"/>
      <c r="T922" s="10"/>
      <c r="U922" s="10"/>
      <c r="V922" s="10"/>
      <c r="W922" s="10"/>
      <c r="X922" s="10"/>
      <c r="Y922" s="10"/>
      <c r="Z922" s="10"/>
    </row>
    <row r="923" spans="1:26" ht="17.25" customHeight="1" x14ac:dyDescent="0.3">
      <c r="A923" s="10"/>
      <c r="B923" s="10"/>
      <c r="C923" s="8"/>
      <c r="D923" s="8"/>
      <c r="E923" s="10"/>
      <c r="F923" s="10"/>
      <c r="G923" s="8"/>
      <c r="H923" s="10"/>
      <c r="I923" s="10"/>
      <c r="J923" s="10"/>
      <c r="K923" s="10"/>
      <c r="L923" s="10"/>
      <c r="M923" s="10"/>
      <c r="N923" s="10"/>
      <c r="O923" s="10"/>
      <c r="P923" s="10"/>
      <c r="Q923" s="10"/>
      <c r="R923" s="10"/>
      <c r="S923" s="10"/>
      <c r="T923" s="10"/>
      <c r="U923" s="10"/>
      <c r="V923" s="10"/>
      <c r="W923" s="10"/>
      <c r="X923" s="10"/>
      <c r="Y923" s="10"/>
      <c r="Z923" s="10"/>
    </row>
    <row r="924" spans="1:26" ht="17.25" customHeight="1" x14ac:dyDescent="0.3">
      <c r="A924" s="10"/>
      <c r="B924" s="10"/>
      <c r="C924" s="8"/>
      <c r="D924" s="8"/>
      <c r="E924" s="10"/>
      <c r="F924" s="10"/>
      <c r="G924" s="8"/>
      <c r="H924" s="10"/>
      <c r="I924" s="10"/>
      <c r="J924" s="10"/>
      <c r="K924" s="10"/>
      <c r="L924" s="10"/>
      <c r="M924" s="10"/>
      <c r="N924" s="10"/>
      <c r="O924" s="10"/>
      <c r="P924" s="10"/>
      <c r="Q924" s="10"/>
      <c r="R924" s="10"/>
      <c r="S924" s="10"/>
      <c r="T924" s="10"/>
      <c r="U924" s="10"/>
      <c r="V924" s="10"/>
      <c r="W924" s="10"/>
      <c r="X924" s="10"/>
      <c r="Y924" s="10"/>
      <c r="Z924" s="10"/>
    </row>
    <row r="925" spans="1:26" ht="17.25" customHeight="1" x14ac:dyDescent="0.3">
      <c r="A925" s="10"/>
      <c r="B925" s="10"/>
      <c r="C925" s="8"/>
      <c r="D925" s="8"/>
      <c r="E925" s="10"/>
      <c r="F925" s="10"/>
      <c r="G925" s="8"/>
      <c r="H925" s="10"/>
      <c r="I925" s="10"/>
      <c r="J925" s="10"/>
      <c r="K925" s="10"/>
      <c r="L925" s="10"/>
      <c r="M925" s="10"/>
      <c r="N925" s="10"/>
      <c r="O925" s="10"/>
      <c r="P925" s="10"/>
      <c r="Q925" s="10"/>
      <c r="R925" s="10"/>
      <c r="S925" s="10"/>
      <c r="T925" s="10"/>
      <c r="U925" s="10"/>
      <c r="V925" s="10"/>
      <c r="W925" s="10"/>
      <c r="X925" s="10"/>
      <c r="Y925" s="10"/>
      <c r="Z925" s="10"/>
    </row>
    <row r="926" spans="1:26" ht="17.25" customHeight="1" x14ac:dyDescent="0.3">
      <c r="A926" s="10"/>
      <c r="B926" s="10"/>
      <c r="C926" s="8"/>
      <c r="D926" s="8"/>
      <c r="E926" s="10"/>
      <c r="F926" s="10"/>
      <c r="G926" s="8"/>
      <c r="H926" s="10"/>
      <c r="I926" s="10"/>
      <c r="J926" s="10"/>
      <c r="K926" s="10"/>
      <c r="L926" s="10"/>
      <c r="M926" s="10"/>
      <c r="N926" s="10"/>
      <c r="O926" s="10"/>
      <c r="P926" s="10"/>
      <c r="Q926" s="10"/>
      <c r="R926" s="10"/>
      <c r="S926" s="10"/>
      <c r="T926" s="10"/>
      <c r="U926" s="10"/>
      <c r="V926" s="10"/>
      <c r="W926" s="10"/>
      <c r="X926" s="10"/>
      <c r="Y926" s="10"/>
      <c r="Z926" s="10"/>
    </row>
    <row r="927" spans="1:26" ht="17.25" customHeight="1" x14ac:dyDescent="0.3">
      <c r="A927" s="10"/>
      <c r="B927" s="10"/>
      <c r="C927" s="8"/>
      <c r="D927" s="8"/>
      <c r="E927" s="10"/>
      <c r="F927" s="10"/>
      <c r="G927" s="8"/>
      <c r="H927" s="10"/>
      <c r="I927" s="10"/>
      <c r="J927" s="10"/>
      <c r="K927" s="10"/>
      <c r="L927" s="10"/>
      <c r="M927" s="10"/>
      <c r="N927" s="10"/>
      <c r="O927" s="10"/>
      <c r="P927" s="10"/>
      <c r="Q927" s="10"/>
      <c r="R927" s="10"/>
      <c r="S927" s="10"/>
      <c r="T927" s="10"/>
      <c r="U927" s="10"/>
      <c r="V927" s="10"/>
      <c r="W927" s="10"/>
      <c r="X927" s="10"/>
      <c r="Y927" s="10"/>
      <c r="Z927" s="10"/>
    </row>
    <row r="928" spans="1:26" ht="17.25" customHeight="1" x14ac:dyDescent="0.3">
      <c r="A928" s="10"/>
      <c r="B928" s="10"/>
      <c r="C928" s="8"/>
      <c r="D928" s="8"/>
      <c r="E928" s="10"/>
      <c r="F928" s="10"/>
      <c r="G928" s="8"/>
      <c r="H928" s="10"/>
      <c r="I928" s="10"/>
      <c r="J928" s="10"/>
      <c r="K928" s="10"/>
      <c r="L928" s="10"/>
      <c r="M928" s="10"/>
      <c r="N928" s="10"/>
      <c r="O928" s="10"/>
      <c r="P928" s="10"/>
      <c r="Q928" s="10"/>
      <c r="R928" s="10"/>
      <c r="S928" s="10"/>
      <c r="T928" s="10"/>
      <c r="U928" s="10"/>
      <c r="V928" s="10"/>
      <c r="W928" s="10"/>
      <c r="X928" s="10"/>
      <c r="Y928" s="10"/>
      <c r="Z928" s="10"/>
    </row>
    <row r="929" spans="1:26" ht="17.25" customHeight="1" x14ac:dyDescent="0.3">
      <c r="A929" s="10"/>
      <c r="B929" s="10"/>
      <c r="C929" s="8"/>
      <c r="D929" s="8"/>
      <c r="E929" s="10"/>
      <c r="F929" s="10"/>
      <c r="G929" s="8"/>
      <c r="H929" s="10"/>
      <c r="I929" s="10"/>
      <c r="J929" s="10"/>
      <c r="K929" s="10"/>
      <c r="L929" s="10"/>
      <c r="M929" s="10"/>
      <c r="N929" s="10"/>
      <c r="O929" s="10"/>
      <c r="P929" s="10"/>
      <c r="Q929" s="10"/>
      <c r="R929" s="10"/>
      <c r="S929" s="10"/>
      <c r="T929" s="10"/>
      <c r="U929" s="10"/>
      <c r="V929" s="10"/>
      <c r="W929" s="10"/>
      <c r="X929" s="10"/>
      <c r="Y929" s="10"/>
      <c r="Z929" s="10"/>
    </row>
    <row r="930" spans="1:26" ht="17.25" customHeight="1" x14ac:dyDescent="0.3">
      <c r="A930" s="10"/>
      <c r="B930" s="10"/>
      <c r="C930" s="8"/>
      <c r="D930" s="8"/>
      <c r="E930" s="10"/>
      <c r="F930" s="10"/>
      <c r="G930" s="8"/>
      <c r="H930" s="10"/>
      <c r="I930" s="10"/>
      <c r="J930" s="10"/>
      <c r="K930" s="10"/>
      <c r="L930" s="10"/>
      <c r="M930" s="10"/>
      <c r="N930" s="10"/>
      <c r="O930" s="10"/>
      <c r="P930" s="10"/>
      <c r="Q930" s="10"/>
      <c r="R930" s="10"/>
      <c r="S930" s="10"/>
      <c r="T930" s="10"/>
      <c r="U930" s="10"/>
      <c r="V930" s="10"/>
      <c r="W930" s="10"/>
      <c r="X930" s="10"/>
      <c r="Y930" s="10"/>
      <c r="Z930" s="10"/>
    </row>
    <row r="931" spans="1:26" ht="17.25" customHeight="1" x14ac:dyDescent="0.3">
      <c r="A931" s="10"/>
      <c r="B931" s="10"/>
      <c r="C931" s="8"/>
      <c r="D931" s="8"/>
      <c r="E931" s="10"/>
      <c r="F931" s="10"/>
      <c r="G931" s="8"/>
      <c r="H931" s="10"/>
      <c r="I931" s="10"/>
      <c r="J931" s="10"/>
      <c r="K931" s="10"/>
      <c r="L931" s="10"/>
      <c r="M931" s="10"/>
      <c r="N931" s="10"/>
      <c r="O931" s="10"/>
      <c r="P931" s="10"/>
      <c r="Q931" s="10"/>
      <c r="R931" s="10"/>
      <c r="S931" s="10"/>
      <c r="T931" s="10"/>
      <c r="U931" s="10"/>
      <c r="V931" s="10"/>
      <c r="W931" s="10"/>
      <c r="X931" s="10"/>
      <c r="Y931" s="10"/>
      <c r="Z931" s="10"/>
    </row>
    <row r="932" spans="1:26" ht="17.25" customHeight="1" x14ac:dyDescent="0.3">
      <c r="A932" s="10"/>
      <c r="B932" s="10"/>
      <c r="C932" s="8"/>
      <c r="D932" s="8"/>
      <c r="E932" s="10"/>
      <c r="F932" s="10"/>
      <c r="G932" s="8"/>
      <c r="H932" s="10"/>
      <c r="I932" s="10"/>
      <c r="J932" s="10"/>
      <c r="K932" s="10"/>
      <c r="L932" s="10"/>
      <c r="M932" s="10"/>
      <c r="N932" s="10"/>
      <c r="O932" s="10"/>
      <c r="P932" s="10"/>
      <c r="Q932" s="10"/>
      <c r="R932" s="10"/>
      <c r="S932" s="10"/>
      <c r="T932" s="10"/>
      <c r="U932" s="10"/>
      <c r="V932" s="10"/>
      <c r="W932" s="10"/>
      <c r="X932" s="10"/>
      <c r="Y932" s="10"/>
      <c r="Z932" s="10"/>
    </row>
    <row r="933" spans="1:26" ht="17.25" customHeight="1" x14ac:dyDescent="0.3">
      <c r="A933" s="10"/>
      <c r="B933" s="10"/>
      <c r="C933" s="8"/>
      <c r="D933" s="8"/>
      <c r="E933" s="10"/>
      <c r="F933" s="10"/>
      <c r="G933" s="8"/>
      <c r="H933" s="10"/>
      <c r="I933" s="10"/>
      <c r="J933" s="10"/>
      <c r="K933" s="10"/>
      <c r="L933" s="10"/>
      <c r="M933" s="10"/>
      <c r="N933" s="10"/>
      <c r="O933" s="10"/>
      <c r="P933" s="10"/>
      <c r="Q933" s="10"/>
      <c r="R933" s="10"/>
      <c r="S933" s="10"/>
      <c r="T933" s="10"/>
      <c r="U933" s="10"/>
      <c r="V933" s="10"/>
      <c r="W933" s="10"/>
      <c r="X933" s="10"/>
      <c r="Y933" s="10"/>
      <c r="Z933" s="10"/>
    </row>
    <row r="934" spans="1:26" ht="17.25" customHeight="1" x14ac:dyDescent="0.3">
      <c r="A934" s="10"/>
      <c r="B934" s="10"/>
      <c r="C934" s="8"/>
      <c r="D934" s="8"/>
      <c r="E934" s="10"/>
      <c r="F934" s="10"/>
      <c r="G934" s="8"/>
      <c r="H934" s="10"/>
      <c r="I934" s="10"/>
      <c r="J934" s="10"/>
      <c r="K934" s="10"/>
      <c r="L934" s="10"/>
      <c r="M934" s="10"/>
      <c r="N934" s="10"/>
      <c r="O934" s="10"/>
      <c r="P934" s="10"/>
      <c r="Q934" s="10"/>
      <c r="R934" s="10"/>
      <c r="S934" s="10"/>
      <c r="T934" s="10"/>
      <c r="U934" s="10"/>
      <c r="V934" s="10"/>
      <c r="W934" s="10"/>
      <c r="X934" s="10"/>
      <c r="Y934" s="10"/>
      <c r="Z934" s="10"/>
    </row>
    <row r="935" spans="1:26" ht="17.25" customHeight="1" x14ac:dyDescent="0.3">
      <c r="A935" s="10"/>
      <c r="B935" s="10"/>
      <c r="C935" s="8"/>
      <c r="D935" s="8"/>
      <c r="E935" s="10"/>
      <c r="F935" s="10"/>
      <c r="G935" s="8"/>
      <c r="H935" s="10"/>
      <c r="I935" s="10"/>
      <c r="J935" s="10"/>
      <c r="K935" s="10"/>
      <c r="L935" s="10"/>
      <c r="M935" s="10"/>
      <c r="N935" s="10"/>
      <c r="O935" s="10"/>
      <c r="P935" s="10"/>
      <c r="Q935" s="10"/>
      <c r="R935" s="10"/>
      <c r="S935" s="10"/>
      <c r="T935" s="10"/>
      <c r="U935" s="10"/>
      <c r="V935" s="10"/>
      <c r="W935" s="10"/>
      <c r="X935" s="10"/>
      <c r="Y935" s="10"/>
      <c r="Z935" s="10"/>
    </row>
    <row r="936" spans="1:26" ht="17.25" customHeight="1" x14ac:dyDescent="0.3">
      <c r="A936" s="10"/>
      <c r="B936" s="10"/>
      <c r="C936" s="8"/>
      <c r="D936" s="8"/>
      <c r="E936" s="10"/>
      <c r="F936" s="10"/>
      <c r="G936" s="8"/>
      <c r="H936" s="10"/>
      <c r="I936" s="10"/>
      <c r="J936" s="10"/>
      <c r="K936" s="10"/>
      <c r="L936" s="10"/>
      <c r="M936" s="10"/>
      <c r="N936" s="10"/>
      <c r="O936" s="10"/>
      <c r="P936" s="10"/>
      <c r="Q936" s="10"/>
      <c r="R936" s="10"/>
      <c r="S936" s="10"/>
      <c r="T936" s="10"/>
      <c r="U936" s="10"/>
      <c r="V936" s="10"/>
      <c r="W936" s="10"/>
      <c r="X936" s="10"/>
      <c r="Y936" s="10"/>
      <c r="Z936" s="10"/>
    </row>
    <row r="937" spans="1:26" ht="17.25" customHeight="1" x14ac:dyDescent="0.3">
      <c r="A937" s="10"/>
      <c r="B937" s="10"/>
      <c r="C937" s="8"/>
      <c r="D937" s="8"/>
      <c r="E937" s="10"/>
      <c r="F937" s="10"/>
      <c r="G937" s="8"/>
      <c r="H937" s="10"/>
      <c r="I937" s="10"/>
      <c r="J937" s="10"/>
      <c r="K937" s="10"/>
      <c r="L937" s="10"/>
      <c r="M937" s="10"/>
      <c r="N937" s="10"/>
      <c r="O937" s="10"/>
      <c r="P937" s="10"/>
      <c r="Q937" s="10"/>
      <c r="R937" s="10"/>
      <c r="S937" s="10"/>
      <c r="T937" s="10"/>
      <c r="U937" s="10"/>
      <c r="V937" s="10"/>
      <c r="W937" s="10"/>
      <c r="X937" s="10"/>
      <c r="Y937" s="10"/>
      <c r="Z937" s="10"/>
    </row>
    <row r="938" spans="1:26" ht="17.25" customHeight="1" x14ac:dyDescent="0.3">
      <c r="A938" s="10"/>
      <c r="B938" s="10"/>
      <c r="C938" s="8"/>
      <c r="D938" s="8"/>
      <c r="E938" s="10"/>
      <c r="F938" s="10"/>
      <c r="G938" s="8"/>
      <c r="H938" s="10"/>
      <c r="I938" s="10"/>
      <c r="J938" s="10"/>
      <c r="K938" s="10"/>
      <c r="L938" s="10"/>
      <c r="M938" s="10"/>
      <c r="N938" s="10"/>
      <c r="O938" s="10"/>
      <c r="P938" s="10"/>
      <c r="Q938" s="10"/>
      <c r="R938" s="10"/>
      <c r="S938" s="10"/>
      <c r="T938" s="10"/>
      <c r="U938" s="10"/>
      <c r="V938" s="10"/>
      <c r="W938" s="10"/>
      <c r="X938" s="10"/>
      <c r="Y938" s="10"/>
      <c r="Z938" s="10"/>
    </row>
    <row r="939" spans="1:26" ht="17.25" customHeight="1" x14ac:dyDescent="0.3">
      <c r="A939" s="10"/>
      <c r="B939" s="10"/>
      <c r="C939" s="8"/>
      <c r="D939" s="8"/>
      <c r="E939" s="10"/>
      <c r="F939" s="10"/>
      <c r="G939" s="8"/>
      <c r="H939" s="10"/>
      <c r="I939" s="10"/>
      <c r="J939" s="10"/>
      <c r="K939" s="10"/>
      <c r="L939" s="10"/>
      <c r="M939" s="10"/>
      <c r="N939" s="10"/>
      <c r="O939" s="10"/>
      <c r="P939" s="10"/>
      <c r="Q939" s="10"/>
      <c r="R939" s="10"/>
      <c r="S939" s="10"/>
      <c r="T939" s="10"/>
      <c r="U939" s="10"/>
      <c r="V939" s="10"/>
      <c r="W939" s="10"/>
      <c r="X939" s="10"/>
      <c r="Y939" s="10"/>
      <c r="Z939" s="10"/>
    </row>
    <row r="940" spans="1:26" ht="17.25" customHeight="1" x14ac:dyDescent="0.3">
      <c r="A940" s="10"/>
      <c r="B940" s="10"/>
      <c r="C940" s="8"/>
      <c r="D940" s="8"/>
      <c r="E940" s="10"/>
      <c r="F940" s="10"/>
      <c r="G940" s="8"/>
      <c r="H940" s="10"/>
      <c r="I940" s="10"/>
      <c r="J940" s="10"/>
      <c r="K940" s="10"/>
      <c r="L940" s="10"/>
      <c r="M940" s="10"/>
      <c r="N940" s="10"/>
      <c r="O940" s="10"/>
      <c r="P940" s="10"/>
      <c r="Q940" s="10"/>
      <c r="R940" s="10"/>
      <c r="S940" s="10"/>
      <c r="T940" s="10"/>
      <c r="U940" s="10"/>
      <c r="V940" s="10"/>
      <c r="W940" s="10"/>
      <c r="X940" s="10"/>
      <c r="Y940" s="10"/>
      <c r="Z940" s="10"/>
    </row>
    <row r="941" spans="1:26" ht="17.25" customHeight="1" x14ac:dyDescent="0.3">
      <c r="A941" s="10"/>
      <c r="B941" s="10"/>
      <c r="C941" s="8"/>
      <c r="D941" s="8"/>
      <c r="E941" s="10"/>
      <c r="F941" s="10"/>
      <c r="G941" s="8"/>
      <c r="H941" s="10"/>
      <c r="I941" s="10"/>
      <c r="J941" s="10"/>
      <c r="K941" s="10"/>
      <c r="L941" s="10"/>
      <c r="M941" s="10"/>
      <c r="N941" s="10"/>
      <c r="O941" s="10"/>
      <c r="P941" s="10"/>
      <c r="Q941" s="10"/>
      <c r="R941" s="10"/>
      <c r="S941" s="10"/>
      <c r="T941" s="10"/>
      <c r="U941" s="10"/>
      <c r="V941" s="10"/>
      <c r="W941" s="10"/>
      <c r="X941" s="10"/>
      <c r="Y941" s="10"/>
      <c r="Z941" s="10"/>
    </row>
    <row r="942" spans="1:26" ht="17.25" customHeight="1" x14ac:dyDescent="0.3">
      <c r="A942" s="10"/>
      <c r="B942" s="10"/>
      <c r="C942" s="8"/>
      <c r="D942" s="8"/>
      <c r="E942" s="10"/>
      <c r="F942" s="10"/>
      <c r="G942" s="8"/>
      <c r="H942" s="10"/>
      <c r="I942" s="10"/>
      <c r="J942" s="10"/>
      <c r="K942" s="10"/>
      <c r="L942" s="10"/>
      <c r="M942" s="10"/>
      <c r="N942" s="10"/>
      <c r="O942" s="10"/>
      <c r="P942" s="10"/>
      <c r="Q942" s="10"/>
      <c r="R942" s="10"/>
      <c r="S942" s="10"/>
      <c r="T942" s="10"/>
      <c r="U942" s="10"/>
      <c r="V942" s="10"/>
      <c r="W942" s="10"/>
      <c r="X942" s="10"/>
      <c r="Y942" s="10"/>
      <c r="Z942" s="10"/>
    </row>
    <row r="943" spans="1:26" ht="17.25" customHeight="1" x14ac:dyDescent="0.3">
      <c r="A943" s="10"/>
      <c r="B943" s="10"/>
      <c r="C943" s="8"/>
      <c r="D943" s="8"/>
      <c r="E943" s="10"/>
      <c r="F943" s="10"/>
      <c r="G943" s="8"/>
      <c r="H943" s="10"/>
      <c r="I943" s="10"/>
      <c r="J943" s="10"/>
      <c r="K943" s="10"/>
      <c r="L943" s="10"/>
      <c r="M943" s="10"/>
      <c r="N943" s="10"/>
      <c r="O943" s="10"/>
      <c r="P943" s="10"/>
      <c r="Q943" s="10"/>
      <c r="R943" s="10"/>
      <c r="S943" s="10"/>
      <c r="T943" s="10"/>
      <c r="U943" s="10"/>
      <c r="V943" s="10"/>
      <c r="W943" s="10"/>
      <c r="X943" s="10"/>
      <c r="Y943" s="10"/>
      <c r="Z943" s="10"/>
    </row>
    <row r="944" spans="1:26" ht="17.25" customHeight="1" x14ac:dyDescent="0.3">
      <c r="A944" s="10"/>
      <c r="B944" s="10"/>
      <c r="C944" s="8"/>
      <c r="D944" s="8"/>
      <c r="E944" s="10"/>
      <c r="F944" s="10"/>
      <c r="G944" s="8"/>
      <c r="H944" s="10"/>
      <c r="I944" s="10"/>
      <c r="J944" s="10"/>
      <c r="K944" s="10"/>
      <c r="L944" s="10"/>
      <c r="M944" s="10"/>
      <c r="N944" s="10"/>
      <c r="O944" s="10"/>
      <c r="P944" s="10"/>
      <c r="Q944" s="10"/>
      <c r="R944" s="10"/>
      <c r="S944" s="10"/>
      <c r="T944" s="10"/>
      <c r="U944" s="10"/>
      <c r="V944" s="10"/>
      <c r="W944" s="10"/>
      <c r="X944" s="10"/>
      <c r="Y944" s="10"/>
      <c r="Z944" s="10"/>
    </row>
    <row r="945" spans="1:26" ht="17.25" customHeight="1" x14ac:dyDescent="0.3">
      <c r="A945" s="10"/>
      <c r="B945" s="10"/>
      <c r="C945" s="8"/>
      <c r="D945" s="8"/>
      <c r="E945" s="10"/>
      <c r="F945" s="10"/>
      <c r="G945" s="8"/>
      <c r="H945" s="10"/>
      <c r="I945" s="10"/>
      <c r="J945" s="10"/>
      <c r="K945" s="10"/>
      <c r="L945" s="10"/>
      <c r="M945" s="10"/>
      <c r="N945" s="10"/>
      <c r="O945" s="10"/>
      <c r="P945" s="10"/>
      <c r="Q945" s="10"/>
      <c r="R945" s="10"/>
      <c r="S945" s="10"/>
      <c r="T945" s="10"/>
      <c r="U945" s="10"/>
      <c r="V945" s="10"/>
      <c r="W945" s="10"/>
      <c r="X945" s="10"/>
      <c r="Y945" s="10"/>
      <c r="Z945" s="10"/>
    </row>
    <row r="946" spans="1:26" ht="17.25" customHeight="1" x14ac:dyDescent="0.3">
      <c r="A946" s="10"/>
      <c r="B946" s="10"/>
      <c r="C946" s="8"/>
      <c r="D946" s="8"/>
      <c r="E946" s="10"/>
      <c r="F946" s="10"/>
      <c r="G946" s="8"/>
      <c r="H946" s="10"/>
      <c r="I946" s="10"/>
      <c r="J946" s="10"/>
      <c r="K946" s="10"/>
      <c r="L946" s="10"/>
      <c r="M946" s="10"/>
      <c r="N946" s="10"/>
      <c r="O946" s="10"/>
      <c r="P946" s="10"/>
      <c r="Q946" s="10"/>
      <c r="R946" s="10"/>
      <c r="S946" s="10"/>
      <c r="T946" s="10"/>
      <c r="U946" s="10"/>
      <c r="V946" s="10"/>
      <c r="W946" s="10"/>
      <c r="X946" s="10"/>
      <c r="Y946" s="10"/>
      <c r="Z946" s="10"/>
    </row>
    <row r="947" spans="1:26" ht="17.25" customHeight="1" x14ac:dyDescent="0.3">
      <c r="A947" s="10"/>
      <c r="B947" s="10"/>
      <c r="C947" s="8"/>
      <c r="D947" s="8"/>
      <c r="E947" s="10"/>
      <c r="F947" s="10"/>
      <c r="G947" s="8"/>
      <c r="H947" s="10"/>
      <c r="I947" s="10"/>
      <c r="J947" s="10"/>
      <c r="K947" s="10"/>
      <c r="L947" s="10"/>
      <c r="M947" s="10"/>
      <c r="N947" s="10"/>
      <c r="O947" s="10"/>
      <c r="P947" s="10"/>
      <c r="Q947" s="10"/>
      <c r="R947" s="10"/>
      <c r="S947" s="10"/>
      <c r="T947" s="10"/>
      <c r="U947" s="10"/>
      <c r="V947" s="10"/>
      <c r="W947" s="10"/>
      <c r="X947" s="10"/>
      <c r="Y947" s="10"/>
      <c r="Z947" s="10"/>
    </row>
    <row r="948" spans="1:26" ht="17.25" customHeight="1" x14ac:dyDescent="0.3">
      <c r="A948" s="10"/>
      <c r="B948" s="10"/>
      <c r="C948" s="8"/>
      <c r="D948" s="8"/>
      <c r="E948" s="10"/>
      <c r="F948" s="10"/>
      <c r="G948" s="8"/>
      <c r="H948" s="10"/>
      <c r="I948" s="10"/>
      <c r="J948" s="10"/>
      <c r="K948" s="10"/>
      <c r="L948" s="10"/>
      <c r="M948" s="10"/>
      <c r="N948" s="10"/>
      <c r="O948" s="10"/>
      <c r="P948" s="10"/>
      <c r="Q948" s="10"/>
      <c r="R948" s="10"/>
      <c r="S948" s="10"/>
      <c r="T948" s="10"/>
      <c r="U948" s="10"/>
      <c r="V948" s="10"/>
      <c r="W948" s="10"/>
      <c r="X948" s="10"/>
      <c r="Y948" s="10"/>
      <c r="Z948" s="10"/>
    </row>
    <row r="949" spans="1:26" ht="17.25" customHeight="1" x14ac:dyDescent="0.3">
      <c r="A949" s="10"/>
      <c r="B949" s="10"/>
      <c r="C949" s="8"/>
      <c r="D949" s="8"/>
      <c r="E949" s="10"/>
      <c r="F949" s="10"/>
      <c r="G949" s="8"/>
      <c r="H949" s="10"/>
      <c r="I949" s="10"/>
      <c r="J949" s="10"/>
      <c r="K949" s="10"/>
      <c r="L949" s="10"/>
      <c r="M949" s="10"/>
      <c r="N949" s="10"/>
      <c r="O949" s="10"/>
      <c r="P949" s="10"/>
      <c r="Q949" s="10"/>
      <c r="R949" s="10"/>
      <c r="S949" s="10"/>
      <c r="T949" s="10"/>
      <c r="U949" s="10"/>
      <c r="V949" s="10"/>
      <c r="W949" s="10"/>
      <c r="X949" s="10"/>
      <c r="Y949" s="10"/>
      <c r="Z949" s="10"/>
    </row>
    <row r="950" spans="1:26" ht="17.25" customHeight="1" x14ac:dyDescent="0.3">
      <c r="A950" s="10"/>
      <c r="B950" s="10"/>
      <c r="C950" s="8"/>
      <c r="D950" s="8"/>
      <c r="E950" s="10"/>
      <c r="F950" s="10"/>
      <c r="G950" s="8"/>
      <c r="H950" s="10"/>
      <c r="I950" s="10"/>
      <c r="J950" s="10"/>
      <c r="K950" s="10"/>
      <c r="L950" s="10"/>
      <c r="M950" s="10"/>
      <c r="N950" s="10"/>
      <c r="O950" s="10"/>
      <c r="P950" s="10"/>
      <c r="Q950" s="10"/>
      <c r="R950" s="10"/>
      <c r="S950" s="10"/>
      <c r="T950" s="10"/>
      <c r="U950" s="10"/>
      <c r="V950" s="10"/>
      <c r="W950" s="10"/>
      <c r="X950" s="10"/>
      <c r="Y950" s="10"/>
      <c r="Z950" s="10"/>
    </row>
    <row r="951" spans="1:26" ht="17.25" customHeight="1" x14ac:dyDescent="0.3">
      <c r="A951" s="10"/>
      <c r="B951" s="10"/>
      <c r="C951" s="8"/>
      <c r="D951" s="8"/>
      <c r="E951" s="10"/>
      <c r="F951" s="10"/>
      <c r="G951" s="8"/>
      <c r="H951" s="10"/>
      <c r="I951" s="10"/>
      <c r="J951" s="10"/>
      <c r="K951" s="10"/>
      <c r="L951" s="10"/>
      <c r="M951" s="10"/>
      <c r="N951" s="10"/>
      <c r="O951" s="10"/>
      <c r="P951" s="10"/>
      <c r="Q951" s="10"/>
      <c r="R951" s="10"/>
      <c r="S951" s="10"/>
      <c r="T951" s="10"/>
      <c r="U951" s="10"/>
      <c r="V951" s="10"/>
      <c r="W951" s="10"/>
      <c r="X951" s="10"/>
      <c r="Y951" s="10"/>
      <c r="Z951" s="10"/>
    </row>
    <row r="952" spans="1:26" ht="17.25" customHeight="1" x14ac:dyDescent="0.3">
      <c r="A952" s="10"/>
      <c r="B952" s="10"/>
      <c r="C952" s="8"/>
      <c r="D952" s="8"/>
      <c r="E952" s="10"/>
      <c r="F952" s="10"/>
      <c r="G952" s="8"/>
      <c r="H952" s="10"/>
      <c r="I952" s="10"/>
      <c r="J952" s="10"/>
      <c r="K952" s="10"/>
      <c r="L952" s="10"/>
      <c r="M952" s="10"/>
      <c r="N952" s="10"/>
      <c r="O952" s="10"/>
      <c r="P952" s="10"/>
      <c r="Q952" s="10"/>
      <c r="R952" s="10"/>
      <c r="S952" s="10"/>
      <c r="T952" s="10"/>
      <c r="U952" s="10"/>
      <c r="V952" s="10"/>
      <c r="W952" s="10"/>
      <c r="X952" s="10"/>
      <c r="Y952" s="10"/>
      <c r="Z952" s="10"/>
    </row>
    <row r="953" spans="1:26" ht="17.25" customHeight="1" x14ac:dyDescent="0.3">
      <c r="A953" s="10"/>
      <c r="B953" s="10"/>
      <c r="C953" s="8"/>
      <c r="D953" s="8"/>
      <c r="E953" s="10"/>
      <c r="F953" s="10"/>
      <c r="G953" s="8"/>
      <c r="H953" s="10"/>
      <c r="I953" s="10"/>
      <c r="J953" s="10"/>
      <c r="K953" s="10"/>
      <c r="L953" s="10"/>
      <c r="M953" s="10"/>
      <c r="N953" s="10"/>
      <c r="O953" s="10"/>
      <c r="P953" s="10"/>
      <c r="Q953" s="10"/>
      <c r="R953" s="10"/>
      <c r="S953" s="10"/>
      <c r="T953" s="10"/>
      <c r="U953" s="10"/>
      <c r="V953" s="10"/>
      <c r="W953" s="10"/>
      <c r="X953" s="10"/>
      <c r="Y953" s="10"/>
      <c r="Z953" s="10"/>
    </row>
    <row r="954" spans="1:26" ht="17.25" customHeight="1" x14ac:dyDescent="0.3">
      <c r="A954" s="10"/>
      <c r="B954" s="10"/>
      <c r="C954" s="8"/>
      <c r="D954" s="8"/>
      <c r="E954" s="10"/>
      <c r="F954" s="10"/>
      <c r="G954" s="8"/>
      <c r="H954" s="10"/>
      <c r="I954" s="10"/>
      <c r="J954" s="10"/>
      <c r="K954" s="10"/>
      <c r="L954" s="10"/>
      <c r="M954" s="10"/>
      <c r="N954" s="10"/>
      <c r="O954" s="10"/>
      <c r="P954" s="10"/>
      <c r="Q954" s="10"/>
      <c r="R954" s="10"/>
      <c r="S954" s="10"/>
      <c r="T954" s="10"/>
      <c r="U954" s="10"/>
      <c r="V954" s="10"/>
      <c r="W954" s="10"/>
      <c r="X954" s="10"/>
      <c r="Y954" s="10"/>
      <c r="Z954" s="10"/>
    </row>
    <row r="955" spans="1:26" ht="17.25" customHeight="1" x14ac:dyDescent="0.3">
      <c r="A955" s="10"/>
      <c r="B955" s="10"/>
      <c r="C955" s="8"/>
      <c r="D955" s="8"/>
      <c r="E955" s="10"/>
      <c r="F955" s="10"/>
      <c r="G955" s="8"/>
      <c r="H955" s="10"/>
      <c r="I955" s="10"/>
      <c r="J955" s="10"/>
      <c r="K955" s="10"/>
      <c r="L955" s="10"/>
      <c r="M955" s="10"/>
      <c r="N955" s="10"/>
      <c r="O955" s="10"/>
      <c r="P955" s="10"/>
      <c r="Q955" s="10"/>
      <c r="R955" s="10"/>
      <c r="S955" s="10"/>
      <c r="T955" s="10"/>
      <c r="U955" s="10"/>
      <c r="V955" s="10"/>
      <c r="W955" s="10"/>
      <c r="X955" s="10"/>
      <c r="Y955" s="10"/>
      <c r="Z955" s="10"/>
    </row>
    <row r="956" spans="1:26" ht="17.25" customHeight="1" x14ac:dyDescent="0.3">
      <c r="A956" s="10"/>
      <c r="B956" s="10"/>
      <c r="C956" s="8"/>
      <c r="D956" s="8"/>
      <c r="E956" s="10"/>
      <c r="F956" s="10"/>
      <c r="G956" s="8"/>
      <c r="H956" s="10"/>
      <c r="I956" s="10"/>
      <c r="J956" s="10"/>
      <c r="K956" s="10"/>
      <c r="L956" s="10"/>
      <c r="M956" s="10"/>
      <c r="N956" s="10"/>
      <c r="O956" s="10"/>
      <c r="P956" s="10"/>
      <c r="Q956" s="10"/>
      <c r="R956" s="10"/>
      <c r="S956" s="10"/>
      <c r="T956" s="10"/>
      <c r="U956" s="10"/>
      <c r="V956" s="10"/>
      <c r="W956" s="10"/>
      <c r="X956" s="10"/>
      <c r="Y956" s="10"/>
      <c r="Z956" s="10"/>
    </row>
    <row r="957" spans="1:26" ht="17.25" customHeight="1" x14ac:dyDescent="0.3">
      <c r="A957" s="10"/>
      <c r="B957" s="10"/>
      <c r="C957" s="8"/>
      <c r="D957" s="8"/>
      <c r="E957" s="10"/>
      <c r="F957" s="10"/>
      <c r="G957" s="8"/>
      <c r="H957" s="10"/>
      <c r="I957" s="10"/>
      <c r="J957" s="10"/>
      <c r="K957" s="10"/>
      <c r="L957" s="10"/>
      <c r="M957" s="10"/>
      <c r="N957" s="10"/>
      <c r="O957" s="10"/>
      <c r="P957" s="10"/>
      <c r="Q957" s="10"/>
      <c r="R957" s="10"/>
      <c r="S957" s="10"/>
      <c r="T957" s="10"/>
      <c r="U957" s="10"/>
      <c r="V957" s="10"/>
      <c r="W957" s="10"/>
      <c r="X957" s="10"/>
      <c r="Y957" s="10"/>
      <c r="Z957" s="10"/>
    </row>
    <row r="958" spans="1:26" ht="17.25" customHeight="1" x14ac:dyDescent="0.3">
      <c r="A958" s="10"/>
      <c r="B958" s="10"/>
      <c r="C958" s="8"/>
      <c r="D958" s="8"/>
      <c r="E958" s="10"/>
      <c r="F958" s="10"/>
      <c r="G958" s="8"/>
      <c r="H958" s="10"/>
      <c r="I958" s="10"/>
      <c r="J958" s="10"/>
      <c r="K958" s="10"/>
      <c r="L958" s="10"/>
      <c r="M958" s="10"/>
      <c r="N958" s="10"/>
      <c r="O958" s="10"/>
      <c r="P958" s="10"/>
      <c r="Q958" s="10"/>
      <c r="R958" s="10"/>
      <c r="S958" s="10"/>
      <c r="T958" s="10"/>
      <c r="U958" s="10"/>
      <c r="V958" s="10"/>
      <c r="W958" s="10"/>
      <c r="X958" s="10"/>
      <c r="Y958" s="10"/>
      <c r="Z958" s="10"/>
    </row>
    <row r="959" spans="1:26" ht="17.25" customHeight="1" x14ac:dyDescent="0.3">
      <c r="A959" s="10"/>
      <c r="B959" s="10"/>
      <c r="C959" s="8"/>
      <c r="D959" s="8"/>
      <c r="E959" s="10"/>
      <c r="F959" s="10"/>
      <c r="G959" s="8"/>
      <c r="H959" s="10"/>
      <c r="I959" s="10"/>
      <c r="J959" s="10"/>
      <c r="K959" s="10"/>
      <c r="L959" s="10"/>
      <c r="M959" s="10"/>
      <c r="N959" s="10"/>
      <c r="O959" s="10"/>
      <c r="P959" s="10"/>
      <c r="Q959" s="10"/>
      <c r="R959" s="10"/>
      <c r="S959" s="10"/>
      <c r="T959" s="10"/>
      <c r="U959" s="10"/>
      <c r="V959" s="10"/>
      <c r="W959" s="10"/>
      <c r="X959" s="10"/>
      <c r="Y959" s="10"/>
      <c r="Z959" s="10"/>
    </row>
    <row r="960" spans="1:26" ht="17.25" customHeight="1" x14ac:dyDescent="0.3">
      <c r="A960" s="10"/>
      <c r="B960" s="10"/>
      <c r="C960" s="8"/>
      <c r="D960" s="8"/>
      <c r="E960" s="10"/>
      <c r="F960" s="10"/>
      <c r="G960" s="8"/>
      <c r="H960" s="10"/>
      <c r="I960" s="10"/>
      <c r="J960" s="10"/>
      <c r="K960" s="10"/>
      <c r="L960" s="10"/>
      <c r="M960" s="10"/>
      <c r="N960" s="10"/>
      <c r="O960" s="10"/>
      <c r="P960" s="10"/>
      <c r="Q960" s="10"/>
      <c r="R960" s="10"/>
      <c r="S960" s="10"/>
      <c r="T960" s="10"/>
      <c r="U960" s="10"/>
      <c r="V960" s="10"/>
      <c r="W960" s="10"/>
      <c r="X960" s="10"/>
      <c r="Y960" s="10"/>
      <c r="Z960" s="10"/>
    </row>
    <row r="961" spans="1:26" ht="17.25" customHeight="1" x14ac:dyDescent="0.3">
      <c r="A961" s="10"/>
      <c r="B961" s="10"/>
      <c r="C961" s="8"/>
      <c r="D961" s="8"/>
      <c r="E961" s="10"/>
      <c r="F961" s="10"/>
      <c r="G961" s="8"/>
      <c r="H961" s="10"/>
      <c r="I961" s="10"/>
      <c r="J961" s="10"/>
      <c r="K961" s="10"/>
      <c r="L961" s="10"/>
      <c r="M961" s="10"/>
      <c r="N961" s="10"/>
      <c r="O961" s="10"/>
      <c r="P961" s="10"/>
      <c r="Q961" s="10"/>
      <c r="R961" s="10"/>
      <c r="S961" s="10"/>
      <c r="T961" s="10"/>
      <c r="U961" s="10"/>
      <c r="V961" s="10"/>
      <c r="W961" s="10"/>
      <c r="X961" s="10"/>
      <c r="Y961" s="10"/>
      <c r="Z961" s="10"/>
    </row>
    <row r="962" spans="1:26" ht="17.25" customHeight="1" x14ac:dyDescent="0.3">
      <c r="A962" s="10"/>
      <c r="B962" s="10"/>
      <c r="C962" s="8"/>
      <c r="D962" s="8"/>
      <c r="E962" s="10"/>
      <c r="F962" s="10"/>
      <c r="G962" s="8"/>
      <c r="H962" s="10"/>
      <c r="I962" s="10"/>
      <c r="J962" s="10"/>
      <c r="K962" s="10"/>
      <c r="L962" s="10"/>
      <c r="M962" s="10"/>
      <c r="N962" s="10"/>
      <c r="O962" s="10"/>
      <c r="P962" s="10"/>
      <c r="Q962" s="10"/>
      <c r="R962" s="10"/>
      <c r="S962" s="10"/>
      <c r="T962" s="10"/>
      <c r="U962" s="10"/>
      <c r="V962" s="10"/>
      <c r="W962" s="10"/>
      <c r="X962" s="10"/>
      <c r="Y962" s="10"/>
      <c r="Z962" s="10"/>
    </row>
    <row r="963" spans="1:26" ht="17.25" customHeight="1" x14ac:dyDescent="0.3">
      <c r="A963" s="10"/>
      <c r="B963" s="10"/>
      <c r="C963" s="8"/>
      <c r="D963" s="8"/>
      <c r="E963" s="10"/>
      <c r="F963" s="10"/>
      <c r="G963" s="8"/>
      <c r="H963" s="10"/>
      <c r="I963" s="10"/>
      <c r="J963" s="10"/>
      <c r="K963" s="10"/>
      <c r="L963" s="10"/>
      <c r="M963" s="10"/>
      <c r="N963" s="10"/>
      <c r="O963" s="10"/>
      <c r="P963" s="10"/>
      <c r="Q963" s="10"/>
      <c r="R963" s="10"/>
      <c r="S963" s="10"/>
      <c r="T963" s="10"/>
      <c r="U963" s="10"/>
      <c r="V963" s="10"/>
      <c r="W963" s="10"/>
      <c r="X963" s="10"/>
      <c r="Y963" s="10"/>
      <c r="Z963" s="10"/>
    </row>
    <row r="964" spans="1:26" ht="17.25" customHeight="1" x14ac:dyDescent="0.3">
      <c r="A964" s="10"/>
      <c r="B964" s="10"/>
      <c r="C964" s="8"/>
      <c r="D964" s="8"/>
      <c r="E964" s="10"/>
      <c r="F964" s="10"/>
      <c r="G964" s="8"/>
      <c r="H964" s="10"/>
      <c r="I964" s="10"/>
      <c r="J964" s="10"/>
      <c r="K964" s="10"/>
      <c r="L964" s="10"/>
      <c r="M964" s="10"/>
      <c r="N964" s="10"/>
      <c r="O964" s="10"/>
      <c r="P964" s="10"/>
      <c r="Q964" s="10"/>
      <c r="R964" s="10"/>
      <c r="S964" s="10"/>
      <c r="T964" s="10"/>
      <c r="U964" s="10"/>
      <c r="V964" s="10"/>
      <c r="W964" s="10"/>
      <c r="X964" s="10"/>
      <c r="Y964" s="10"/>
      <c r="Z964" s="10"/>
    </row>
    <row r="965" spans="1:26" ht="17.25" customHeight="1" x14ac:dyDescent="0.3">
      <c r="A965" s="10"/>
      <c r="B965" s="10"/>
      <c r="C965" s="8"/>
      <c r="D965" s="8"/>
      <c r="E965" s="10"/>
      <c r="F965" s="10"/>
      <c r="G965" s="8"/>
      <c r="H965" s="10"/>
      <c r="I965" s="10"/>
      <c r="J965" s="10"/>
      <c r="K965" s="10"/>
      <c r="L965" s="10"/>
      <c r="M965" s="10"/>
      <c r="N965" s="10"/>
      <c r="O965" s="10"/>
      <c r="P965" s="10"/>
      <c r="Q965" s="10"/>
      <c r="R965" s="10"/>
      <c r="S965" s="10"/>
      <c r="T965" s="10"/>
      <c r="U965" s="10"/>
      <c r="V965" s="10"/>
      <c r="W965" s="10"/>
      <c r="X965" s="10"/>
      <c r="Y965" s="10"/>
      <c r="Z965" s="10"/>
    </row>
    <row r="966" spans="1:26" ht="17.25" customHeight="1" x14ac:dyDescent="0.3">
      <c r="A966" s="10"/>
      <c r="B966" s="10"/>
      <c r="C966" s="8"/>
      <c r="D966" s="8"/>
      <c r="E966" s="10"/>
      <c r="F966" s="10"/>
      <c r="G966" s="8"/>
      <c r="H966" s="10"/>
      <c r="I966" s="10"/>
      <c r="J966" s="10"/>
      <c r="K966" s="10"/>
      <c r="L966" s="10"/>
      <c r="M966" s="10"/>
      <c r="N966" s="10"/>
      <c r="O966" s="10"/>
      <c r="P966" s="10"/>
      <c r="Q966" s="10"/>
      <c r="R966" s="10"/>
      <c r="S966" s="10"/>
      <c r="T966" s="10"/>
      <c r="U966" s="10"/>
      <c r="V966" s="10"/>
      <c r="W966" s="10"/>
      <c r="X966" s="10"/>
      <c r="Y966" s="10"/>
      <c r="Z966" s="10"/>
    </row>
    <row r="967" spans="1:26" ht="17.25" customHeight="1" x14ac:dyDescent="0.3">
      <c r="A967" s="10"/>
      <c r="B967" s="10"/>
      <c r="C967" s="8"/>
      <c r="D967" s="8"/>
      <c r="E967" s="10"/>
      <c r="F967" s="10"/>
      <c r="G967" s="8"/>
      <c r="H967" s="10"/>
      <c r="I967" s="10"/>
      <c r="J967" s="10"/>
      <c r="K967" s="10"/>
      <c r="L967" s="10"/>
      <c r="M967" s="10"/>
      <c r="N967" s="10"/>
      <c r="O967" s="10"/>
      <c r="P967" s="10"/>
      <c r="Q967" s="10"/>
      <c r="R967" s="10"/>
      <c r="S967" s="10"/>
      <c r="T967" s="10"/>
      <c r="U967" s="10"/>
      <c r="V967" s="10"/>
      <c r="W967" s="10"/>
      <c r="X967" s="10"/>
      <c r="Y967" s="10"/>
      <c r="Z967" s="10"/>
    </row>
    <row r="968" spans="1:26" ht="17.25" customHeight="1" x14ac:dyDescent="0.3">
      <c r="A968" s="10"/>
      <c r="B968" s="10"/>
      <c r="C968" s="8"/>
      <c r="D968" s="8"/>
      <c r="E968" s="10"/>
      <c r="F968" s="10"/>
      <c r="G968" s="8"/>
      <c r="H968" s="10"/>
      <c r="I968" s="10"/>
      <c r="J968" s="10"/>
      <c r="K968" s="10"/>
      <c r="L968" s="10"/>
      <c r="M968" s="10"/>
      <c r="N968" s="10"/>
      <c r="O968" s="10"/>
      <c r="P968" s="10"/>
      <c r="Q968" s="10"/>
      <c r="R968" s="10"/>
      <c r="S968" s="10"/>
      <c r="T968" s="10"/>
      <c r="U968" s="10"/>
      <c r="V968" s="10"/>
      <c r="W968" s="10"/>
      <c r="X968" s="10"/>
      <c r="Y968" s="10"/>
      <c r="Z968" s="10"/>
    </row>
    <row r="969" spans="1:26" ht="17.25" customHeight="1" x14ac:dyDescent="0.3">
      <c r="A969" s="10"/>
      <c r="B969" s="10"/>
      <c r="C969" s="8"/>
      <c r="D969" s="8"/>
      <c r="E969" s="10"/>
      <c r="F969" s="10"/>
      <c r="G969" s="8"/>
      <c r="H969" s="10"/>
      <c r="I969" s="10"/>
      <c r="J969" s="10"/>
      <c r="K969" s="10"/>
      <c r="L969" s="10"/>
      <c r="M969" s="10"/>
      <c r="N969" s="10"/>
      <c r="O969" s="10"/>
      <c r="P969" s="10"/>
      <c r="Q969" s="10"/>
      <c r="R969" s="10"/>
      <c r="S969" s="10"/>
      <c r="T969" s="10"/>
      <c r="U969" s="10"/>
      <c r="V969" s="10"/>
      <c r="W969" s="10"/>
      <c r="X969" s="10"/>
      <c r="Y969" s="10"/>
      <c r="Z969" s="10"/>
    </row>
    <row r="970" spans="1:26" ht="17.25" customHeight="1" x14ac:dyDescent="0.3">
      <c r="A970" s="10"/>
      <c r="B970" s="10"/>
      <c r="C970" s="8"/>
      <c r="D970" s="8"/>
      <c r="E970" s="10"/>
      <c r="F970" s="10"/>
      <c r="G970" s="8"/>
      <c r="H970" s="10"/>
      <c r="I970" s="10"/>
      <c r="J970" s="10"/>
      <c r="K970" s="10"/>
      <c r="L970" s="10"/>
      <c r="M970" s="10"/>
      <c r="N970" s="10"/>
      <c r="O970" s="10"/>
      <c r="P970" s="10"/>
      <c r="Q970" s="10"/>
      <c r="R970" s="10"/>
      <c r="S970" s="10"/>
      <c r="T970" s="10"/>
      <c r="U970" s="10"/>
      <c r="V970" s="10"/>
      <c r="W970" s="10"/>
      <c r="X970" s="10"/>
      <c r="Y970" s="10"/>
      <c r="Z970" s="10"/>
    </row>
    <row r="971" spans="1:26" ht="17.25" customHeight="1" x14ac:dyDescent="0.3">
      <c r="A971" s="10"/>
      <c r="B971" s="10"/>
      <c r="C971" s="8"/>
      <c r="D971" s="8"/>
      <c r="E971" s="10"/>
      <c r="F971" s="10"/>
      <c r="G971" s="8"/>
      <c r="H971" s="10"/>
      <c r="I971" s="10"/>
      <c r="J971" s="10"/>
      <c r="K971" s="10"/>
      <c r="L971" s="10"/>
      <c r="M971" s="10"/>
      <c r="N971" s="10"/>
      <c r="O971" s="10"/>
      <c r="P971" s="10"/>
      <c r="Q971" s="10"/>
      <c r="R971" s="10"/>
      <c r="S971" s="10"/>
      <c r="T971" s="10"/>
      <c r="U971" s="10"/>
      <c r="V971" s="10"/>
      <c r="W971" s="10"/>
      <c r="X971" s="10"/>
      <c r="Y971" s="10"/>
      <c r="Z971" s="10"/>
    </row>
    <row r="972" spans="1:26" ht="17.25" customHeight="1" x14ac:dyDescent="0.3">
      <c r="A972" s="10"/>
      <c r="B972" s="10"/>
      <c r="C972" s="8"/>
      <c r="D972" s="8"/>
      <c r="E972" s="10"/>
      <c r="F972" s="10"/>
      <c r="G972" s="8"/>
      <c r="H972" s="10"/>
      <c r="I972" s="10"/>
      <c r="J972" s="10"/>
      <c r="K972" s="10"/>
      <c r="L972" s="10"/>
      <c r="M972" s="10"/>
      <c r="N972" s="10"/>
      <c r="O972" s="10"/>
      <c r="P972" s="10"/>
      <c r="Q972" s="10"/>
      <c r="R972" s="10"/>
      <c r="S972" s="10"/>
      <c r="T972" s="10"/>
      <c r="U972" s="10"/>
      <c r="V972" s="10"/>
      <c r="W972" s="10"/>
      <c r="X972" s="10"/>
      <c r="Y972" s="10"/>
      <c r="Z972" s="10"/>
    </row>
    <row r="973" spans="1:26" ht="17.25" customHeight="1" x14ac:dyDescent="0.3">
      <c r="A973" s="10"/>
      <c r="B973" s="10"/>
      <c r="C973" s="8"/>
      <c r="D973" s="8"/>
      <c r="E973" s="10"/>
      <c r="F973" s="10"/>
      <c r="G973" s="8"/>
      <c r="H973" s="10"/>
      <c r="I973" s="10"/>
      <c r="J973" s="10"/>
      <c r="K973" s="10"/>
      <c r="L973" s="10"/>
      <c r="M973" s="10"/>
      <c r="N973" s="10"/>
      <c r="O973" s="10"/>
      <c r="P973" s="10"/>
      <c r="Q973" s="10"/>
      <c r="R973" s="10"/>
      <c r="S973" s="10"/>
      <c r="T973" s="10"/>
      <c r="U973" s="10"/>
      <c r="V973" s="10"/>
      <c r="W973" s="10"/>
      <c r="X973" s="10"/>
      <c r="Y973" s="10"/>
      <c r="Z973" s="10"/>
    </row>
    <row r="974" spans="1:26" ht="17.25" customHeight="1" x14ac:dyDescent="0.3">
      <c r="A974" s="10"/>
      <c r="B974" s="10"/>
      <c r="C974" s="8"/>
      <c r="D974" s="8"/>
      <c r="E974" s="10"/>
      <c r="F974" s="10"/>
      <c r="G974" s="8"/>
      <c r="H974" s="10"/>
      <c r="I974" s="10"/>
      <c r="J974" s="10"/>
      <c r="K974" s="10"/>
      <c r="L974" s="10"/>
      <c r="M974" s="10"/>
      <c r="N974" s="10"/>
      <c r="O974" s="10"/>
      <c r="P974" s="10"/>
      <c r="Q974" s="10"/>
      <c r="R974" s="10"/>
      <c r="S974" s="10"/>
      <c r="T974" s="10"/>
      <c r="U974" s="10"/>
      <c r="V974" s="10"/>
      <c r="W974" s="10"/>
      <c r="X974" s="10"/>
      <c r="Y974" s="10"/>
      <c r="Z974" s="10"/>
    </row>
    <row r="975" spans="1:26" ht="17.25" customHeight="1" x14ac:dyDescent="0.3">
      <c r="A975" s="10"/>
      <c r="B975" s="10"/>
      <c r="C975" s="8"/>
      <c r="D975" s="8"/>
      <c r="E975" s="10"/>
      <c r="F975" s="10"/>
      <c r="G975" s="8"/>
      <c r="H975" s="10"/>
      <c r="I975" s="10"/>
      <c r="J975" s="10"/>
      <c r="K975" s="10"/>
      <c r="L975" s="10"/>
      <c r="M975" s="10"/>
      <c r="N975" s="10"/>
      <c r="O975" s="10"/>
      <c r="P975" s="10"/>
      <c r="Q975" s="10"/>
      <c r="R975" s="10"/>
      <c r="S975" s="10"/>
      <c r="T975" s="10"/>
      <c r="U975" s="10"/>
      <c r="V975" s="10"/>
      <c r="W975" s="10"/>
      <c r="X975" s="10"/>
      <c r="Y975" s="10"/>
      <c r="Z975" s="10"/>
    </row>
    <row r="976" spans="1:26" ht="17.25" customHeight="1" x14ac:dyDescent="0.3">
      <c r="A976" s="10"/>
      <c r="B976" s="10"/>
      <c r="C976" s="8"/>
      <c r="D976" s="8"/>
      <c r="E976" s="10"/>
      <c r="F976" s="10"/>
      <c r="G976" s="8"/>
      <c r="H976" s="10"/>
      <c r="I976" s="10"/>
      <c r="J976" s="10"/>
      <c r="K976" s="10"/>
      <c r="L976" s="10"/>
      <c r="M976" s="10"/>
      <c r="N976" s="10"/>
      <c r="O976" s="10"/>
      <c r="P976" s="10"/>
      <c r="Q976" s="10"/>
      <c r="R976" s="10"/>
      <c r="S976" s="10"/>
      <c r="T976" s="10"/>
      <c r="U976" s="10"/>
      <c r="V976" s="10"/>
      <c r="W976" s="10"/>
      <c r="X976" s="10"/>
      <c r="Y976" s="10"/>
      <c r="Z976" s="10"/>
    </row>
    <row r="977" spans="1:26" ht="17.25" customHeight="1" x14ac:dyDescent="0.3">
      <c r="A977" s="10"/>
      <c r="B977" s="10"/>
      <c r="C977" s="8"/>
      <c r="D977" s="8"/>
      <c r="E977" s="10"/>
      <c r="F977" s="10"/>
      <c r="G977" s="8"/>
      <c r="H977" s="10"/>
      <c r="I977" s="10"/>
      <c r="J977" s="10"/>
      <c r="K977" s="10"/>
      <c r="L977" s="10"/>
      <c r="M977" s="10"/>
      <c r="N977" s="10"/>
      <c r="O977" s="10"/>
      <c r="P977" s="10"/>
      <c r="Q977" s="10"/>
      <c r="R977" s="10"/>
      <c r="S977" s="10"/>
      <c r="T977" s="10"/>
      <c r="U977" s="10"/>
      <c r="V977" s="10"/>
      <c r="W977" s="10"/>
      <c r="X977" s="10"/>
      <c r="Y977" s="10"/>
      <c r="Z977" s="10"/>
    </row>
    <row r="978" spans="1:26" ht="17.25" customHeight="1" x14ac:dyDescent="0.3">
      <c r="A978" s="10"/>
      <c r="B978" s="10"/>
      <c r="C978" s="8"/>
      <c r="D978" s="8"/>
      <c r="E978" s="10"/>
      <c r="F978" s="10"/>
      <c r="G978" s="8"/>
      <c r="H978" s="10"/>
      <c r="I978" s="10"/>
      <c r="J978" s="10"/>
      <c r="K978" s="10"/>
      <c r="L978" s="10"/>
      <c r="M978" s="10"/>
      <c r="N978" s="10"/>
      <c r="O978" s="10"/>
      <c r="P978" s="10"/>
      <c r="Q978" s="10"/>
      <c r="R978" s="10"/>
      <c r="S978" s="10"/>
      <c r="T978" s="10"/>
      <c r="U978" s="10"/>
      <c r="V978" s="10"/>
      <c r="W978" s="10"/>
      <c r="X978" s="10"/>
      <c r="Y978" s="10"/>
      <c r="Z978" s="10"/>
    </row>
    <row r="979" spans="1:26" ht="17.25" customHeight="1" x14ac:dyDescent="0.3">
      <c r="A979" s="10"/>
      <c r="B979" s="10"/>
      <c r="C979" s="8"/>
      <c r="D979" s="8"/>
      <c r="E979" s="10"/>
      <c r="F979" s="10"/>
      <c r="G979" s="8"/>
      <c r="H979" s="10"/>
      <c r="I979" s="10"/>
      <c r="J979" s="10"/>
      <c r="K979" s="10"/>
      <c r="L979" s="10"/>
      <c r="M979" s="10"/>
      <c r="N979" s="10"/>
      <c r="O979" s="10"/>
      <c r="P979" s="10"/>
      <c r="Q979" s="10"/>
      <c r="R979" s="10"/>
      <c r="S979" s="10"/>
      <c r="T979" s="10"/>
      <c r="U979" s="10"/>
      <c r="V979" s="10"/>
      <c r="W979" s="10"/>
      <c r="X979" s="10"/>
      <c r="Y979" s="10"/>
      <c r="Z979" s="10"/>
    </row>
    <row r="980" spans="1:26" ht="17.25" customHeight="1" x14ac:dyDescent="0.3">
      <c r="A980" s="10"/>
      <c r="B980" s="10"/>
      <c r="C980" s="8"/>
      <c r="D980" s="8"/>
      <c r="E980" s="10"/>
      <c r="F980" s="10"/>
      <c r="G980" s="8"/>
      <c r="H980" s="10"/>
      <c r="I980" s="10"/>
      <c r="J980" s="10"/>
      <c r="K980" s="10"/>
      <c r="L980" s="10"/>
      <c r="M980" s="10"/>
      <c r="N980" s="10"/>
      <c r="O980" s="10"/>
      <c r="P980" s="10"/>
      <c r="Q980" s="10"/>
      <c r="R980" s="10"/>
      <c r="S980" s="10"/>
      <c r="T980" s="10"/>
      <c r="U980" s="10"/>
      <c r="V980" s="10"/>
      <c r="W980" s="10"/>
      <c r="X980" s="10"/>
      <c r="Y980" s="10"/>
      <c r="Z980" s="10"/>
    </row>
    <row r="981" spans="1:26" ht="17.25" customHeight="1" x14ac:dyDescent="0.3">
      <c r="A981" s="10"/>
      <c r="B981" s="10"/>
      <c r="C981" s="8"/>
      <c r="D981" s="8"/>
      <c r="E981" s="10"/>
      <c r="F981" s="10"/>
      <c r="G981" s="8"/>
      <c r="H981" s="10"/>
      <c r="I981" s="10"/>
      <c r="J981" s="10"/>
      <c r="K981" s="10"/>
      <c r="L981" s="10"/>
      <c r="M981" s="10"/>
      <c r="N981" s="10"/>
      <c r="O981" s="10"/>
      <c r="P981" s="10"/>
      <c r="Q981" s="10"/>
      <c r="R981" s="10"/>
      <c r="S981" s="10"/>
      <c r="T981" s="10"/>
      <c r="U981" s="10"/>
      <c r="V981" s="10"/>
      <c r="W981" s="10"/>
      <c r="X981" s="10"/>
      <c r="Y981" s="10"/>
      <c r="Z981" s="10"/>
    </row>
    <row r="982" spans="1:26" ht="17.25" customHeight="1" x14ac:dyDescent="0.3">
      <c r="A982" s="10"/>
      <c r="B982" s="10"/>
      <c r="C982" s="8"/>
      <c r="D982" s="8"/>
      <c r="E982" s="10"/>
      <c r="F982" s="10"/>
      <c r="G982" s="8"/>
      <c r="H982" s="10"/>
      <c r="I982" s="10"/>
      <c r="J982" s="10"/>
      <c r="K982" s="10"/>
      <c r="L982" s="10"/>
      <c r="M982" s="10"/>
      <c r="N982" s="10"/>
      <c r="O982" s="10"/>
      <c r="P982" s="10"/>
      <c r="Q982" s="10"/>
      <c r="R982" s="10"/>
      <c r="S982" s="10"/>
      <c r="T982" s="10"/>
      <c r="U982" s="10"/>
      <c r="V982" s="10"/>
      <c r="W982" s="10"/>
      <c r="X982" s="10"/>
      <c r="Y982" s="10"/>
      <c r="Z982" s="10"/>
    </row>
    <row r="983" spans="1:26" ht="17.25" customHeight="1" x14ac:dyDescent="0.3">
      <c r="A983" s="10"/>
      <c r="B983" s="10"/>
      <c r="C983" s="8"/>
      <c r="D983" s="8"/>
      <c r="E983" s="10"/>
      <c r="F983" s="10"/>
      <c r="G983" s="8"/>
      <c r="H983" s="10"/>
      <c r="I983" s="10"/>
      <c r="J983" s="10"/>
      <c r="K983" s="10"/>
      <c r="L983" s="10"/>
      <c r="M983" s="10"/>
      <c r="N983" s="10"/>
      <c r="O983" s="10"/>
      <c r="P983" s="10"/>
      <c r="Q983" s="10"/>
      <c r="R983" s="10"/>
      <c r="S983" s="10"/>
      <c r="T983" s="10"/>
      <c r="U983" s="10"/>
      <c r="V983" s="10"/>
      <c r="W983" s="10"/>
      <c r="X983" s="10"/>
      <c r="Y983" s="10"/>
      <c r="Z983" s="10"/>
    </row>
    <row r="984" spans="1:26" ht="17.25" customHeight="1" x14ac:dyDescent="0.3">
      <c r="A984" s="10"/>
      <c r="B984" s="10"/>
      <c r="C984" s="8"/>
      <c r="D984" s="8"/>
      <c r="E984" s="10"/>
      <c r="F984" s="10"/>
      <c r="G984" s="8"/>
      <c r="H984" s="10"/>
      <c r="I984" s="10"/>
      <c r="J984" s="10"/>
      <c r="K984" s="10"/>
      <c r="L984" s="10"/>
      <c r="M984" s="10"/>
      <c r="N984" s="10"/>
      <c r="O984" s="10"/>
      <c r="P984" s="10"/>
      <c r="Q984" s="10"/>
      <c r="R984" s="10"/>
      <c r="S984" s="10"/>
      <c r="T984" s="10"/>
      <c r="U984" s="10"/>
      <c r="V984" s="10"/>
      <c r="W984" s="10"/>
      <c r="X984" s="10"/>
      <c r="Y984" s="10"/>
      <c r="Z984" s="10"/>
    </row>
    <row r="985" spans="1:26" ht="17.25" customHeight="1" x14ac:dyDescent="0.3">
      <c r="A985" s="10"/>
      <c r="B985" s="10"/>
      <c r="C985" s="8"/>
      <c r="D985" s="8"/>
      <c r="E985" s="10"/>
      <c r="F985" s="10"/>
      <c r="G985" s="8"/>
      <c r="H985" s="10"/>
      <c r="I985" s="10"/>
      <c r="J985" s="10"/>
      <c r="K985" s="10"/>
      <c r="L985" s="10"/>
      <c r="M985" s="10"/>
      <c r="N985" s="10"/>
      <c r="O985" s="10"/>
      <c r="P985" s="10"/>
      <c r="Q985" s="10"/>
      <c r="R985" s="10"/>
      <c r="S985" s="10"/>
      <c r="T985" s="10"/>
      <c r="U985" s="10"/>
      <c r="V985" s="10"/>
      <c r="W985" s="10"/>
      <c r="X985" s="10"/>
      <c r="Y985" s="10"/>
      <c r="Z985" s="10"/>
    </row>
    <row r="986" spans="1:26" ht="17.25" customHeight="1" x14ac:dyDescent="0.3">
      <c r="A986" s="10"/>
      <c r="B986" s="10"/>
      <c r="C986" s="8"/>
      <c r="D986" s="8"/>
      <c r="E986" s="10"/>
      <c r="F986" s="10"/>
      <c r="G986" s="8"/>
      <c r="H986" s="10"/>
      <c r="I986" s="10"/>
      <c r="J986" s="10"/>
      <c r="K986" s="10"/>
      <c r="L986" s="10"/>
      <c r="M986" s="10"/>
      <c r="N986" s="10"/>
      <c r="O986" s="10"/>
      <c r="P986" s="10"/>
      <c r="Q986" s="10"/>
      <c r="R986" s="10"/>
      <c r="S986" s="10"/>
      <c r="T986" s="10"/>
      <c r="U986" s="10"/>
      <c r="V986" s="10"/>
      <c r="W986" s="10"/>
      <c r="X986" s="10"/>
      <c r="Y986" s="10"/>
      <c r="Z986" s="10"/>
    </row>
    <row r="987" spans="1:26" ht="17.25" customHeight="1" x14ac:dyDescent="0.3">
      <c r="A987" s="10"/>
      <c r="B987" s="10"/>
      <c r="C987" s="8"/>
      <c r="D987" s="8"/>
      <c r="E987" s="10"/>
      <c r="F987" s="10"/>
      <c r="G987" s="8"/>
      <c r="H987" s="10"/>
      <c r="I987" s="10"/>
      <c r="J987" s="10"/>
      <c r="K987" s="10"/>
      <c r="L987" s="10"/>
      <c r="M987" s="10"/>
      <c r="N987" s="10"/>
      <c r="O987" s="10"/>
      <c r="P987" s="10"/>
      <c r="Q987" s="10"/>
      <c r="R987" s="10"/>
      <c r="S987" s="10"/>
      <c r="T987" s="10"/>
      <c r="U987" s="10"/>
      <c r="V987" s="10"/>
      <c r="W987" s="10"/>
      <c r="X987" s="10"/>
      <c r="Y987" s="10"/>
      <c r="Z987" s="10"/>
    </row>
    <row r="988" spans="1:26" ht="17.25" customHeight="1" x14ac:dyDescent="0.3">
      <c r="A988" s="10"/>
      <c r="B988" s="10"/>
      <c r="C988" s="8"/>
      <c r="D988" s="8"/>
      <c r="E988" s="10"/>
      <c r="F988" s="10"/>
      <c r="G988" s="8"/>
      <c r="H988" s="10"/>
      <c r="I988" s="10"/>
      <c r="J988" s="10"/>
      <c r="K988" s="10"/>
      <c r="L988" s="10"/>
      <c r="M988" s="10"/>
      <c r="N988" s="10"/>
      <c r="O988" s="10"/>
      <c r="P988" s="10"/>
      <c r="Q988" s="10"/>
      <c r="R988" s="10"/>
      <c r="S988" s="10"/>
      <c r="T988" s="10"/>
      <c r="U988" s="10"/>
      <c r="V988" s="10"/>
      <c r="W988" s="10"/>
      <c r="X988" s="10"/>
      <c r="Y988" s="10"/>
      <c r="Z988" s="10"/>
    </row>
    <row r="989" spans="1:26" ht="17.25" customHeight="1" x14ac:dyDescent="0.3">
      <c r="A989" s="10"/>
      <c r="B989" s="10"/>
      <c r="C989" s="8"/>
      <c r="D989" s="8"/>
      <c r="E989" s="10"/>
      <c r="F989" s="10"/>
      <c r="G989" s="8"/>
      <c r="H989" s="10"/>
      <c r="I989" s="10"/>
      <c r="J989" s="10"/>
      <c r="K989" s="10"/>
      <c r="L989" s="10"/>
      <c r="M989" s="10"/>
      <c r="N989" s="10"/>
      <c r="O989" s="10"/>
      <c r="P989" s="10"/>
      <c r="Q989" s="10"/>
      <c r="R989" s="10"/>
      <c r="S989" s="10"/>
      <c r="T989" s="10"/>
      <c r="U989" s="10"/>
      <c r="V989" s="10"/>
      <c r="W989" s="10"/>
      <c r="X989" s="10"/>
      <c r="Y989" s="10"/>
      <c r="Z989" s="10"/>
    </row>
    <row r="990" spans="1:26" ht="17.25" customHeight="1" x14ac:dyDescent="0.3">
      <c r="A990" s="10"/>
      <c r="B990" s="10"/>
      <c r="C990" s="8"/>
      <c r="D990" s="8"/>
      <c r="E990" s="10"/>
      <c r="F990" s="10"/>
      <c r="G990" s="8"/>
      <c r="H990" s="10"/>
      <c r="I990" s="10"/>
      <c r="J990" s="10"/>
      <c r="K990" s="10"/>
      <c r="L990" s="10"/>
      <c r="M990" s="10"/>
      <c r="N990" s="10"/>
      <c r="O990" s="10"/>
      <c r="P990" s="10"/>
      <c r="Q990" s="10"/>
      <c r="R990" s="10"/>
      <c r="S990" s="10"/>
      <c r="T990" s="10"/>
      <c r="U990" s="10"/>
      <c r="V990" s="10"/>
      <c r="W990" s="10"/>
      <c r="X990" s="10"/>
      <c r="Y990" s="10"/>
      <c r="Z990" s="10"/>
    </row>
    <row r="991" spans="1:26" ht="17.25" customHeight="1" x14ac:dyDescent="0.3">
      <c r="A991" s="10"/>
      <c r="B991" s="10"/>
      <c r="C991" s="8"/>
      <c r="D991" s="8"/>
      <c r="E991" s="10"/>
      <c r="F991" s="10"/>
      <c r="G991" s="8"/>
      <c r="H991" s="10"/>
      <c r="I991" s="10"/>
      <c r="J991" s="10"/>
      <c r="K991" s="10"/>
      <c r="L991" s="10"/>
      <c r="M991" s="10"/>
      <c r="N991" s="10"/>
      <c r="O991" s="10"/>
      <c r="P991" s="10"/>
      <c r="Q991" s="10"/>
      <c r="R991" s="10"/>
      <c r="S991" s="10"/>
      <c r="T991" s="10"/>
      <c r="U991" s="10"/>
      <c r="V991" s="10"/>
      <c r="W991" s="10"/>
      <c r="X991" s="10"/>
      <c r="Y991" s="10"/>
      <c r="Z991" s="10"/>
    </row>
    <row r="992" spans="1:26" ht="17.25" customHeight="1" x14ac:dyDescent="0.3">
      <c r="A992" s="10"/>
      <c r="B992" s="10"/>
      <c r="C992" s="8"/>
      <c r="D992" s="8"/>
      <c r="E992" s="10"/>
      <c r="F992" s="10"/>
      <c r="G992" s="8"/>
      <c r="H992" s="10"/>
      <c r="I992" s="10"/>
      <c r="J992" s="10"/>
      <c r="K992" s="10"/>
      <c r="L992" s="10"/>
      <c r="M992" s="10"/>
      <c r="N992" s="10"/>
      <c r="O992" s="10"/>
      <c r="P992" s="10"/>
      <c r="Q992" s="10"/>
      <c r="R992" s="10"/>
      <c r="S992" s="10"/>
      <c r="T992" s="10"/>
      <c r="U992" s="10"/>
      <c r="V992" s="10"/>
      <c r="W992" s="10"/>
      <c r="X992" s="10"/>
      <c r="Y992" s="10"/>
      <c r="Z992" s="10"/>
    </row>
    <row r="993" spans="1:26" ht="17.25" customHeight="1" x14ac:dyDescent="0.3">
      <c r="A993" s="10"/>
      <c r="B993" s="10"/>
      <c r="C993" s="8"/>
      <c r="D993" s="8"/>
      <c r="E993" s="10"/>
      <c r="F993" s="10"/>
      <c r="G993" s="8"/>
      <c r="H993" s="10"/>
      <c r="I993" s="10"/>
      <c r="J993" s="10"/>
      <c r="K993" s="10"/>
      <c r="L993" s="10"/>
      <c r="M993" s="10"/>
      <c r="N993" s="10"/>
      <c r="O993" s="10"/>
      <c r="P993" s="10"/>
      <c r="Q993" s="10"/>
      <c r="R993" s="10"/>
      <c r="S993" s="10"/>
      <c r="T993" s="10"/>
      <c r="U993" s="10"/>
      <c r="V993" s="10"/>
      <c r="W993" s="10"/>
      <c r="X993" s="10"/>
      <c r="Y993" s="10"/>
      <c r="Z993" s="10"/>
    </row>
    <row r="994" spans="1:26" ht="17.25" customHeight="1" x14ac:dyDescent="0.3">
      <c r="A994" s="10"/>
      <c r="B994" s="10"/>
      <c r="C994" s="8"/>
      <c r="D994" s="8"/>
      <c r="E994" s="10"/>
      <c r="F994" s="10"/>
      <c r="G994" s="8"/>
      <c r="H994" s="10"/>
      <c r="I994" s="10"/>
      <c r="J994" s="10"/>
      <c r="K994" s="10"/>
      <c r="L994" s="10"/>
      <c r="M994" s="10"/>
      <c r="N994" s="10"/>
      <c r="O994" s="10"/>
      <c r="P994" s="10"/>
      <c r="Q994" s="10"/>
      <c r="R994" s="10"/>
      <c r="S994" s="10"/>
      <c r="T994" s="10"/>
      <c r="U994" s="10"/>
      <c r="V994" s="10"/>
      <c r="W994" s="10"/>
      <c r="X994" s="10"/>
      <c r="Y994" s="10"/>
      <c r="Z994" s="10"/>
    </row>
    <row r="995" spans="1:26" ht="17.25" customHeight="1" x14ac:dyDescent="0.3">
      <c r="A995" s="10"/>
      <c r="B995" s="10"/>
      <c r="C995" s="8"/>
      <c r="D995" s="8"/>
      <c r="E995" s="10"/>
      <c r="F995" s="10"/>
      <c r="G995" s="8"/>
      <c r="H995" s="10"/>
      <c r="I995" s="10"/>
      <c r="J995" s="10"/>
      <c r="K995" s="10"/>
      <c r="L995" s="10"/>
      <c r="M995" s="10"/>
      <c r="N995" s="10"/>
      <c r="O995" s="10"/>
      <c r="P995" s="10"/>
      <c r="Q995" s="10"/>
      <c r="R995" s="10"/>
      <c r="S995" s="10"/>
      <c r="T995" s="10"/>
      <c r="U995" s="10"/>
      <c r="V995" s="10"/>
      <c r="W995" s="10"/>
      <c r="X995" s="10"/>
      <c r="Y995" s="10"/>
      <c r="Z995" s="10"/>
    </row>
    <row r="996" spans="1:26" ht="17.25" customHeight="1" x14ac:dyDescent="0.3">
      <c r="A996" s="10"/>
      <c r="B996" s="10"/>
      <c r="C996" s="8"/>
      <c r="D996" s="8"/>
      <c r="E996" s="10"/>
      <c r="F996" s="10"/>
      <c r="G996" s="8"/>
      <c r="H996" s="10"/>
      <c r="I996" s="10"/>
      <c r="J996" s="10"/>
      <c r="K996" s="10"/>
      <c r="L996" s="10"/>
      <c r="M996" s="10"/>
      <c r="N996" s="10"/>
      <c r="O996" s="10"/>
      <c r="P996" s="10"/>
      <c r="Q996" s="10"/>
      <c r="R996" s="10"/>
      <c r="S996" s="10"/>
      <c r="T996" s="10"/>
      <c r="U996" s="10"/>
      <c r="V996" s="10"/>
      <c r="W996" s="10"/>
      <c r="X996" s="10"/>
      <c r="Y996" s="10"/>
      <c r="Z996" s="10"/>
    </row>
    <row r="997" spans="1:26" ht="17.25" customHeight="1" x14ac:dyDescent="0.3">
      <c r="A997" s="10"/>
      <c r="B997" s="10"/>
      <c r="C997" s="8"/>
      <c r="D997" s="8"/>
      <c r="E997" s="10"/>
      <c r="F997" s="10"/>
      <c r="G997" s="8"/>
      <c r="H997" s="10"/>
      <c r="I997" s="10"/>
      <c r="J997" s="10"/>
      <c r="K997" s="10"/>
      <c r="L997" s="10"/>
      <c r="M997" s="10"/>
      <c r="N997" s="10"/>
      <c r="O997" s="10"/>
      <c r="P997" s="10"/>
      <c r="Q997" s="10"/>
      <c r="R997" s="10"/>
      <c r="S997" s="10"/>
      <c r="T997" s="10"/>
      <c r="U997" s="10"/>
      <c r="V997" s="10"/>
      <c r="W997" s="10"/>
      <c r="X997" s="10"/>
      <c r="Y997" s="10"/>
      <c r="Z997" s="10"/>
    </row>
    <row r="998" spans="1:26" ht="17.25" customHeight="1" x14ac:dyDescent="0.3">
      <c r="A998" s="10"/>
      <c r="B998" s="10"/>
      <c r="C998" s="8"/>
      <c r="D998" s="8"/>
      <c r="E998" s="10"/>
      <c r="F998" s="10"/>
      <c r="G998" s="8"/>
      <c r="H998" s="10"/>
      <c r="I998" s="10"/>
      <c r="J998" s="10"/>
      <c r="K998" s="10"/>
      <c r="L998" s="10"/>
      <c r="M998" s="10"/>
      <c r="N998" s="10"/>
      <c r="O998" s="10"/>
      <c r="P998" s="10"/>
      <c r="Q998" s="10"/>
      <c r="R998" s="10"/>
      <c r="S998" s="10"/>
      <c r="T998" s="10"/>
      <c r="U998" s="10"/>
      <c r="V998" s="10"/>
      <c r="W998" s="10"/>
      <c r="X998" s="10"/>
      <c r="Y998" s="10"/>
      <c r="Z998" s="10"/>
    </row>
    <row r="999" spans="1:26" ht="17.25" customHeight="1" x14ac:dyDescent="0.3">
      <c r="A999" s="10"/>
      <c r="B999" s="10"/>
      <c r="C999" s="8"/>
      <c r="D999" s="8"/>
      <c r="E999" s="10"/>
      <c r="F999" s="10"/>
      <c r="G999" s="8"/>
      <c r="H999" s="10"/>
      <c r="I999" s="10"/>
      <c r="J999" s="10"/>
      <c r="K999" s="10"/>
      <c r="L999" s="10"/>
      <c r="M999" s="10"/>
      <c r="N999" s="10"/>
      <c r="O999" s="10"/>
      <c r="P999" s="10"/>
      <c r="Q999" s="10"/>
      <c r="R999" s="10"/>
      <c r="S999" s="10"/>
      <c r="T999" s="10"/>
      <c r="U999" s="10"/>
      <c r="V999" s="10"/>
      <c r="W999" s="10"/>
      <c r="X999" s="10"/>
      <c r="Y999" s="10"/>
      <c r="Z999" s="10"/>
    </row>
    <row r="1000" spans="1:26" ht="17.25" customHeight="1" x14ac:dyDescent="0.3">
      <c r="A1000" s="10"/>
      <c r="B1000" s="10"/>
      <c r="C1000" s="8"/>
      <c r="D1000" s="8"/>
      <c r="E1000" s="10"/>
      <c r="F1000" s="10"/>
      <c r="G1000" s="8"/>
      <c r="H1000" s="10"/>
      <c r="I1000" s="10"/>
      <c r="J1000" s="10"/>
      <c r="K1000" s="10"/>
      <c r="L1000" s="10"/>
      <c r="M1000" s="10"/>
      <c r="N1000" s="10"/>
      <c r="O1000" s="10"/>
      <c r="P1000" s="10"/>
      <c r="Q1000" s="10"/>
      <c r="R1000" s="10"/>
      <c r="S1000" s="10"/>
      <c r="T1000" s="10"/>
      <c r="U1000" s="10"/>
      <c r="V1000" s="10"/>
      <c r="W1000" s="10"/>
      <c r="X1000" s="10"/>
      <c r="Y1000" s="10"/>
      <c r="Z1000" s="10"/>
    </row>
  </sheetData>
  <customSheetViews>
    <customSheetView guid="{CC34C980-F2FF-4720-9B24-5767A75B5E30}" filter="1" showAutoFilter="1">
      <pageMargins left="0.7" right="0.7" top="0.75" bottom="0.75" header="0.3" footer="0.3"/>
      <autoFilter ref="I4" xr:uid="{00000000-0000-0000-0000-000000000000}"/>
      <extLst>
        <ext uri="GoogleSheetsCustomDataVersion1">
          <go:sheetsCustomData xmlns:go="http://customooxmlschemas.google.com/" filterViewId="185707143"/>
        </ext>
      </extLst>
    </customSheetView>
  </customSheetView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FB0F9-48F1-421D-B198-8103A5279796}">
  <dimension ref="A1:P896"/>
  <sheetViews>
    <sheetView workbookViewId="0">
      <selection activeCell="B1" sqref="B1:G1048576"/>
    </sheetView>
  </sheetViews>
  <sheetFormatPr defaultColWidth="19.33203125" defaultRowHeight="14.5" customHeight="1" x14ac:dyDescent="0.3"/>
  <cols>
    <col min="1" max="1" width="36.1640625" style="12" customWidth="1"/>
    <col min="2" max="2" width="6.08203125" style="12" customWidth="1"/>
    <col min="3" max="3" width="34.33203125" style="12" customWidth="1"/>
    <col min="4" max="7" width="12.08203125" style="12" customWidth="1"/>
    <col min="8" max="16384" width="19.33203125" style="12"/>
  </cols>
  <sheetData>
    <row r="1" spans="1:7" ht="14.5" customHeight="1" x14ac:dyDescent="0.3">
      <c r="B1" s="12" t="s">
        <v>22</v>
      </c>
      <c r="C1" s="12" t="s">
        <v>30</v>
      </c>
    </row>
    <row r="2" spans="1:7" s="13" customFormat="1" ht="14.5" customHeight="1" x14ac:dyDescent="0.3">
      <c r="A2" s="13" t="s">
        <v>11</v>
      </c>
    </row>
    <row r="3" spans="1:7" s="13" customFormat="1" ht="14.5" customHeight="1" x14ac:dyDescent="0.3">
      <c r="A3" s="13" t="s">
        <v>28</v>
      </c>
    </row>
    <row r="4" spans="1:7" ht="14.5" customHeight="1" x14ac:dyDescent="0.3">
      <c r="A4" s="12" t="s">
        <v>136</v>
      </c>
      <c r="B4" s="12" t="s">
        <v>897</v>
      </c>
      <c r="C4" s="12" t="s">
        <v>898</v>
      </c>
      <c r="D4" s="12" t="s">
        <v>899</v>
      </c>
      <c r="E4" s="12" t="s">
        <v>900</v>
      </c>
      <c r="F4" s="12" t="s">
        <v>901</v>
      </c>
    </row>
    <row r="5" spans="1:7" ht="14.5" customHeight="1" x14ac:dyDescent="0.3">
      <c r="A5" s="12" t="s">
        <v>46</v>
      </c>
      <c r="B5" s="12" t="s">
        <v>902</v>
      </c>
      <c r="C5" s="12" t="s">
        <v>903</v>
      </c>
      <c r="D5" s="12" t="s">
        <v>904</v>
      </c>
      <c r="E5" s="12" t="s">
        <v>905</v>
      </c>
      <c r="F5" s="12" t="s">
        <v>906</v>
      </c>
      <c r="G5" s="12" t="s">
        <v>907</v>
      </c>
    </row>
    <row r="6" spans="1:7" ht="14.5" customHeight="1" x14ac:dyDescent="0.3">
      <c r="A6" s="12" t="s">
        <v>57</v>
      </c>
      <c r="B6" s="12" t="s">
        <v>908</v>
      </c>
      <c r="C6" s="12" t="s">
        <v>909</v>
      </c>
      <c r="D6" s="12" t="s">
        <v>910</v>
      </c>
      <c r="E6" s="12" t="s">
        <v>911</v>
      </c>
    </row>
    <row r="7" spans="1:7" ht="14.5" customHeight="1" x14ac:dyDescent="0.3">
      <c r="A7" s="12" t="s">
        <v>68</v>
      </c>
      <c r="B7" s="12" t="s">
        <v>908</v>
      </c>
      <c r="C7" s="12" t="s">
        <v>912</v>
      </c>
      <c r="D7" s="12" t="s">
        <v>910</v>
      </c>
      <c r="E7" s="12" t="s">
        <v>911</v>
      </c>
    </row>
    <row r="8" spans="1:7" ht="14.5" customHeight="1" x14ac:dyDescent="0.3">
      <c r="A8" s="12" t="s">
        <v>79</v>
      </c>
      <c r="B8" s="12" t="s">
        <v>913</v>
      </c>
      <c r="C8" s="12" t="s">
        <v>914</v>
      </c>
      <c r="D8" s="12" t="s">
        <v>915</v>
      </c>
      <c r="E8" s="12" t="s">
        <v>911</v>
      </c>
    </row>
    <row r="9" spans="1:7" ht="14.5" customHeight="1" x14ac:dyDescent="0.3">
      <c r="A9" s="12" t="s">
        <v>92</v>
      </c>
      <c r="B9" s="12" t="s">
        <v>913</v>
      </c>
      <c r="C9" s="12" t="s">
        <v>916</v>
      </c>
      <c r="D9" s="12" t="s">
        <v>917</v>
      </c>
      <c r="E9" s="12" t="s">
        <v>911</v>
      </c>
    </row>
    <row r="10" spans="1:7" ht="14.5" customHeight="1" x14ac:dyDescent="0.3">
      <c r="A10" s="12" t="s">
        <v>102</v>
      </c>
      <c r="B10" s="12" t="s">
        <v>913</v>
      </c>
      <c r="C10" s="12" t="s">
        <v>918</v>
      </c>
      <c r="D10" s="12" t="s">
        <v>919</v>
      </c>
      <c r="E10" s="12" t="s">
        <v>911</v>
      </c>
    </row>
    <row r="11" spans="1:7" ht="14.5" customHeight="1" x14ac:dyDescent="0.3">
      <c r="A11" s="12" t="s">
        <v>111</v>
      </c>
      <c r="B11" s="12" t="s">
        <v>913</v>
      </c>
      <c r="C11" s="12" t="s">
        <v>920</v>
      </c>
      <c r="D11" s="12" t="s">
        <v>921</v>
      </c>
      <c r="E11" s="12" t="s">
        <v>922</v>
      </c>
      <c r="F11" s="12" t="s">
        <v>911</v>
      </c>
    </row>
    <row r="12" spans="1:7" ht="14.5" customHeight="1" x14ac:dyDescent="0.3">
      <c r="A12" s="12" t="s">
        <v>122</v>
      </c>
      <c r="B12" s="12" t="s">
        <v>913</v>
      </c>
      <c r="C12" s="12" t="s">
        <v>923</v>
      </c>
      <c r="D12" s="12" t="s">
        <v>924</v>
      </c>
      <c r="E12" s="12" t="s">
        <v>925</v>
      </c>
    </row>
    <row r="13" spans="1:7" ht="14.5" customHeight="1" x14ac:dyDescent="0.3">
      <c r="A13" s="12" t="s">
        <v>134</v>
      </c>
      <c r="B13" s="12" t="s">
        <v>926</v>
      </c>
      <c r="C13" s="12" t="s">
        <v>927</v>
      </c>
      <c r="D13" s="12" t="s">
        <v>921</v>
      </c>
      <c r="E13" s="12" t="s">
        <v>922</v>
      </c>
      <c r="F13" s="12" t="s">
        <v>911</v>
      </c>
    </row>
    <row r="14" spans="1:7" ht="14.5" customHeight="1" x14ac:dyDescent="0.3">
      <c r="A14" s="12" t="s">
        <v>148</v>
      </c>
      <c r="B14" s="12" t="s">
        <v>926</v>
      </c>
      <c r="C14" s="12" t="s">
        <v>923</v>
      </c>
      <c r="D14" s="12" t="s">
        <v>928</v>
      </c>
      <c r="E14" s="12" t="s">
        <v>911</v>
      </c>
    </row>
    <row r="15" spans="1:7" ht="14.5" customHeight="1" x14ac:dyDescent="0.3">
      <c r="A15" s="12" t="s">
        <v>149</v>
      </c>
      <c r="B15" s="12" t="s">
        <v>929</v>
      </c>
      <c r="C15" s="12" t="s">
        <v>930</v>
      </c>
      <c r="D15" s="12" t="s">
        <v>931</v>
      </c>
      <c r="E15" s="12" t="s">
        <v>932</v>
      </c>
      <c r="F15" s="12" t="s">
        <v>911</v>
      </c>
    </row>
    <row r="16" spans="1:7" ht="14.5" customHeight="1" x14ac:dyDescent="0.3">
      <c r="A16" s="12" t="s">
        <v>150</v>
      </c>
      <c r="B16" s="12" t="s">
        <v>929</v>
      </c>
      <c r="C16" s="12" t="s">
        <v>933</v>
      </c>
      <c r="D16" s="12" t="s">
        <v>934</v>
      </c>
      <c r="E16" s="12" t="s">
        <v>907</v>
      </c>
    </row>
    <row r="17" spans="1:7" ht="14.5" customHeight="1" x14ac:dyDescent="0.3">
      <c r="A17" s="12" t="s">
        <v>151</v>
      </c>
      <c r="B17" s="12" t="s">
        <v>935</v>
      </c>
      <c r="C17" s="12" t="s">
        <v>936</v>
      </c>
      <c r="D17" s="12" t="s">
        <v>921</v>
      </c>
      <c r="E17" s="12" t="s">
        <v>922</v>
      </c>
      <c r="F17" s="12" t="s">
        <v>911</v>
      </c>
    </row>
    <row r="18" spans="1:7" ht="14.5" customHeight="1" x14ac:dyDescent="0.3">
      <c r="A18" s="12" t="s">
        <v>152</v>
      </c>
      <c r="B18" s="12" t="s">
        <v>937</v>
      </c>
      <c r="C18" s="12" t="s">
        <v>938</v>
      </c>
      <c r="D18" s="12" t="s">
        <v>939</v>
      </c>
      <c r="E18" s="12" t="s">
        <v>940</v>
      </c>
      <c r="F18" s="12" t="s">
        <v>941</v>
      </c>
      <c r="G18" s="12" t="s">
        <v>911</v>
      </c>
    </row>
    <row r="19" spans="1:7" ht="14.5" customHeight="1" x14ac:dyDescent="0.3">
      <c r="A19" s="12" t="s">
        <v>153</v>
      </c>
      <c r="B19" s="12" t="s">
        <v>942</v>
      </c>
      <c r="C19" s="12" t="s">
        <v>943</v>
      </c>
      <c r="D19" s="12" t="s">
        <v>907</v>
      </c>
    </row>
    <row r="20" spans="1:7" ht="14.5" customHeight="1" x14ac:dyDescent="0.3">
      <c r="A20" s="12" t="s">
        <v>154</v>
      </c>
      <c r="B20" s="12" t="s">
        <v>944</v>
      </c>
      <c r="C20" s="12" t="s">
        <v>945</v>
      </c>
      <c r="D20" s="12" t="s">
        <v>907</v>
      </c>
    </row>
    <row r="21" spans="1:7" ht="14.5" customHeight="1" x14ac:dyDescent="0.3">
      <c r="A21" s="12" t="s">
        <v>155</v>
      </c>
      <c r="B21" s="12" t="s">
        <v>946</v>
      </c>
      <c r="C21" s="12" t="s">
        <v>947</v>
      </c>
      <c r="D21" s="12" t="s">
        <v>907</v>
      </c>
      <c r="E21" s="12" t="s">
        <v>948</v>
      </c>
    </row>
    <row r="22" spans="1:7" ht="14.5" customHeight="1" x14ac:dyDescent="0.3">
      <c r="A22" s="12" t="s">
        <v>156</v>
      </c>
      <c r="B22" s="12" t="s">
        <v>949</v>
      </c>
      <c r="C22" s="12" t="s">
        <v>950</v>
      </c>
      <c r="D22" s="12" t="s">
        <v>951</v>
      </c>
      <c r="E22" s="12" t="s">
        <v>911</v>
      </c>
      <c r="F22" s="12" t="s">
        <v>948</v>
      </c>
    </row>
    <row r="23" spans="1:7" ht="14.5" customHeight="1" x14ac:dyDescent="0.3">
      <c r="A23" s="12" t="s">
        <v>157</v>
      </c>
      <c r="B23" s="12" t="s">
        <v>949</v>
      </c>
      <c r="C23" s="12" t="s">
        <v>952</v>
      </c>
      <c r="D23" s="12" t="s">
        <v>907</v>
      </c>
    </row>
    <row r="24" spans="1:7" ht="14.5" customHeight="1" x14ac:dyDescent="0.3">
      <c r="A24" s="12" t="s">
        <v>158</v>
      </c>
      <c r="B24" s="12" t="s">
        <v>949</v>
      </c>
      <c r="C24" s="12" t="s">
        <v>953</v>
      </c>
      <c r="D24" s="12" t="s">
        <v>907</v>
      </c>
      <c r="E24" s="12" t="s">
        <v>941</v>
      </c>
    </row>
    <row r="25" spans="1:7" ht="14.5" customHeight="1" x14ac:dyDescent="0.3">
      <c r="A25" s="12" t="s">
        <v>159</v>
      </c>
      <c r="B25" s="12" t="s">
        <v>954</v>
      </c>
      <c r="C25" s="12" t="s">
        <v>955</v>
      </c>
      <c r="D25" s="12" t="s">
        <v>907</v>
      </c>
    </row>
    <row r="26" spans="1:7" s="13" customFormat="1" ht="14.5" customHeight="1" x14ac:dyDescent="0.3">
      <c r="A26" s="13" t="s">
        <v>160</v>
      </c>
      <c r="B26" s="13" t="e">
        <v>#VALUE!</v>
      </c>
      <c r="C26" s="13" t="e">
        <v>#VALUE!</v>
      </c>
      <c r="D26" s="13" t="s">
        <v>956</v>
      </c>
    </row>
    <row r="27" spans="1:7" ht="14.5" customHeight="1" x14ac:dyDescent="0.3">
      <c r="A27" s="12" t="s">
        <v>161</v>
      </c>
      <c r="B27" s="12" t="s">
        <v>902</v>
      </c>
      <c r="C27" s="12" t="s">
        <v>957</v>
      </c>
      <c r="D27" s="12" t="s">
        <v>958</v>
      </c>
      <c r="E27" s="12" t="s">
        <v>907</v>
      </c>
    </row>
    <row r="28" spans="1:7" ht="14.5" customHeight="1" x14ac:dyDescent="0.3">
      <c r="A28" s="12" t="s">
        <v>162</v>
      </c>
      <c r="B28" s="12" t="s">
        <v>902</v>
      </c>
      <c r="C28" s="12" t="s">
        <v>959</v>
      </c>
      <c r="D28" s="12" t="s">
        <v>960</v>
      </c>
      <c r="E28" s="12" t="s">
        <v>961</v>
      </c>
      <c r="F28" s="12" t="s">
        <v>962</v>
      </c>
    </row>
    <row r="29" spans="1:7" ht="14.5" customHeight="1" x14ac:dyDescent="0.3">
      <c r="A29" s="12" t="s">
        <v>163</v>
      </c>
      <c r="B29" s="12" t="s">
        <v>902</v>
      </c>
      <c r="C29" s="12" t="s">
        <v>963</v>
      </c>
      <c r="D29" s="12" t="s">
        <v>904</v>
      </c>
      <c r="E29" s="12" t="s">
        <v>907</v>
      </c>
    </row>
    <row r="30" spans="1:7" ht="14.5" customHeight="1" x14ac:dyDescent="0.3">
      <c r="A30" s="12" t="s">
        <v>164</v>
      </c>
      <c r="B30" s="12" t="s">
        <v>902</v>
      </c>
      <c r="C30" s="12" t="s">
        <v>964</v>
      </c>
      <c r="D30" s="12" t="s">
        <v>904</v>
      </c>
      <c r="E30" s="12" t="s">
        <v>907</v>
      </c>
    </row>
    <row r="31" spans="1:7" ht="14.5" customHeight="1" x14ac:dyDescent="0.3">
      <c r="A31" s="12" t="s">
        <v>165</v>
      </c>
      <c r="B31" s="12" t="s">
        <v>902</v>
      </c>
      <c r="C31" s="12" t="s">
        <v>965</v>
      </c>
      <c r="D31" s="12" t="s">
        <v>966</v>
      </c>
      <c r="E31" s="12" t="s">
        <v>907</v>
      </c>
    </row>
    <row r="32" spans="1:7" ht="14.5" customHeight="1" x14ac:dyDescent="0.3">
      <c r="A32" s="12" t="s">
        <v>166</v>
      </c>
      <c r="B32" s="12" t="s">
        <v>902</v>
      </c>
      <c r="C32" s="12" t="s">
        <v>967</v>
      </c>
      <c r="D32" s="12" t="s">
        <v>968</v>
      </c>
      <c r="E32" s="12" t="s">
        <v>911</v>
      </c>
    </row>
    <row r="33" spans="1:7" ht="14.5" customHeight="1" x14ac:dyDescent="0.3">
      <c r="A33" s="12" t="s">
        <v>167</v>
      </c>
      <c r="B33" s="12" t="s">
        <v>902</v>
      </c>
      <c r="C33" s="12" t="s">
        <v>969</v>
      </c>
      <c r="D33" s="12" t="s">
        <v>904</v>
      </c>
      <c r="E33" s="12" t="s">
        <v>907</v>
      </c>
    </row>
    <row r="34" spans="1:7" ht="14.5" customHeight="1" x14ac:dyDescent="0.3">
      <c r="A34" s="12" t="s">
        <v>168</v>
      </c>
      <c r="B34" s="12" t="s">
        <v>908</v>
      </c>
      <c r="C34" s="12" t="s">
        <v>970</v>
      </c>
      <c r="D34" s="12" t="s">
        <v>904</v>
      </c>
      <c r="E34" s="12" t="s">
        <v>907</v>
      </c>
    </row>
    <row r="35" spans="1:7" ht="14.5" customHeight="1" x14ac:dyDescent="0.3">
      <c r="A35" s="12" t="s">
        <v>169</v>
      </c>
      <c r="B35" s="12" t="s">
        <v>908</v>
      </c>
      <c r="C35" s="12" t="s">
        <v>971</v>
      </c>
      <c r="D35" s="12" t="s">
        <v>904</v>
      </c>
      <c r="E35" s="12" t="s">
        <v>972</v>
      </c>
      <c r="F35" s="12" t="s">
        <v>973</v>
      </c>
      <c r="G35" s="12" t="s">
        <v>911</v>
      </c>
    </row>
    <row r="36" spans="1:7" ht="14.5" customHeight="1" x14ac:dyDescent="0.3">
      <c r="A36" s="12" t="s">
        <v>170</v>
      </c>
      <c r="B36" s="12" t="s">
        <v>908</v>
      </c>
      <c r="C36" s="12" t="s">
        <v>974</v>
      </c>
      <c r="D36" s="12" t="s">
        <v>968</v>
      </c>
      <c r="E36" s="12" t="s">
        <v>975</v>
      </c>
      <c r="F36" s="12" t="s">
        <v>976</v>
      </c>
      <c r="G36" s="12" t="s">
        <v>911</v>
      </c>
    </row>
    <row r="37" spans="1:7" ht="14.5" customHeight="1" x14ac:dyDescent="0.3">
      <c r="A37" s="12" t="s">
        <v>171</v>
      </c>
      <c r="B37" s="12" t="s">
        <v>977</v>
      </c>
      <c r="C37" s="12" t="s">
        <v>978</v>
      </c>
      <c r="D37" s="12" t="s">
        <v>979</v>
      </c>
      <c r="E37" s="12" t="s">
        <v>907</v>
      </c>
    </row>
    <row r="38" spans="1:7" ht="14.5" customHeight="1" x14ac:dyDescent="0.3">
      <c r="A38" s="12" t="s">
        <v>172</v>
      </c>
      <c r="B38" s="12" t="s">
        <v>977</v>
      </c>
      <c r="C38" s="12" t="s">
        <v>980</v>
      </c>
      <c r="D38" s="12" t="s">
        <v>981</v>
      </c>
      <c r="E38" s="12" t="s">
        <v>911</v>
      </c>
    </row>
    <row r="39" spans="1:7" ht="14.5" customHeight="1" x14ac:dyDescent="0.3">
      <c r="A39" s="12" t="s">
        <v>173</v>
      </c>
      <c r="B39" s="12" t="s">
        <v>977</v>
      </c>
      <c r="C39" s="12" t="s">
        <v>982</v>
      </c>
      <c r="D39" s="12" t="s">
        <v>983</v>
      </c>
      <c r="E39" s="12" t="s">
        <v>911</v>
      </c>
    </row>
    <row r="40" spans="1:7" ht="14.5" customHeight="1" x14ac:dyDescent="0.3">
      <c r="A40" s="12" t="s">
        <v>174</v>
      </c>
      <c r="B40" s="12" t="s">
        <v>977</v>
      </c>
      <c r="C40" s="12" t="s">
        <v>984</v>
      </c>
      <c r="D40" s="12" t="s">
        <v>985</v>
      </c>
      <c r="E40" s="12" t="s">
        <v>911</v>
      </c>
      <c r="F40" s="12" t="s">
        <v>986</v>
      </c>
    </row>
    <row r="41" spans="1:7" ht="14.5" customHeight="1" x14ac:dyDescent="0.3">
      <c r="A41" s="12" t="s">
        <v>175</v>
      </c>
      <c r="B41" s="12" t="s">
        <v>977</v>
      </c>
      <c r="C41" s="12" t="s">
        <v>987</v>
      </c>
      <c r="D41" s="12" t="s">
        <v>988</v>
      </c>
      <c r="E41" s="12" t="s">
        <v>989</v>
      </c>
      <c r="F41" s="12" t="s">
        <v>907</v>
      </c>
    </row>
    <row r="42" spans="1:7" ht="14.5" customHeight="1" x14ac:dyDescent="0.3">
      <c r="A42" s="12" t="s">
        <v>176</v>
      </c>
      <c r="B42" s="12" t="s">
        <v>977</v>
      </c>
      <c r="C42" s="12" t="s">
        <v>990</v>
      </c>
      <c r="D42" s="12" t="s">
        <v>991</v>
      </c>
      <c r="E42" s="12" t="s">
        <v>961</v>
      </c>
      <c r="F42" s="12" t="s">
        <v>992</v>
      </c>
    </row>
    <row r="43" spans="1:7" ht="14.5" customHeight="1" x14ac:dyDescent="0.3">
      <c r="A43" s="12" t="s">
        <v>177</v>
      </c>
      <c r="B43" s="12" t="s">
        <v>977</v>
      </c>
      <c r="C43" s="12" t="s">
        <v>993</v>
      </c>
      <c r="D43" s="12" t="s">
        <v>994</v>
      </c>
      <c r="E43" s="12" t="s">
        <v>907</v>
      </c>
    </row>
    <row r="44" spans="1:7" ht="14.5" customHeight="1" x14ac:dyDescent="0.3">
      <c r="A44" s="12" t="s">
        <v>178</v>
      </c>
      <c r="B44" s="12" t="s">
        <v>977</v>
      </c>
      <c r="C44" s="12" t="s">
        <v>995</v>
      </c>
      <c r="D44" s="12" t="s">
        <v>996</v>
      </c>
      <c r="E44" s="12" t="s">
        <v>907</v>
      </c>
    </row>
    <row r="45" spans="1:7" ht="14.5" customHeight="1" x14ac:dyDescent="0.3">
      <c r="A45" s="12" t="s">
        <v>179</v>
      </c>
      <c r="B45" s="12" t="s">
        <v>977</v>
      </c>
      <c r="C45" s="12" t="s">
        <v>997</v>
      </c>
      <c r="D45" s="12" t="s">
        <v>998</v>
      </c>
      <c r="E45" s="12" t="s">
        <v>907</v>
      </c>
    </row>
    <row r="46" spans="1:7" ht="14.5" customHeight="1" x14ac:dyDescent="0.3">
      <c r="A46" s="12" t="s">
        <v>180</v>
      </c>
      <c r="B46" s="12" t="s">
        <v>977</v>
      </c>
      <c r="C46" s="12" t="s">
        <v>999</v>
      </c>
      <c r="D46" s="12" t="s">
        <v>1000</v>
      </c>
      <c r="E46" s="12" t="s">
        <v>907</v>
      </c>
    </row>
    <row r="47" spans="1:7" ht="14.5" customHeight="1" x14ac:dyDescent="0.3">
      <c r="A47" s="12" t="s">
        <v>181</v>
      </c>
      <c r="B47" s="12" t="s">
        <v>977</v>
      </c>
      <c r="C47" s="12" t="s">
        <v>1001</v>
      </c>
      <c r="D47" s="12" t="s">
        <v>1002</v>
      </c>
      <c r="E47" s="12" t="s">
        <v>907</v>
      </c>
    </row>
    <row r="48" spans="1:7" ht="14.5" customHeight="1" x14ac:dyDescent="0.3">
      <c r="A48" s="12" t="s">
        <v>182</v>
      </c>
      <c r="B48" s="12" t="s">
        <v>977</v>
      </c>
      <c r="C48" s="12" t="s">
        <v>1003</v>
      </c>
      <c r="D48" s="12" t="s">
        <v>1004</v>
      </c>
      <c r="E48" s="12" t="s">
        <v>907</v>
      </c>
    </row>
    <row r="49" spans="1:6" ht="14.5" customHeight="1" x14ac:dyDescent="0.3">
      <c r="A49" s="12" t="s">
        <v>183</v>
      </c>
      <c r="B49" s="12" t="s">
        <v>977</v>
      </c>
      <c r="C49" s="12" t="s">
        <v>1005</v>
      </c>
      <c r="D49" s="12" t="s">
        <v>1006</v>
      </c>
      <c r="E49" s="12" t="s">
        <v>907</v>
      </c>
    </row>
    <row r="50" spans="1:6" ht="14.5" customHeight="1" x14ac:dyDescent="0.3">
      <c r="A50" s="12" t="s">
        <v>184</v>
      </c>
      <c r="B50" s="12" t="s">
        <v>977</v>
      </c>
      <c r="C50" s="12" t="s">
        <v>1007</v>
      </c>
      <c r="D50" s="12" t="s">
        <v>979</v>
      </c>
      <c r="E50" s="12" t="s">
        <v>907</v>
      </c>
    </row>
    <row r="51" spans="1:6" ht="14.5" customHeight="1" x14ac:dyDescent="0.3">
      <c r="A51" s="12" t="s">
        <v>185</v>
      </c>
      <c r="B51" s="12" t="s">
        <v>977</v>
      </c>
      <c r="C51" s="12" t="s">
        <v>1008</v>
      </c>
      <c r="D51" s="12" t="s">
        <v>934</v>
      </c>
      <c r="E51" s="12" t="s">
        <v>907</v>
      </c>
    </row>
    <row r="52" spans="1:6" ht="14.5" customHeight="1" x14ac:dyDescent="0.3">
      <c r="A52" s="12" t="s">
        <v>186</v>
      </c>
      <c r="B52" s="12" t="s">
        <v>977</v>
      </c>
      <c r="C52" s="12" t="s">
        <v>1009</v>
      </c>
      <c r="D52" s="12" t="s">
        <v>1010</v>
      </c>
      <c r="E52" s="12" t="s">
        <v>907</v>
      </c>
    </row>
    <row r="53" spans="1:6" ht="14.5" customHeight="1" x14ac:dyDescent="0.3">
      <c r="A53" s="12" t="s">
        <v>187</v>
      </c>
      <c r="B53" s="12" t="s">
        <v>977</v>
      </c>
      <c r="C53" s="12" t="s">
        <v>1011</v>
      </c>
      <c r="D53" s="12" t="s">
        <v>1012</v>
      </c>
      <c r="E53" s="12" t="s">
        <v>907</v>
      </c>
    </row>
    <row r="54" spans="1:6" ht="14.5" customHeight="1" x14ac:dyDescent="0.3">
      <c r="A54" s="12" t="s">
        <v>188</v>
      </c>
      <c r="B54" s="12" t="s">
        <v>977</v>
      </c>
      <c r="C54" s="12" t="s">
        <v>1013</v>
      </c>
      <c r="D54" s="12" t="s">
        <v>1014</v>
      </c>
      <c r="E54" s="12" t="s">
        <v>907</v>
      </c>
    </row>
    <row r="55" spans="1:6" ht="14.5" customHeight="1" x14ac:dyDescent="0.3">
      <c r="A55" s="12" t="s">
        <v>189</v>
      </c>
      <c r="B55" s="12" t="s">
        <v>977</v>
      </c>
      <c r="C55" s="12" t="s">
        <v>1015</v>
      </c>
      <c r="D55" s="12" t="s">
        <v>1016</v>
      </c>
      <c r="E55" s="12" t="s">
        <v>907</v>
      </c>
    </row>
    <row r="56" spans="1:6" ht="14.5" customHeight="1" x14ac:dyDescent="0.3">
      <c r="A56" s="12" t="s">
        <v>190</v>
      </c>
      <c r="B56" s="12" t="s">
        <v>977</v>
      </c>
      <c r="C56" s="12" t="s">
        <v>1017</v>
      </c>
      <c r="D56" s="12" t="s">
        <v>907</v>
      </c>
    </row>
    <row r="57" spans="1:6" ht="14.5" customHeight="1" x14ac:dyDescent="0.3">
      <c r="A57" s="12" t="s">
        <v>191</v>
      </c>
      <c r="B57" s="12" t="s">
        <v>977</v>
      </c>
      <c r="C57" s="12" t="s">
        <v>1018</v>
      </c>
      <c r="D57" s="12" t="s">
        <v>979</v>
      </c>
      <c r="E57" s="12" t="s">
        <v>907</v>
      </c>
    </row>
    <row r="58" spans="1:6" ht="14.5" customHeight="1" x14ac:dyDescent="0.3">
      <c r="A58" s="12" t="s">
        <v>192</v>
      </c>
      <c r="B58" s="12" t="s">
        <v>1019</v>
      </c>
      <c r="C58" s="12" t="s">
        <v>1020</v>
      </c>
      <c r="D58" s="12" t="s">
        <v>996</v>
      </c>
      <c r="E58" s="12" t="s">
        <v>907</v>
      </c>
    </row>
    <row r="59" spans="1:6" ht="14.5" customHeight="1" x14ac:dyDescent="0.3">
      <c r="A59" s="12" t="s">
        <v>193</v>
      </c>
      <c r="B59" s="12" t="s">
        <v>1019</v>
      </c>
      <c r="C59" s="12" t="s">
        <v>1021</v>
      </c>
      <c r="D59" s="12" t="s">
        <v>1014</v>
      </c>
      <c r="E59" s="12" t="s">
        <v>907</v>
      </c>
    </row>
    <row r="60" spans="1:6" ht="14.5" customHeight="1" x14ac:dyDescent="0.3">
      <c r="A60" s="12" t="s">
        <v>194</v>
      </c>
      <c r="B60" s="12" t="s">
        <v>1019</v>
      </c>
      <c r="C60" s="12" t="s">
        <v>1022</v>
      </c>
      <c r="D60" s="12" t="s">
        <v>966</v>
      </c>
      <c r="E60" s="12" t="s">
        <v>961</v>
      </c>
      <c r="F60" s="12" t="s">
        <v>1023</v>
      </c>
    </row>
    <row r="61" spans="1:6" ht="14.5" customHeight="1" x14ac:dyDescent="0.3">
      <c r="A61" s="12" t="s">
        <v>195</v>
      </c>
      <c r="B61" s="12" t="s">
        <v>1019</v>
      </c>
      <c r="C61" s="12" t="s">
        <v>1024</v>
      </c>
      <c r="D61" s="12" t="s">
        <v>998</v>
      </c>
      <c r="E61" s="12" t="s">
        <v>907</v>
      </c>
    </row>
    <row r="62" spans="1:6" ht="14.5" customHeight="1" x14ac:dyDescent="0.3">
      <c r="A62" s="12" t="s">
        <v>196</v>
      </c>
      <c r="B62" s="12" t="s">
        <v>1019</v>
      </c>
      <c r="C62" s="12" t="s">
        <v>1025</v>
      </c>
      <c r="D62" s="12" t="s">
        <v>988</v>
      </c>
      <c r="E62" s="12" t="s">
        <v>989</v>
      </c>
      <c r="F62" s="12" t="s">
        <v>907</v>
      </c>
    </row>
    <row r="63" spans="1:6" ht="14.5" customHeight="1" x14ac:dyDescent="0.3">
      <c r="A63" s="12" t="s">
        <v>197</v>
      </c>
      <c r="B63" s="12" t="s">
        <v>1019</v>
      </c>
      <c r="C63" s="12" t="s">
        <v>1026</v>
      </c>
      <c r="D63" s="12" t="s">
        <v>1027</v>
      </c>
      <c r="E63" s="12" t="s">
        <v>961</v>
      </c>
      <c r="F63" s="12" t="s">
        <v>1028</v>
      </c>
    </row>
    <row r="64" spans="1:6" ht="14.5" customHeight="1" x14ac:dyDescent="0.3">
      <c r="A64" s="12" t="s">
        <v>198</v>
      </c>
      <c r="B64" s="12" t="s">
        <v>1029</v>
      </c>
      <c r="C64" s="12" t="s">
        <v>1030</v>
      </c>
      <c r="D64" s="12" t="s">
        <v>919</v>
      </c>
      <c r="E64" s="12" t="s">
        <v>907</v>
      </c>
    </row>
    <row r="65" spans="1:6" ht="14.5" customHeight="1" x14ac:dyDescent="0.3">
      <c r="A65" s="12" t="s">
        <v>199</v>
      </c>
      <c r="B65" s="12" t="s">
        <v>1029</v>
      </c>
      <c r="C65" s="12" t="s">
        <v>1031</v>
      </c>
      <c r="D65" s="12" t="s">
        <v>1032</v>
      </c>
      <c r="E65" s="12" t="s">
        <v>907</v>
      </c>
    </row>
    <row r="66" spans="1:6" ht="14.5" customHeight="1" x14ac:dyDescent="0.3">
      <c r="A66" s="12" t="s">
        <v>200</v>
      </c>
      <c r="B66" s="12" t="s">
        <v>1029</v>
      </c>
      <c r="C66" s="12" t="s">
        <v>1033</v>
      </c>
      <c r="D66" s="12" t="s">
        <v>1012</v>
      </c>
      <c r="E66" s="12" t="s">
        <v>907</v>
      </c>
    </row>
    <row r="67" spans="1:6" ht="14.5" customHeight="1" x14ac:dyDescent="0.3">
      <c r="A67" s="12" t="s">
        <v>201</v>
      </c>
      <c r="B67" s="12" t="s">
        <v>1029</v>
      </c>
      <c r="C67" s="12" t="s">
        <v>1034</v>
      </c>
      <c r="D67" s="12" t="s">
        <v>1035</v>
      </c>
      <c r="E67" s="12" t="s">
        <v>907</v>
      </c>
    </row>
    <row r="68" spans="1:6" ht="14.5" customHeight="1" x14ac:dyDescent="0.3">
      <c r="A68" s="12" t="s">
        <v>202</v>
      </c>
      <c r="B68" s="12" t="s">
        <v>1029</v>
      </c>
      <c r="C68" s="12" t="s">
        <v>1036</v>
      </c>
      <c r="D68" s="12" t="s">
        <v>1037</v>
      </c>
      <c r="E68" s="12" t="s">
        <v>907</v>
      </c>
    </row>
    <row r="69" spans="1:6" ht="14.5" customHeight="1" x14ac:dyDescent="0.3">
      <c r="A69" s="12" t="s">
        <v>203</v>
      </c>
      <c r="B69" s="12" t="s">
        <v>1029</v>
      </c>
      <c r="C69" s="12" t="s">
        <v>1038</v>
      </c>
      <c r="D69" s="12" t="s">
        <v>915</v>
      </c>
      <c r="E69" s="12" t="s">
        <v>907</v>
      </c>
    </row>
    <row r="70" spans="1:6" ht="14.5" customHeight="1" x14ac:dyDescent="0.3">
      <c r="A70" s="12" t="s">
        <v>204</v>
      </c>
      <c r="B70" s="12" t="s">
        <v>1029</v>
      </c>
      <c r="C70" s="12" t="s">
        <v>1039</v>
      </c>
      <c r="D70" s="12" t="s">
        <v>1040</v>
      </c>
      <c r="E70" s="12" t="s">
        <v>911</v>
      </c>
    </row>
    <row r="71" spans="1:6" ht="14.5" customHeight="1" x14ac:dyDescent="0.3">
      <c r="A71" s="12" t="s">
        <v>205</v>
      </c>
      <c r="B71" s="12" t="s">
        <v>1029</v>
      </c>
      <c r="C71" s="12" t="s">
        <v>1041</v>
      </c>
      <c r="D71" s="12" t="s">
        <v>1042</v>
      </c>
      <c r="E71" s="12" t="s">
        <v>907</v>
      </c>
    </row>
    <row r="72" spans="1:6" ht="14.5" customHeight="1" x14ac:dyDescent="0.3">
      <c r="A72" s="12" t="s">
        <v>206</v>
      </c>
      <c r="B72" s="12" t="s">
        <v>1029</v>
      </c>
      <c r="C72" s="12" t="s">
        <v>1043</v>
      </c>
      <c r="D72" s="12" t="s">
        <v>907</v>
      </c>
    </row>
    <row r="73" spans="1:6" ht="14.5" customHeight="1" x14ac:dyDescent="0.3">
      <c r="A73" s="12" t="s">
        <v>207</v>
      </c>
      <c r="B73" s="12" t="s">
        <v>1044</v>
      </c>
      <c r="C73" s="12" t="s">
        <v>1045</v>
      </c>
      <c r="D73" s="12" t="s">
        <v>907</v>
      </c>
    </row>
    <row r="74" spans="1:6" ht="14.5" customHeight="1" x14ac:dyDescent="0.3">
      <c r="A74" s="12" t="s">
        <v>208</v>
      </c>
      <c r="B74" s="12" t="s">
        <v>926</v>
      </c>
      <c r="C74" s="12" t="s">
        <v>1046</v>
      </c>
      <c r="D74" s="12" t="s">
        <v>907</v>
      </c>
    </row>
    <row r="75" spans="1:6" ht="14.5" customHeight="1" x14ac:dyDescent="0.3">
      <c r="A75" s="12" t="s">
        <v>209</v>
      </c>
      <c r="B75" s="12" t="s">
        <v>937</v>
      </c>
      <c r="C75" s="12" t="s">
        <v>1047</v>
      </c>
      <c r="D75" s="12" t="s">
        <v>915</v>
      </c>
      <c r="E75" s="12" t="s">
        <v>907</v>
      </c>
    </row>
    <row r="76" spans="1:6" ht="14.5" customHeight="1" x14ac:dyDescent="0.3">
      <c r="A76" s="12" t="s">
        <v>210</v>
      </c>
      <c r="B76" s="12" t="s">
        <v>1048</v>
      </c>
      <c r="C76" s="12" t="s">
        <v>1049</v>
      </c>
      <c r="D76" s="12" t="s">
        <v>907</v>
      </c>
    </row>
    <row r="77" spans="1:6" ht="14.5" customHeight="1" x14ac:dyDescent="0.3">
      <c r="A77" s="12" t="s">
        <v>211</v>
      </c>
      <c r="B77" s="12" t="s">
        <v>1050</v>
      </c>
      <c r="C77" s="12" t="s">
        <v>1051</v>
      </c>
      <c r="D77" s="12" t="s">
        <v>907</v>
      </c>
    </row>
    <row r="78" spans="1:6" ht="14.5" customHeight="1" x14ac:dyDescent="0.3">
      <c r="A78" s="12" t="s">
        <v>212</v>
      </c>
      <c r="B78" s="12" t="s">
        <v>944</v>
      </c>
      <c r="C78" s="12" t="s">
        <v>1052</v>
      </c>
      <c r="D78" s="12" t="s">
        <v>1053</v>
      </c>
      <c r="E78" s="12" t="s">
        <v>1054</v>
      </c>
      <c r="F78" s="12" t="s">
        <v>1055</v>
      </c>
    </row>
    <row r="79" spans="1:6" ht="14.5" customHeight="1" x14ac:dyDescent="0.3">
      <c r="A79" s="12" t="s">
        <v>213</v>
      </c>
      <c r="B79" s="12" t="s">
        <v>944</v>
      </c>
      <c r="C79" s="12" t="s">
        <v>1056</v>
      </c>
      <c r="D79" s="12" t="s">
        <v>951</v>
      </c>
      <c r="E79" s="12" t="s">
        <v>1054</v>
      </c>
      <c r="F79" s="12" t="s">
        <v>1055</v>
      </c>
    </row>
    <row r="80" spans="1:6" ht="14.5" customHeight="1" x14ac:dyDescent="0.3">
      <c r="A80" s="12" t="s">
        <v>214</v>
      </c>
      <c r="B80" s="12" t="s">
        <v>944</v>
      </c>
      <c r="C80" s="12" t="s">
        <v>1057</v>
      </c>
      <c r="D80" s="12" t="s">
        <v>1058</v>
      </c>
      <c r="E80" s="12" t="s">
        <v>1059</v>
      </c>
      <c r="F80" s="12" t="s">
        <v>907</v>
      </c>
    </row>
    <row r="81" spans="1:6" ht="14.5" customHeight="1" x14ac:dyDescent="0.3">
      <c r="A81" s="12" t="s">
        <v>215</v>
      </c>
      <c r="B81" s="12" t="s">
        <v>944</v>
      </c>
      <c r="C81" s="12" t="s">
        <v>1060</v>
      </c>
      <c r="D81" s="12" t="s">
        <v>1054</v>
      </c>
      <c r="E81" s="12" t="s">
        <v>1061</v>
      </c>
    </row>
    <row r="82" spans="1:6" ht="14.5" customHeight="1" x14ac:dyDescent="0.3">
      <c r="A82" s="12" t="s">
        <v>216</v>
      </c>
      <c r="B82" s="12" t="s">
        <v>944</v>
      </c>
      <c r="C82" s="12" t="s">
        <v>1062</v>
      </c>
      <c r="D82" s="12" t="s">
        <v>907</v>
      </c>
      <c r="E82" s="12" t="s">
        <v>1063</v>
      </c>
    </row>
    <row r="83" spans="1:6" ht="14.5" customHeight="1" x14ac:dyDescent="0.3">
      <c r="A83" s="12" t="s">
        <v>217</v>
      </c>
      <c r="B83" s="12" t="s">
        <v>944</v>
      </c>
      <c r="C83" s="12" t="s">
        <v>1064</v>
      </c>
      <c r="D83" s="12" t="s">
        <v>907</v>
      </c>
      <c r="E83" s="12" t="s">
        <v>1065</v>
      </c>
      <c r="F83" s="12" t="s">
        <v>1066</v>
      </c>
    </row>
    <row r="84" spans="1:6" ht="14.5" customHeight="1" x14ac:dyDescent="0.3">
      <c r="A84" s="12" t="s">
        <v>218</v>
      </c>
      <c r="B84" s="12" t="s">
        <v>944</v>
      </c>
      <c r="C84" s="12" t="s">
        <v>1067</v>
      </c>
      <c r="D84" s="12" t="s">
        <v>907</v>
      </c>
    </row>
    <row r="85" spans="1:6" ht="14.5" customHeight="1" x14ac:dyDescent="0.3">
      <c r="A85" s="12" t="s">
        <v>219</v>
      </c>
      <c r="B85" s="12" t="s">
        <v>944</v>
      </c>
      <c r="C85" s="12" t="s">
        <v>1068</v>
      </c>
      <c r="D85" s="12" t="s">
        <v>1069</v>
      </c>
      <c r="E85" s="12" t="s">
        <v>911</v>
      </c>
      <c r="F85" s="12" t="s">
        <v>948</v>
      </c>
    </row>
    <row r="86" spans="1:6" ht="14.5" customHeight="1" x14ac:dyDescent="0.3">
      <c r="A86" s="12" t="s">
        <v>220</v>
      </c>
      <c r="B86" s="12" t="s">
        <v>946</v>
      </c>
      <c r="C86" s="12" t="s">
        <v>1070</v>
      </c>
      <c r="D86" s="12" t="s">
        <v>907</v>
      </c>
    </row>
    <row r="87" spans="1:6" ht="14.5" customHeight="1" x14ac:dyDescent="0.3">
      <c r="A87" s="12" t="s">
        <v>221</v>
      </c>
      <c r="B87" s="12" t="s">
        <v>946</v>
      </c>
      <c r="C87" s="12" t="s">
        <v>1071</v>
      </c>
      <c r="D87" s="12" t="s">
        <v>1053</v>
      </c>
      <c r="E87" s="12" t="s">
        <v>1054</v>
      </c>
      <c r="F87" s="12" t="s">
        <v>1055</v>
      </c>
    </row>
    <row r="88" spans="1:6" ht="14.5" customHeight="1" x14ac:dyDescent="0.3">
      <c r="A88" s="12" t="s">
        <v>222</v>
      </c>
      <c r="B88" s="12" t="s">
        <v>946</v>
      </c>
      <c r="C88" s="12" t="e">
        <v>#VALUE!</v>
      </c>
      <c r="D88" s="12" t="s">
        <v>1054</v>
      </c>
      <c r="E88" s="12" t="s">
        <v>1055</v>
      </c>
    </row>
    <row r="89" spans="1:6" ht="14.5" customHeight="1" x14ac:dyDescent="0.3">
      <c r="A89" s="12" t="s">
        <v>223</v>
      </c>
      <c r="B89" s="12" t="s">
        <v>946</v>
      </c>
      <c r="C89" s="12" t="s">
        <v>1072</v>
      </c>
      <c r="D89" s="12" t="s">
        <v>907</v>
      </c>
      <c r="E89" s="12" t="s">
        <v>941</v>
      </c>
    </row>
    <row r="90" spans="1:6" ht="14.5" customHeight="1" x14ac:dyDescent="0.3">
      <c r="A90" s="12" t="s">
        <v>224</v>
      </c>
      <c r="B90" s="12" t="s">
        <v>954</v>
      </c>
      <c r="C90" s="12" t="s">
        <v>1073</v>
      </c>
      <c r="D90" s="12" t="s">
        <v>1074</v>
      </c>
      <c r="E90" s="12" t="s">
        <v>1075</v>
      </c>
      <c r="F90" s="12" t="s">
        <v>907</v>
      </c>
    </row>
    <row r="91" spans="1:6" ht="14.5" customHeight="1" x14ac:dyDescent="0.3">
      <c r="A91" s="12" t="s">
        <v>225</v>
      </c>
      <c r="B91" s="12" t="s">
        <v>1076</v>
      </c>
      <c r="C91" s="12" t="s">
        <v>1077</v>
      </c>
      <c r="D91" s="12" t="s">
        <v>1054</v>
      </c>
      <c r="E91" s="12" t="s">
        <v>948</v>
      </c>
      <c r="F91" s="12" t="s">
        <v>1078</v>
      </c>
    </row>
    <row r="92" spans="1:6" ht="14.5" customHeight="1" x14ac:dyDescent="0.3">
      <c r="A92" s="12" t="s">
        <v>226</v>
      </c>
      <c r="B92" s="12" t="s">
        <v>1076</v>
      </c>
      <c r="C92" s="12" t="s">
        <v>1079</v>
      </c>
      <c r="D92" s="12" t="s">
        <v>1054</v>
      </c>
      <c r="E92" s="12" t="s">
        <v>941</v>
      </c>
      <c r="F92" s="12" t="s">
        <v>1080</v>
      </c>
    </row>
    <row r="93" spans="1:6" ht="14.5" customHeight="1" x14ac:dyDescent="0.3">
      <c r="A93" s="12" t="s">
        <v>227</v>
      </c>
      <c r="B93" s="12" t="s">
        <v>1081</v>
      </c>
      <c r="C93" s="12" t="s">
        <v>1082</v>
      </c>
      <c r="D93" s="12" t="s">
        <v>907</v>
      </c>
    </row>
    <row r="94" spans="1:6" s="13" customFormat="1" ht="14.5" customHeight="1" x14ac:dyDescent="0.3">
      <c r="A94" s="13" t="s">
        <v>228</v>
      </c>
      <c r="B94" s="13" t="e">
        <v>#VALUE!</v>
      </c>
      <c r="C94" s="13" t="e">
        <v>#VALUE!</v>
      </c>
      <c r="D94" s="13" t="s">
        <v>956</v>
      </c>
    </row>
    <row r="95" spans="1:6" s="13" customFormat="1" ht="14.5" customHeight="1" x14ac:dyDescent="0.3">
      <c r="A95" s="13" t="s">
        <v>229</v>
      </c>
      <c r="B95" s="13" t="e">
        <v>#VALUE!</v>
      </c>
      <c r="C95" s="13" t="e">
        <v>#VALUE!</v>
      </c>
      <c r="D95" s="13" t="s">
        <v>956</v>
      </c>
    </row>
    <row r="96" spans="1:6" ht="14.5" customHeight="1" x14ac:dyDescent="0.3">
      <c r="A96" s="12" t="s">
        <v>230</v>
      </c>
      <c r="B96" s="12" t="s">
        <v>935</v>
      </c>
      <c r="C96" s="12" t="s">
        <v>1083</v>
      </c>
      <c r="D96" s="12" t="s">
        <v>907</v>
      </c>
    </row>
    <row r="97" spans="1:6" ht="14.5" customHeight="1" x14ac:dyDescent="0.3">
      <c r="A97" s="12" t="s">
        <v>231</v>
      </c>
      <c r="B97" s="12" t="s">
        <v>935</v>
      </c>
      <c r="C97" s="12" t="s">
        <v>1084</v>
      </c>
      <c r="D97" s="12" t="s">
        <v>907</v>
      </c>
    </row>
    <row r="98" spans="1:6" ht="14.5" customHeight="1" x14ac:dyDescent="0.3">
      <c r="A98" s="12" t="s">
        <v>232</v>
      </c>
      <c r="B98" s="12" t="s">
        <v>1048</v>
      </c>
      <c r="C98" s="12" t="s">
        <v>1085</v>
      </c>
      <c r="D98" s="12" t="s">
        <v>907</v>
      </c>
    </row>
    <row r="99" spans="1:6" ht="14.5" customHeight="1" x14ac:dyDescent="0.3">
      <c r="A99" s="12" t="s">
        <v>233</v>
      </c>
      <c r="B99" s="12" t="s">
        <v>949</v>
      </c>
      <c r="C99" s="12" t="s">
        <v>1086</v>
      </c>
      <c r="D99" s="12" t="s">
        <v>907</v>
      </c>
    </row>
    <row r="100" spans="1:6" ht="14.5" customHeight="1" x14ac:dyDescent="0.3">
      <c r="A100" s="12" t="s">
        <v>234</v>
      </c>
      <c r="B100" s="12" t="s">
        <v>954</v>
      </c>
      <c r="C100" s="12" t="s">
        <v>1086</v>
      </c>
      <c r="D100" s="12" t="s">
        <v>907</v>
      </c>
    </row>
    <row r="101" spans="1:6" ht="14.5" customHeight="1" x14ac:dyDescent="0.3">
      <c r="A101" s="12" t="s">
        <v>235</v>
      </c>
      <c r="B101" s="12" t="s">
        <v>1087</v>
      </c>
      <c r="C101" s="12" t="s">
        <v>1088</v>
      </c>
      <c r="D101" s="12" t="s">
        <v>907</v>
      </c>
    </row>
    <row r="102" spans="1:6" ht="14.5" customHeight="1" x14ac:dyDescent="0.3">
      <c r="A102" s="12" t="s">
        <v>236</v>
      </c>
      <c r="B102" s="12" t="s">
        <v>1081</v>
      </c>
      <c r="C102" s="12" t="s">
        <v>1089</v>
      </c>
      <c r="D102" s="12" t="s">
        <v>907</v>
      </c>
    </row>
    <row r="103" spans="1:6" ht="14.5" customHeight="1" x14ac:dyDescent="0.3">
      <c r="A103" s="12" t="s">
        <v>237</v>
      </c>
      <c r="B103" s="12" t="s">
        <v>1090</v>
      </c>
      <c r="C103" s="12" t="s">
        <v>1091</v>
      </c>
      <c r="D103" s="12" t="s">
        <v>907</v>
      </c>
    </row>
    <row r="104" spans="1:6" ht="14.5" customHeight="1" x14ac:dyDescent="0.3">
      <c r="A104" s="12" t="s">
        <v>238</v>
      </c>
      <c r="B104" s="12" t="s">
        <v>1092</v>
      </c>
      <c r="C104" s="12" t="s">
        <v>1093</v>
      </c>
      <c r="D104" s="12" t="s">
        <v>1094</v>
      </c>
      <c r="E104" s="12" t="s">
        <v>907</v>
      </c>
    </row>
    <row r="105" spans="1:6" s="13" customFormat="1" ht="14.5" customHeight="1" x14ac:dyDescent="0.3">
      <c r="A105" s="13" t="s">
        <v>239</v>
      </c>
      <c r="B105" s="13" t="e">
        <v>#VALUE!</v>
      </c>
      <c r="C105" s="13" t="e">
        <v>#VALUE!</v>
      </c>
      <c r="D105" s="13" t="s">
        <v>956</v>
      </c>
    </row>
    <row r="106" spans="1:6" ht="14.5" customHeight="1" x14ac:dyDescent="0.3">
      <c r="A106" s="12" t="s">
        <v>240</v>
      </c>
      <c r="B106" s="12" t="s">
        <v>902</v>
      </c>
      <c r="C106" s="12" t="s">
        <v>1095</v>
      </c>
      <c r="D106" s="12" t="s">
        <v>1096</v>
      </c>
      <c r="E106" s="12" t="s">
        <v>961</v>
      </c>
      <c r="F106" s="12" t="s">
        <v>1028</v>
      </c>
    </row>
    <row r="107" spans="1:6" ht="14.5" customHeight="1" x14ac:dyDescent="0.3">
      <c r="A107" s="12" t="s">
        <v>241</v>
      </c>
      <c r="B107" s="12" t="s">
        <v>902</v>
      </c>
      <c r="C107" s="12" t="s">
        <v>1097</v>
      </c>
      <c r="D107" s="12" t="s">
        <v>1027</v>
      </c>
      <c r="E107" s="12" t="s">
        <v>961</v>
      </c>
      <c r="F107" s="12" t="s">
        <v>1028</v>
      </c>
    </row>
    <row r="108" spans="1:6" ht="14.5" customHeight="1" x14ac:dyDescent="0.3">
      <c r="A108" s="12" t="s">
        <v>242</v>
      </c>
      <c r="B108" s="12" t="s">
        <v>902</v>
      </c>
      <c r="C108" s="12" t="s">
        <v>1098</v>
      </c>
      <c r="D108" s="12" t="s">
        <v>1099</v>
      </c>
      <c r="E108" s="12" t="s">
        <v>907</v>
      </c>
    </row>
    <row r="109" spans="1:6" ht="14.5" customHeight="1" x14ac:dyDescent="0.3">
      <c r="A109" s="12" t="s">
        <v>243</v>
      </c>
      <c r="B109" s="12" t="s">
        <v>902</v>
      </c>
      <c r="C109" s="12" t="s">
        <v>1100</v>
      </c>
      <c r="D109" s="12" t="s">
        <v>1101</v>
      </c>
      <c r="E109" s="12" t="s">
        <v>907</v>
      </c>
    </row>
    <row r="110" spans="1:6" ht="14.5" customHeight="1" x14ac:dyDescent="0.3">
      <c r="A110" s="12" t="s">
        <v>244</v>
      </c>
      <c r="B110" s="12" t="s">
        <v>902</v>
      </c>
      <c r="C110" s="12" t="s">
        <v>1102</v>
      </c>
      <c r="D110" s="12" t="s">
        <v>1101</v>
      </c>
      <c r="E110" s="12" t="s">
        <v>907</v>
      </c>
    </row>
    <row r="111" spans="1:6" ht="14.5" customHeight="1" x14ac:dyDescent="0.3">
      <c r="A111" s="12" t="s">
        <v>245</v>
      </c>
      <c r="B111" s="12" t="s">
        <v>902</v>
      </c>
      <c r="C111" s="12" t="s">
        <v>1103</v>
      </c>
      <c r="D111" s="12" t="s">
        <v>1101</v>
      </c>
      <c r="E111" s="12" t="s">
        <v>907</v>
      </c>
    </row>
    <row r="112" spans="1:6" ht="14.5" customHeight="1" x14ac:dyDescent="0.3">
      <c r="A112" s="12" t="s">
        <v>246</v>
      </c>
      <c r="B112" s="12" t="s">
        <v>902</v>
      </c>
      <c r="C112" s="12" t="s">
        <v>1104</v>
      </c>
      <c r="D112" s="12" t="s">
        <v>1006</v>
      </c>
      <c r="E112" s="12" t="s">
        <v>907</v>
      </c>
    </row>
    <row r="113" spans="1:6" ht="14.5" customHeight="1" x14ac:dyDescent="0.3">
      <c r="A113" s="12" t="s">
        <v>247</v>
      </c>
      <c r="B113" s="12" t="s">
        <v>902</v>
      </c>
      <c r="C113" s="12" t="s">
        <v>1105</v>
      </c>
      <c r="D113" s="12" t="s">
        <v>1106</v>
      </c>
      <c r="E113" s="12" t="s">
        <v>907</v>
      </c>
    </row>
    <row r="114" spans="1:6" ht="14.5" customHeight="1" x14ac:dyDescent="0.3">
      <c r="A114" s="12" t="s">
        <v>248</v>
      </c>
      <c r="B114" s="12" t="s">
        <v>902</v>
      </c>
      <c r="C114" s="12" t="s">
        <v>1107</v>
      </c>
      <c r="D114" s="12" t="s">
        <v>1027</v>
      </c>
      <c r="E114" s="12" t="s">
        <v>961</v>
      </c>
      <c r="F114" s="12" t="s">
        <v>1028</v>
      </c>
    </row>
    <row r="115" spans="1:6" ht="14.5" customHeight="1" x14ac:dyDescent="0.3">
      <c r="A115" s="12" t="s">
        <v>249</v>
      </c>
      <c r="B115" s="12" t="s">
        <v>908</v>
      </c>
      <c r="C115" s="12" t="s">
        <v>1108</v>
      </c>
      <c r="D115" s="12" t="s">
        <v>1109</v>
      </c>
      <c r="E115" s="12" t="s">
        <v>907</v>
      </c>
    </row>
    <row r="116" spans="1:6" ht="14.5" customHeight="1" x14ac:dyDescent="0.3">
      <c r="A116" s="12" t="s">
        <v>250</v>
      </c>
      <c r="B116" s="12" t="s">
        <v>908</v>
      </c>
      <c r="C116" s="12" t="s">
        <v>1110</v>
      </c>
      <c r="D116" s="12" t="s">
        <v>1014</v>
      </c>
      <c r="E116" s="12" t="s">
        <v>907</v>
      </c>
    </row>
    <row r="117" spans="1:6" ht="14.5" customHeight="1" x14ac:dyDescent="0.3">
      <c r="A117" s="12" t="s">
        <v>251</v>
      </c>
      <c r="B117" s="12" t="s">
        <v>908</v>
      </c>
      <c r="C117" s="12" t="s">
        <v>1111</v>
      </c>
      <c r="D117" s="12" t="s">
        <v>998</v>
      </c>
      <c r="E117" s="12" t="s">
        <v>907</v>
      </c>
    </row>
    <row r="118" spans="1:6" ht="14.5" customHeight="1" x14ac:dyDescent="0.3">
      <c r="A118" s="12" t="s">
        <v>252</v>
      </c>
      <c r="B118" s="12" t="s">
        <v>908</v>
      </c>
      <c r="C118" s="12" t="s">
        <v>1112</v>
      </c>
      <c r="D118" s="12" t="s">
        <v>1113</v>
      </c>
      <c r="E118" s="12" t="s">
        <v>907</v>
      </c>
    </row>
    <row r="119" spans="1:6" ht="14.5" customHeight="1" x14ac:dyDescent="0.3">
      <c r="A119" s="12" t="s">
        <v>253</v>
      </c>
      <c r="B119" s="12" t="s">
        <v>908</v>
      </c>
      <c r="C119" s="12" t="s">
        <v>1114</v>
      </c>
      <c r="D119" s="12" t="s">
        <v>1010</v>
      </c>
      <c r="E119" s="12" t="s">
        <v>907</v>
      </c>
    </row>
    <row r="120" spans="1:6" ht="14.5" customHeight="1" x14ac:dyDescent="0.3">
      <c r="A120" s="12" t="s">
        <v>254</v>
      </c>
      <c r="B120" s="12" t="s">
        <v>908</v>
      </c>
      <c r="C120" s="12" t="s">
        <v>1115</v>
      </c>
      <c r="D120" s="12" t="s">
        <v>1027</v>
      </c>
      <c r="E120" s="12" t="s">
        <v>961</v>
      </c>
      <c r="F120" s="12" t="s">
        <v>1028</v>
      </c>
    </row>
    <row r="121" spans="1:6" ht="14.5" customHeight="1" x14ac:dyDescent="0.3">
      <c r="A121" s="12" t="s">
        <v>255</v>
      </c>
      <c r="B121" s="12" t="s">
        <v>908</v>
      </c>
      <c r="C121" s="12" t="s">
        <v>1116</v>
      </c>
      <c r="D121" s="12" t="s">
        <v>1010</v>
      </c>
      <c r="E121" s="12" t="s">
        <v>907</v>
      </c>
    </row>
    <row r="122" spans="1:6" ht="14.5" customHeight="1" x14ac:dyDescent="0.3">
      <c r="A122" s="12" t="s">
        <v>256</v>
      </c>
      <c r="B122" s="12" t="s">
        <v>908</v>
      </c>
      <c r="C122" s="12" t="s">
        <v>1117</v>
      </c>
      <c r="D122" s="12" t="s">
        <v>907</v>
      </c>
    </row>
    <row r="123" spans="1:6" ht="14.5" customHeight="1" x14ac:dyDescent="0.3">
      <c r="A123" s="12" t="s">
        <v>257</v>
      </c>
      <c r="B123" s="12" t="s">
        <v>908</v>
      </c>
      <c r="C123" s="12" t="s">
        <v>1118</v>
      </c>
      <c r="D123" s="12" t="s">
        <v>1010</v>
      </c>
      <c r="E123" s="12" t="s">
        <v>907</v>
      </c>
    </row>
    <row r="124" spans="1:6" ht="14.5" customHeight="1" x14ac:dyDescent="0.3">
      <c r="A124" s="12" t="s">
        <v>258</v>
      </c>
      <c r="B124" s="12" t="s">
        <v>908</v>
      </c>
      <c r="C124" s="12" t="s">
        <v>1119</v>
      </c>
      <c r="D124" s="12" t="s">
        <v>981</v>
      </c>
      <c r="E124" s="12" t="s">
        <v>911</v>
      </c>
    </row>
    <row r="125" spans="1:6" ht="14.5" customHeight="1" x14ac:dyDescent="0.3">
      <c r="A125" s="12" t="s">
        <v>259</v>
      </c>
      <c r="B125" s="12" t="s">
        <v>977</v>
      </c>
      <c r="C125" s="12" t="s">
        <v>1120</v>
      </c>
      <c r="D125" s="12" t="s">
        <v>1054</v>
      </c>
      <c r="E125" s="12" t="s">
        <v>1121</v>
      </c>
    </row>
    <row r="126" spans="1:6" ht="14.5" customHeight="1" x14ac:dyDescent="0.3">
      <c r="A126" s="12" t="s">
        <v>260</v>
      </c>
      <c r="B126" s="12" t="s">
        <v>977</v>
      </c>
      <c r="C126" s="12" t="s">
        <v>1122</v>
      </c>
      <c r="D126" s="12" t="s">
        <v>1014</v>
      </c>
      <c r="E126" s="12" t="s">
        <v>907</v>
      </c>
    </row>
    <row r="127" spans="1:6" ht="14.5" customHeight="1" x14ac:dyDescent="0.3">
      <c r="A127" s="12" t="s">
        <v>261</v>
      </c>
      <c r="B127" s="12" t="s">
        <v>977</v>
      </c>
      <c r="C127" s="12" t="s">
        <v>1123</v>
      </c>
      <c r="D127" s="12" t="s">
        <v>1002</v>
      </c>
      <c r="E127" s="12" t="s">
        <v>907</v>
      </c>
    </row>
    <row r="128" spans="1:6" ht="14.5" customHeight="1" x14ac:dyDescent="0.3">
      <c r="A128" s="12" t="s">
        <v>262</v>
      </c>
      <c r="B128" s="12" t="s">
        <v>977</v>
      </c>
      <c r="C128" s="12" t="s">
        <v>1125</v>
      </c>
      <c r="D128" s="12" t="s">
        <v>1124</v>
      </c>
    </row>
    <row r="129" spans="1:5" ht="14.5" customHeight="1" x14ac:dyDescent="0.3">
      <c r="A129" s="12" t="s">
        <v>263</v>
      </c>
      <c r="B129" s="12" t="s">
        <v>977</v>
      </c>
      <c r="C129" s="12" t="s">
        <v>1126</v>
      </c>
      <c r="D129" s="12" t="s">
        <v>934</v>
      </c>
      <c r="E129" s="12" t="s">
        <v>907</v>
      </c>
    </row>
    <row r="130" spans="1:5" ht="14.5" customHeight="1" x14ac:dyDescent="0.3">
      <c r="A130" s="12" t="s">
        <v>264</v>
      </c>
      <c r="B130" s="12" t="s">
        <v>977</v>
      </c>
      <c r="C130" s="12" t="s">
        <v>1127</v>
      </c>
      <c r="D130" s="12" t="s">
        <v>981</v>
      </c>
      <c r="E130" s="12" t="s">
        <v>911</v>
      </c>
    </row>
    <row r="131" spans="1:5" ht="14.5" customHeight="1" x14ac:dyDescent="0.3">
      <c r="A131" s="12" t="s">
        <v>265</v>
      </c>
      <c r="B131" s="12" t="s">
        <v>977</v>
      </c>
      <c r="C131" s="12" t="s">
        <v>1128</v>
      </c>
      <c r="D131" s="12" t="s">
        <v>1006</v>
      </c>
      <c r="E131" s="12" t="s">
        <v>1129</v>
      </c>
    </row>
    <row r="132" spans="1:5" ht="14.5" customHeight="1" x14ac:dyDescent="0.3">
      <c r="A132" s="12" t="s">
        <v>266</v>
      </c>
      <c r="B132" s="12" t="s">
        <v>977</v>
      </c>
      <c r="C132" s="12" t="s">
        <v>1130</v>
      </c>
      <c r="D132" s="12" t="s">
        <v>907</v>
      </c>
    </row>
    <row r="133" spans="1:5" ht="14.5" customHeight="1" x14ac:dyDescent="0.3">
      <c r="A133" s="12" t="s">
        <v>267</v>
      </c>
      <c r="B133" s="12" t="s">
        <v>977</v>
      </c>
      <c r="C133" s="12" t="s">
        <v>1131</v>
      </c>
      <c r="D133" s="12" t="s">
        <v>1132</v>
      </c>
      <c r="E133" s="12" t="s">
        <v>907</v>
      </c>
    </row>
    <row r="134" spans="1:5" ht="14.5" customHeight="1" x14ac:dyDescent="0.3">
      <c r="A134" s="12" t="s">
        <v>268</v>
      </c>
      <c r="B134" s="12" t="s">
        <v>977</v>
      </c>
      <c r="C134" s="12" t="s">
        <v>1133</v>
      </c>
      <c r="D134" s="12" t="s">
        <v>1134</v>
      </c>
      <c r="E134" s="12" t="s">
        <v>907</v>
      </c>
    </row>
    <row r="135" spans="1:5" ht="14.5" customHeight="1" x14ac:dyDescent="0.3">
      <c r="A135" s="12" t="s">
        <v>269</v>
      </c>
      <c r="B135" s="12" t="s">
        <v>1019</v>
      </c>
      <c r="C135" s="12" t="s">
        <v>1135</v>
      </c>
      <c r="D135" s="12" t="s">
        <v>1012</v>
      </c>
      <c r="E135" s="12" t="s">
        <v>907</v>
      </c>
    </row>
    <row r="136" spans="1:5" ht="14.5" customHeight="1" x14ac:dyDescent="0.3">
      <c r="A136" s="12" t="s">
        <v>270</v>
      </c>
      <c r="B136" s="12" t="s">
        <v>1019</v>
      </c>
      <c r="C136" s="12" t="s">
        <v>1136</v>
      </c>
      <c r="D136" s="12" t="s">
        <v>1132</v>
      </c>
      <c r="E136" s="12" t="s">
        <v>1129</v>
      </c>
    </row>
    <row r="137" spans="1:5" ht="14.5" customHeight="1" x14ac:dyDescent="0.3">
      <c r="A137" s="12" t="s">
        <v>271</v>
      </c>
      <c r="B137" s="12" t="s">
        <v>1029</v>
      </c>
      <c r="C137" s="12" t="s">
        <v>1137</v>
      </c>
      <c r="D137" s="12" t="s">
        <v>1012</v>
      </c>
      <c r="E137" s="12" t="s">
        <v>1129</v>
      </c>
    </row>
    <row r="138" spans="1:5" ht="14.5" customHeight="1" x14ac:dyDescent="0.3">
      <c r="A138" s="12" t="s">
        <v>272</v>
      </c>
      <c r="B138" s="12" t="s">
        <v>1029</v>
      </c>
      <c r="C138" s="12" t="s">
        <v>1139</v>
      </c>
      <c r="D138" s="12" t="s">
        <v>1138</v>
      </c>
    </row>
    <row r="139" spans="1:5" ht="14.5" customHeight="1" x14ac:dyDescent="0.3">
      <c r="A139" s="12" t="s">
        <v>273</v>
      </c>
      <c r="B139" s="12" t="s">
        <v>1029</v>
      </c>
      <c r="C139" s="12" t="s">
        <v>1140</v>
      </c>
      <c r="D139" s="12" t="s">
        <v>1035</v>
      </c>
      <c r="E139" s="12" t="s">
        <v>907</v>
      </c>
    </row>
    <row r="140" spans="1:5" ht="14.5" customHeight="1" x14ac:dyDescent="0.3">
      <c r="A140" s="12" t="s">
        <v>274</v>
      </c>
      <c r="B140" s="12" t="s">
        <v>1029</v>
      </c>
      <c r="C140" s="12" t="s">
        <v>1141</v>
      </c>
      <c r="D140" s="12" t="s">
        <v>1037</v>
      </c>
      <c r="E140" s="12" t="s">
        <v>907</v>
      </c>
    </row>
    <row r="141" spans="1:5" ht="14.5" customHeight="1" x14ac:dyDescent="0.3">
      <c r="A141" s="12" t="s">
        <v>275</v>
      </c>
      <c r="B141" s="12" t="s">
        <v>913</v>
      </c>
      <c r="C141" s="12" t="s">
        <v>1142</v>
      </c>
      <c r="D141" s="12" t="s">
        <v>1143</v>
      </c>
      <c r="E141" s="12" t="s">
        <v>907</v>
      </c>
    </row>
    <row r="142" spans="1:5" ht="14.5" customHeight="1" x14ac:dyDescent="0.3">
      <c r="A142" s="12" t="s">
        <v>276</v>
      </c>
      <c r="B142" s="12" t="s">
        <v>913</v>
      </c>
      <c r="C142" s="12" t="s">
        <v>1144</v>
      </c>
      <c r="D142" s="12" t="s">
        <v>1143</v>
      </c>
      <c r="E142" s="12" t="s">
        <v>907</v>
      </c>
    </row>
    <row r="143" spans="1:5" ht="14.5" customHeight="1" x14ac:dyDescent="0.3">
      <c r="A143" s="12" t="s">
        <v>277</v>
      </c>
      <c r="B143" s="12" t="s">
        <v>913</v>
      </c>
      <c r="C143" s="12" t="s">
        <v>1145</v>
      </c>
      <c r="D143" s="12" t="s">
        <v>1132</v>
      </c>
      <c r="E143" s="12" t="s">
        <v>907</v>
      </c>
    </row>
    <row r="144" spans="1:5" ht="14.5" customHeight="1" x14ac:dyDescent="0.3">
      <c r="A144" s="12" t="s">
        <v>278</v>
      </c>
      <c r="B144" s="12" t="s">
        <v>1044</v>
      </c>
      <c r="C144" s="12" t="s">
        <v>1146</v>
      </c>
      <c r="D144" s="12" t="s">
        <v>1012</v>
      </c>
      <c r="E144" s="12" t="s">
        <v>907</v>
      </c>
    </row>
    <row r="145" spans="1:7" ht="14.5" customHeight="1" x14ac:dyDescent="0.3">
      <c r="A145" s="12" t="s">
        <v>279</v>
      </c>
      <c r="B145" s="12" t="s">
        <v>1044</v>
      </c>
      <c r="C145" s="12" t="s">
        <v>916</v>
      </c>
      <c r="D145" s="12" t="s">
        <v>917</v>
      </c>
      <c r="E145" s="12" t="s">
        <v>907</v>
      </c>
    </row>
    <row r="146" spans="1:7" ht="14.5" customHeight="1" x14ac:dyDescent="0.3">
      <c r="A146" s="12" t="s">
        <v>280</v>
      </c>
      <c r="B146" s="12" t="s">
        <v>937</v>
      </c>
      <c r="C146" s="12" t="e">
        <v>#VALUE!</v>
      </c>
      <c r="D146" s="12" t="s">
        <v>939</v>
      </c>
      <c r="E146" s="12" t="s">
        <v>940</v>
      </c>
      <c r="F146" s="12" t="s">
        <v>911</v>
      </c>
      <c r="G146" s="12" t="s">
        <v>941</v>
      </c>
    </row>
    <row r="147" spans="1:7" ht="14.5" customHeight="1" x14ac:dyDescent="0.3">
      <c r="A147" s="12" t="s">
        <v>281</v>
      </c>
      <c r="B147" s="12" t="s">
        <v>937</v>
      </c>
      <c r="C147" s="12" t="e">
        <v>#VALUE!</v>
      </c>
      <c r="D147" s="12" t="s">
        <v>915</v>
      </c>
      <c r="E147" s="12" t="s">
        <v>907</v>
      </c>
    </row>
    <row r="148" spans="1:7" ht="14.5" customHeight="1" x14ac:dyDescent="0.3">
      <c r="A148" s="12" t="s">
        <v>282</v>
      </c>
      <c r="B148" s="12" t="s">
        <v>937</v>
      </c>
      <c r="C148" s="12" t="e">
        <v>#VALUE!</v>
      </c>
      <c r="D148" s="12" t="s">
        <v>915</v>
      </c>
      <c r="E148" s="12" t="s">
        <v>907</v>
      </c>
    </row>
    <row r="149" spans="1:7" ht="14.5" customHeight="1" x14ac:dyDescent="0.3">
      <c r="A149" s="12" t="s">
        <v>283</v>
      </c>
      <c r="B149" s="12" t="s">
        <v>937</v>
      </c>
      <c r="C149" s="12" t="e">
        <v>#VALUE!</v>
      </c>
      <c r="D149" s="12" t="s">
        <v>915</v>
      </c>
      <c r="E149" s="12" t="s">
        <v>907</v>
      </c>
    </row>
    <row r="150" spans="1:7" ht="14.5" customHeight="1" x14ac:dyDescent="0.3">
      <c r="A150" s="12" t="s">
        <v>284</v>
      </c>
      <c r="B150" s="12" t="s">
        <v>942</v>
      </c>
      <c r="C150" s="12" t="e">
        <v>#VALUE!</v>
      </c>
      <c r="D150" s="12" t="s">
        <v>951</v>
      </c>
      <c r="E150" s="12" t="s">
        <v>961</v>
      </c>
      <c r="F150" s="12" t="s">
        <v>1055</v>
      </c>
    </row>
    <row r="151" spans="1:7" ht="14.5" customHeight="1" x14ac:dyDescent="0.3">
      <c r="A151" s="12" t="s">
        <v>285</v>
      </c>
      <c r="B151" s="12" t="s">
        <v>942</v>
      </c>
      <c r="C151" s="12" t="s">
        <v>1147</v>
      </c>
      <c r="D151" s="12" t="s">
        <v>951</v>
      </c>
      <c r="E151" s="12" t="s">
        <v>907</v>
      </c>
    </row>
    <row r="152" spans="1:7" ht="14.5" customHeight="1" x14ac:dyDescent="0.3">
      <c r="A152" s="12" t="s">
        <v>286</v>
      </c>
      <c r="B152" s="12" t="s">
        <v>942</v>
      </c>
      <c r="C152" s="12" t="s">
        <v>1148</v>
      </c>
      <c r="D152" s="12" t="s">
        <v>1149</v>
      </c>
      <c r="E152" s="12" t="s">
        <v>911</v>
      </c>
    </row>
    <row r="153" spans="1:7" ht="14.5" customHeight="1" x14ac:dyDescent="0.3">
      <c r="A153" s="12" t="s">
        <v>287</v>
      </c>
      <c r="B153" s="12" t="s">
        <v>944</v>
      </c>
      <c r="C153" s="12" t="s">
        <v>1150</v>
      </c>
      <c r="D153" s="12" t="s">
        <v>907</v>
      </c>
    </row>
    <row r="154" spans="1:7" ht="14.5" customHeight="1" x14ac:dyDescent="0.3">
      <c r="A154" s="12" t="s">
        <v>288</v>
      </c>
      <c r="B154" s="12" t="s">
        <v>954</v>
      </c>
      <c r="C154" s="12" t="s">
        <v>1151</v>
      </c>
      <c r="D154" s="12" t="s">
        <v>907</v>
      </c>
      <c r="E154" s="12" t="s">
        <v>941</v>
      </c>
    </row>
    <row r="155" spans="1:7" ht="14.5" customHeight="1" x14ac:dyDescent="0.3">
      <c r="A155" s="12" t="s">
        <v>289</v>
      </c>
      <c r="B155" s="12" t="s">
        <v>1076</v>
      </c>
      <c r="C155" s="12" t="s">
        <v>1153</v>
      </c>
      <c r="D155" s="12" t="s">
        <v>1152</v>
      </c>
    </row>
    <row r="156" spans="1:7" ht="14.5" customHeight="1" x14ac:dyDescent="0.3">
      <c r="A156" s="12" t="s">
        <v>290</v>
      </c>
      <c r="B156" s="12" t="s">
        <v>1076</v>
      </c>
      <c r="C156" s="12" t="s">
        <v>1154</v>
      </c>
      <c r="D156" s="12" t="s">
        <v>1152</v>
      </c>
    </row>
    <row r="157" spans="1:7" s="13" customFormat="1" ht="14.5" customHeight="1" x14ac:dyDescent="0.3">
      <c r="A157" s="13" t="s">
        <v>291</v>
      </c>
      <c r="B157" s="13" t="e">
        <v>#VALUE!</v>
      </c>
      <c r="C157" s="13" t="e">
        <v>#VALUE!</v>
      </c>
      <c r="D157" s="13" t="s">
        <v>956</v>
      </c>
    </row>
    <row r="158" spans="1:7" ht="14.5" customHeight="1" x14ac:dyDescent="0.3">
      <c r="A158" s="12" t="s">
        <v>292</v>
      </c>
      <c r="B158" s="12" t="s">
        <v>902</v>
      </c>
      <c r="C158" s="12" t="s">
        <v>1155</v>
      </c>
      <c r="D158" s="12" t="s">
        <v>1101</v>
      </c>
      <c r="E158" s="12" t="s">
        <v>907</v>
      </c>
    </row>
    <row r="159" spans="1:7" ht="14.5" customHeight="1" x14ac:dyDescent="0.3">
      <c r="A159" s="12" t="s">
        <v>293</v>
      </c>
      <c r="B159" s="12" t="s">
        <v>937</v>
      </c>
      <c r="C159" s="12" t="s">
        <v>1156</v>
      </c>
      <c r="D159" s="12" t="s">
        <v>1101</v>
      </c>
      <c r="E159" s="12" t="s">
        <v>907</v>
      </c>
    </row>
    <row r="160" spans="1:7" ht="14.5" customHeight="1" x14ac:dyDescent="0.3">
      <c r="A160" s="12" t="s">
        <v>294</v>
      </c>
      <c r="B160" s="12" t="s">
        <v>902</v>
      </c>
      <c r="C160" s="12" t="s">
        <v>1157</v>
      </c>
      <c r="D160" s="12" t="s">
        <v>907</v>
      </c>
    </row>
    <row r="161" spans="1:7" ht="14.5" customHeight="1" x14ac:dyDescent="0.3">
      <c r="A161" s="12" t="s">
        <v>295</v>
      </c>
      <c r="B161" s="12" t="s">
        <v>908</v>
      </c>
      <c r="C161" s="12" t="s">
        <v>1158</v>
      </c>
      <c r="D161" s="12" t="s">
        <v>907</v>
      </c>
    </row>
    <row r="162" spans="1:7" ht="14.5" customHeight="1" x14ac:dyDescent="0.3">
      <c r="A162" s="12" t="s">
        <v>296</v>
      </c>
      <c r="B162" s="12" t="s">
        <v>1159</v>
      </c>
      <c r="C162" s="12" t="s">
        <v>1160</v>
      </c>
      <c r="D162" s="12" t="s">
        <v>907</v>
      </c>
    </row>
    <row r="163" spans="1:7" ht="14.5" customHeight="1" x14ac:dyDescent="0.3">
      <c r="A163" s="12" t="s">
        <v>297</v>
      </c>
      <c r="B163" s="12" t="s">
        <v>1162</v>
      </c>
      <c r="C163" s="12" t="s">
        <v>1163</v>
      </c>
      <c r="D163" s="12" t="s">
        <v>1161</v>
      </c>
    </row>
    <row r="164" spans="1:7" ht="14.5" customHeight="1" x14ac:dyDescent="0.3">
      <c r="A164" s="12" t="s">
        <v>298</v>
      </c>
      <c r="B164" s="12" t="s">
        <v>1050</v>
      </c>
      <c r="C164" s="12" t="s">
        <v>1164</v>
      </c>
      <c r="D164" s="12" t="s">
        <v>907</v>
      </c>
    </row>
    <row r="165" spans="1:7" ht="14.5" customHeight="1" x14ac:dyDescent="0.3">
      <c r="A165" s="12" t="s">
        <v>299</v>
      </c>
      <c r="B165" s="12" t="s">
        <v>946</v>
      </c>
      <c r="C165" s="12" t="s">
        <v>1165</v>
      </c>
      <c r="D165" s="12" t="s">
        <v>1054</v>
      </c>
      <c r="E165" s="12" t="s">
        <v>1166</v>
      </c>
      <c r="F165" s="12" t="s">
        <v>1167</v>
      </c>
      <c r="G165" s="12" t="s">
        <v>1168</v>
      </c>
    </row>
    <row r="166" spans="1:7" s="13" customFormat="1" ht="14.5" customHeight="1" x14ac:dyDescent="0.3">
      <c r="A166" s="13" t="s">
        <v>300</v>
      </c>
      <c r="B166" s="13" t="e">
        <v>#VALUE!</v>
      </c>
      <c r="C166" s="13" t="e">
        <v>#VALUE!</v>
      </c>
      <c r="D166" s="13" t="s">
        <v>956</v>
      </c>
    </row>
    <row r="167" spans="1:7" s="13" customFormat="1" ht="14.5" customHeight="1" x14ac:dyDescent="0.3">
      <c r="A167" s="13" t="s">
        <v>301</v>
      </c>
      <c r="B167" s="13" t="e">
        <v>#VALUE!</v>
      </c>
      <c r="C167" s="13" t="e">
        <v>#VALUE!</v>
      </c>
      <c r="D167" s="13" t="s">
        <v>956</v>
      </c>
    </row>
    <row r="168" spans="1:7" ht="14.5" customHeight="1" x14ac:dyDescent="0.3">
      <c r="A168" s="12" t="s">
        <v>302</v>
      </c>
      <c r="B168" s="12" t="s">
        <v>902</v>
      </c>
      <c r="C168" s="12" t="s">
        <v>1169</v>
      </c>
      <c r="D168" s="12" t="s">
        <v>907</v>
      </c>
    </row>
    <row r="169" spans="1:7" ht="14.5" customHeight="1" x14ac:dyDescent="0.3">
      <c r="A169" s="12" t="s">
        <v>303</v>
      </c>
      <c r="B169" s="12" t="s">
        <v>1029</v>
      </c>
      <c r="C169" s="12" t="s">
        <v>1170</v>
      </c>
      <c r="D169" s="12" t="s">
        <v>907</v>
      </c>
    </row>
    <row r="170" spans="1:7" ht="14.5" customHeight="1" x14ac:dyDescent="0.3">
      <c r="A170" s="12" t="s">
        <v>304</v>
      </c>
      <c r="B170" s="12" t="s">
        <v>1029</v>
      </c>
      <c r="C170" s="12" t="s">
        <v>1171</v>
      </c>
      <c r="D170" s="12" t="s">
        <v>907</v>
      </c>
    </row>
    <row r="171" spans="1:7" ht="14.5" customHeight="1" x14ac:dyDescent="0.3">
      <c r="A171" s="12" t="s">
        <v>305</v>
      </c>
      <c r="B171" s="12" t="s">
        <v>1029</v>
      </c>
      <c r="C171" s="12" t="s">
        <v>1172</v>
      </c>
      <c r="D171" s="12" t="s">
        <v>907</v>
      </c>
    </row>
    <row r="172" spans="1:7" ht="14.5" customHeight="1" x14ac:dyDescent="0.3">
      <c r="A172" s="12" t="s">
        <v>306</v>
      </c>
      <c r="B172" s="12" t="s">
        <v>1044</v>
      </c>
      <c r="C172" s="12" t="s">
        <v>1173</v>
      </c>
      <c r="D172" s="12" t="s">
        <v>907</v>
      </c>
    </row>
    <row r="173" spans="1:7" s="13" customFormat="1" ht="14.5" customHeight="1" x14ac:dyDescent="0.3">
      <c r="A173" s="13" t="s">
        <v>307</v>
      </c>
      <c r="B173" s="13" t="e">
        <v>#VALUE!</v>
      </c>
      <c r="C173" s="13" t="e">
        <v>#VALUE!</v>
      </c>
      <c r="D173" s="13" t="s">
        <v>956</v>
      </c>
    </row>
    <row r="174" spans="1:7" ht="14.5" customHeight="1" x14ac:dyDescent="0.3">
      <c r="A174" s="12" t="s">
        <v>308</v>
      </c>
      <c r="B174" s="12" t="s">
        <v>902</v>
      </c>
      <c r="C174" s="12" t="s">
        <v>1174</v>
      </c>
      <c r="D174" s="12" t="s">
        <v>904</v>
      </c>
      <c r="E174" s="12" t="s">
        <v>907</v>
      </c>
    </row>
    <row r="175" spans="1:7" ht="14.5" customHeight="1" x14ac:dyDescent="0.3">
      <c r="A175" s="12" t="s">
        <v>309</v>
      </c>
      <c r="B175" s="12" t="s">
        <v>902</v>
      </c>
      <c r="C175" s="12" t="s">
        <v>1175</v>
      </c>
      <c r="D175" s="12" t="s">
        <v>904</v>
      </c>
      <c r="E175" s="12" t="s">
        <v>907</v>
      </c>
    </row>
    <row r="176" spans="1:7" ht="14.5" customHeight="1" x14ac:dyDescent="0.3">
      <c r="A176" s="12" t="s">
        <v>310</v>
      </c>
      <c r="B176" s="12" t="s">
        <v>902</v>
      </c>
      <c r="C176" s="12" t="s">
        <v>1176</v>
      </c>
      <c r="D176" s="12" t="s">
        <v>1177</v>
      </c>
      <c r="E176" s="12" t="s">
        <v>907</v>
      </c>
    </row>
    <row r="177" spans="1:7" ht="14.5" customHeight="1" x14ac:dyDescent="0.3">
      <c r="A177" s="12" t="s">
        <v>311</v>
      </c>
      <c r="B177" s="12" t="s">
        <v>902</v>
      </c>
      <c r="C177" s="12" t="s">
        <v>1178</v>
      </c>
      <c r="D177" s="12" t="s">
        <v>1177</v>
      </c>
      <c r="E177" s="12" t="s">
        <v>907</v>
      </c>
    </row>
    <row r="178" spans="1:7" ht="14.5" customHeight="1" x14ac:dyDescent="0.3">
      <c r="A178" s="12" t="s">
        <v>312</v>
      </c>
      <c r="B178" s="12" t="s">
        <v>902</v>
      </c>
      <c r="C178" s="12" t="s">
        <v>1179</v>
      </c>
      <c r="D178" s="12" t="s">
        <v>1180</v>
      </c>
      <c r="E178" s="12" t="s">
        <v>907</v>
      </c>
    </row>
    <row r="179" spans="1:7" ht="14.5" customHeight="1" x14ac:dyDescent="0.3">
      <c r="A179" s="12" t="s">
        <v>313</v>
      </c>
      <c r="B179" s="12" t="s">
        <v>902</v>
      </c>
      <c r="C179" s="12" t="s">
        <v>1181</v>
      </c>
      <c r="D179" s="12" t="s">
        <v>1096</v>
      </c>
      <c r="E179" s="12" t="s">
        <v>961</v>
      </c>
      <c r="F179" s="12" t="s">
        <v>1028</v>
      </c>
    </row>
    <row r="180" spans="1:7" ht="14.5" customHeight="1" x14ac:dyDescent="0.3">
      <c r="A180" s="12" t="s">
        <v>314</v>
      </c>
      <c r="B180" s="12" t="s">
        <v>902</v>
      </c>
      <c r="C180" s="12" t="s">
        <v>1182</v>
      </c>
      <c r="D180" s="12" t="s">
        <v>1183</v>
      </c>
      <c r="E180" s="12" t="s">
        <v>907</v>
      </c>
    </row>
    <row r="181" spans="1:7" ht="14.5" customHeight="1" x14ac:dyDescent="0.3">
      <c r="A181" s="12" t="s">
        <v>315</v>
      </c>
      <c r="B181" s="12" t="s">
        <v>902</v>
      </c>
      <c r="C181" s="12" t="s">
        <v>1184</v>
      </c>
      <c r="D181" s="12" t="s">
        <v>1185</v>
      </c>
      <c r="E181" s="12" t="s">
        <v>907</v>
      </c>
    </row>
    <row r="182" spans="1:7" ht="14.5" customHeight="1" x14ac:dyDescent="0.3">
      <c r="A182" s="12" t="s">
        <v>316</v>
      </c>
      <c r="B182" s="12" t="s">
        <v>902</v>
      </c>
      <c r="C182" s="12" t="s">
        <v>1186</v>
      </c>
      <c r="D182" s="12" t="s">
        <v>1180</v>
      </c>
      <c r="E182" s="12" t="s">
        <v>907</v>
      </c>
    </row>
    <row r="183" spans="1:7" ht="14.5" customHeight="1" x14ac:dyDescent="0.3">
      <c r="A183" s="12" t="s">
        <v>317</v>
      </c>
      <c r="B183" s="12" t="s">
        <v>902</v>
      </c>
      <c r="C183" s="12" t="s">
        <v>1187</v>
      </c>
      <c r="D183" s="12" t="s">
        <v>1109</v>
      </c>
      <c r="E183" s="12" t="s">
        <v>907</v>
      </c>
    </row>
    <row r="184" spans="1:7" ht="14.5" customHeight="1" x14ac:dyDescent="0.3">
      <c r="A184" s="12" t="s">
        <v>318</v>
      </c>
      <c r="B184" s="12" t="s">
        <v>902</v>
      </c>
      <c r="C184" s="12" t="s">
        <v>1188</v>
      </c>
      <c r="D184" s="12" t="s">
        <v>1189</v>
      </c>
      <c r="E184" s="12" t="s">
        <v>1190</v>
      </c>
      <c r="F184" s="12" t="s">
        <v>1191</v>
      </c>
      <c r="G184" s="12" t="s">
        <v>907</v>
      </c>
    </row>
    <row r="185" spans="1:7" ht="14.5" customHeight="1" x14ac:dyDescent="0.3">
      <c r="A185" s="12" t="s">
        <v>319</v>
      </c>
      <c r="B185" s="12" t="s">
        <v>902</v>
      </c>
      <c r="C185" s="12" t="s">
        <v>1192</v>
      </c>
      <c r="D185" s="12" t="s">
        <v>1193</v>
      </c>
      <c r="E185" s="12" t="s">
        <v>961</v>
      </c>
      <c r="F185" s="12" t="s">
        <v>1023</v>
      </c>
    </row>
    <row r="186" spans="1:7" ht="14.5" customHeight="1" x14ac:dyDescent="0.3">
      <c r="A186" s="12" t="s">
        <v>320</v>
      </c>
      <c r="B186" s="12" t="s">
        <v>902</v>
      </c>
      <c r="C186" s="12" t="s">
        <v>1194</v>
      </c>
      <c r="D186" s="12" t="s">
        <v>1106</v>
      </c>
      <c r="E186" s="12" t="s">
        <v>907</v>
      </c>
    </row>
    <row r="187" spans="1:7" ht="14.5" customHeight="1" x14ac:dyDescent="0.3">
      <c r="A187" s="12" t="s">
        <v>321</v>
      </c>
      <c r="B187" s="12" t="s">
        <v>902</v>
      </c>
      <c r="C187" s="12" t="s">
        <v>1103</v>
      </c>
      <c r="D187" s="12" t="s">
        <v>1195</v>
      </c>
      <c r="E187" s="12" t="s">
        <v>911</v>
      </c>
    </row>
    <row r="188" spans="1:7" ht="14.5" customHeight="1" x14ac:dyDescent="0.3">
      <c r="A188" s="12" t="s">
        <v>322</v>
      </c>
      <c r="B188" s="12" t="s">
        <v>902</v>
      </c>
      <c r="C188" s="12" t="s">
        <v>898</v>
      </c>
      <c r="D188" s="12" t="s">
        <v>1196</v>
      </c>
      <c r="E188" s="12" t="s">
        <v>1197</v>
      </c>
      <c r="F188" s="12" t="s">
        <v>907</v>
      </c>
    </row>
    <row r="189" spans="1:7" ht="14.5" customHeight="1" x14ac:dyDescent="0.3">
      <c r="A189" s="12" t="s">
        <v>323</v>
      </c>
      <c r="B189" s="12" t="s">
        <v>902</v>
      </c>
      <c r="C189" s="12" t="s">
        <v>1198</v>
      </c>
      <c r="D189" s="12" t="s">
        <v>1199</v>
      </c>
      <c r="E189" s="12" t="s">
        <v>961</v>
      </c>
      <c r="F189" s="12" t="s">
        <v>1028</v>
      </c>
    </row>
    <row r="190" spans="1:7" ht="14.5" customHeight="1" x14ac:dyDescent="0.3">
      <c r="A190" s="12" t="s">
        <v>324</v>
      </c>
      <c r="B190" s="12" t="s">
        <v>908</v>
      </c>
      <c r="C190" s="12" t="s">
        <v>1200</v>
      </c>
      <c r="D190" s="12" t="s">
        <v>907</v>
      </c>
    </row>
    <row r="191" spans="1:7" ht="14.5" customHeight="1" x14ac:dyDescent="0.3">
      <c r="A191" s="12" t="s">
        <v>325</v>
      </c>
      <c r="B191" s="12" t="s">
        <v>908</v>
      </c>
      <c r="C191" s="12" t="s">
        <v>1201</v>
      </c>
      <c r="D191" s="12" t="s">
        <v>966</v>
      </c>
      <c r="E191" s="12" t="s">
        <v>907</v>
      </c>
    </row>
    <row r="192" spans="1:7" ht="14.5" customHeight="1" x14ac:dyDescent="0.3">
      <c r="A192" s="12" t="s">
        <v>326</v>
      </c>
      <c r="B192" s="12" t="s">
        <v>908</v>
      </c>
      <c r="C192" s="12" t="s">
        <v>1202</v>
      </c>
      <c r="D192" s="12" t="s">
        <v>1203</v>
      </c>
      <c r="E192" s="12" t="s">
        <v>907</v>
      </c>
    </row>
    <row r="193" spans="1:8" ht="14.5" customHeight="1" x14ac:dyDescent="0.3">
      <c r="A193" s="12" t="s">
        <v>327</v>
      </c>
      <c r="B193" s="12" t="s">
        <v>908</v>
      </c>
      <c r="C193" s="12" t="s">
        <v>1204</v>
      </c>
      <c r="D193" s="12" t="s">
        <v>966</v>
      </c>
      <c r="E193" s="12" t="s">
        <v>907</v>
      </c>
    </row>
    <row r="194" spans="1:8" ht="14.5" customHeight="1" x14ac:dyDescent="0.3">
      <c r="A194" s="12" t="s">
        <v>328</v>
      </c>
      <c r="B194" s="12" t="s">
        <v>908</v>
      </c>
      <c r="C194" s="12" t="s">
        <v>1205</v>
      </c>
      <c r="D194" s="12" t="s">
        <v>1206</v>
      </c>
      <c r="E194" s="12" t="s">
        <v>907</v>
      </c>
    </row>
    <row r="195" spans="1:8" ht="14.5" customHeight="1" x14ac:dyDescent="0.3">
      <c r="A195" s="12" t="s">
        <v>329</v>
      </c>
      <c r="B195" s="12" t="s">
        <v>908</v>
      </c>
      <c r="C195" s="12" t="s">
        <v>1207</v>
      </c>
      <c r="D195" s="12" t="s">
        <v>904</v>
      </c>
      <c r="E195" s="12" t="s">
        <v>972</v>
      </c>
      <c r="F195" s="12" t="s">
        <v>973</v>
      </c>
      <c r="G195" s="12" t="s">
        <v>907</v>
      </c>
    </row>
    <row r="196" spans="1:8" ht="14.5" customHeight="1" x14ac:dyDescent="0.3">
      <c r="A196" s="12" t="s">
        <v>330</v>
      </c>
      <c r="B196" s="12" t="s">
        <v>908</v>
      </c>
      <c r="C196" s="12" t="s">
        <v>1208</v>
      </c>
      <c r="D196" s="12" t="s">
        <v>904</v>
      </c>
      <c r="E196" s="12" t="s">
        <v>972</v>
      </c>
      <c r="F196" s="12" t="s">
        <v>973</v>
      </c>
      <c r="G196" s="12" t="s">
        <v>907</v>
      </c>
    </row>
    <row r="197" spans="1:8" ht="14.5" customHeight="1" x14ac:dyDescent="0.3">
      <c r="A197" s="12" t="s">
        <v>331</v>
      </c>
      <c r="B197" s="12" t="s">
        <v>908</v>
      </c>
      <c r="C197" s="12" t="s">
        <v>1209</v>
      </c>
      <c r="D197" s="12" t="s">
        <v>904</v>
      </c>
      <c r="E197" s="12" t="s">
        <v>1210</v>
      </c>
      <c r="F197" s="12" t="s">
        <v>972</v>
      </c>
      <c r="G197" s="12" t="s">
        <v>973</v>
      </c>
      <c r="H197" s="12" t="s">
        <v>907</v>
      </c>
    </row>
    <row r="198" spans="1:8" ht="14.5" customHeight="1" x14ac:dyDescent="0.3">
      <c r="A198" s="12" t="s">
        <v>332</v>
      </c>
      <c r="B198" s="12" t="s">
        <v>908</v>
      </c>
      <c r="C198" s="12" t="s">
        <v>1211</v>
      </c>
      <c r="D198" s="12" t="s">
        <v>1040</v>
      </c>
      <c r="E198" s="12" t="s">
        <v>911</v>
      </c>
    </row>
    <row r="199" spans="1:8" ht="14.5" customHeight="1" x14ac:dyDescent="0.3">
      <c r="A199" s="12" t="s">
        <v>333</v>
      </c>
      <c r="B199" s="12" t="s">
        <v>908</v>
      </c>
      <c r="C199" s="12" t="s">
        <v>1212</v>
      </c>
      <c r="D199" s="12" t="s">
        <v>1040</v>
      </c>
      <c r="E199" s="12" t="s">
        <v>911</v>
      </c>
    </row>
    <row r="200" spans="1:8" ht="14.5" customHeight="1" x14ac:dyDescent="0.3">
      <c r="A200" s="12" t="s">
        <v>334</v>
      </c>
      <c r="B200" s="12" t="s">
        <v>908</v>
      </c>
      <c r="C200" s="12" t="s">
        <v>1213</v>
      </c>
      <c r="D200" s="12" t="s">
        <v>1010</v>
      </c>
      <c r="E200" s="12" t="s">
        <v>907</v>
      </c>
    </row>
    <row r="201" spans="1:8" ht="14.5" customHeight="1" x14ac:dyDescent="0.3">
      <c r="A201" s="12" t="s">
        <v>335</v>
      </c>
      <c r="B201" s="12" t="s">
        <v>908</v>
      </c>
      <c r="C201" s="12" t="s">
        <v>1214</v>
      </c>
      <c r="D201" s="12" t="s">
        <v>907</v>
      </c>
    </row>
    <row r="202" spans="1:8" ht="14.5" customHeight="1" x14ac:dyDescent="0.3">
      <c r="A202" s="12" t="s">
        <v>336</v>
      </c>
      <c r="B202" s="12" t="s">
        <v>908</v>
      </c>
      <c r="C202" s="12" t="s">
        <v>1215</v>
      </c>
      <c r="D202" s="12" t="s">
        <v>921</v>
      </c>
      <c r="E202" s="12" t="s">
        <v>1216</v>
      </c>
      <c r="F202" s="12" t="s">
        <v>1217</v>
      </c>
      <c r="G202" s="12" t="s">
        <v>911</v>
      </c>
    </row>
    <row r="203" spans="1:8" ht="14.5" customHeight="1" x14ac:dyDescent="0.3">
      <c r="A203" s="12" t="s">
        <v>337</v>
      </c>
      <c r="B203" s="12" t="s">
        <v>977</v>
      </c>
      <c r="C203" s="12" t="s">
        <v>1218</v>
      </c>
      <c r="D203" s="12" t="s">
        <v>981</v>
      </c>
      <c r="E203" s="12" t="s">
        <v>911</v>
      </c>
    </row>
    <row r="204" spans="1:8" ht="14.5" customHeight="1" x14ac:dyDescent="0.3">
      <c r="A204" s="12" t="s">
        <v>338</v>
      </c>
      <c r="B204" s="12" t="s">
        <v>977</v>
      </c>
      <c r="C204" s="12" t="s">
        <v>1219</v>
      </c>
      <c r="D204" s="12" t="s">
        <v>966</v>
      </c>
      <c r="E204" s="12" t="s">
        <v>907</v>
      </c>
    </row>
    <row r="205" spans="1:8" ht="14.5" customHeight="1" x14ac:dyDescent="0.3">
      <c r="A205" s="12" t="s">
        <v>339</v>
      </c>
      <c r="B205" s="12" t="s">
        <v>977</v>
      </c>
      <c r="C205" s="12" t="s">
        <v>1220</v>
      </c>
      <c r="D205" s="12" t="s">
        <v>966</v>
      </c>
      <c r="E205" s="12" t="s">
        <v>907</v>
      </c>
    </row>
    <row r="206" spans="1:8" ht="14.5" customHeight="1" x14ac:dyDescent="0.3">
      <c r="A206" s="12" t="s">
        <v>340</v>
      </c>
      <c r="B206" s="12" t="s">
        <v>977</v>
      </c>
      <c r="C206" s="12" t="s">
        <v>1221</v>
      </c>
      <c r="D206" s="12" t="s">
        <v>1132</v>
      </c>
      <c r="E206" s="12" t="s">
        <v>907</v>
      </c>
    </row>
    <row r="207" spans="1:8" ht="14.5" customHeight="1" x14ac:dyDescent="0.3">
      <c r="A207" s="12" t="s">
        <v>341</v>
      </c>
      <c r="B207" s="12" t="s">
        <v>977</v>
      </c>
      <c r="C207" s="12" t="s">
        <v>1222</v>
      </c>
      <c r="D207" s="12" t="s">
        <v>966</v>
      </c>
      <c r="E207" s="12" t="s">
        <v>907</v>
      </c>
    </row>
    <row r="208" spans="1:8" ht="14.5" customHeight="1" x14ac:dyDescent="0.3">
      <c r="A208" s="12" t="s">
        <v>342</v>
      </c>
      <c r="B208" s="12" t="s">
        <v>977</v>
      </c>
      <c r="C208" s="12" t="s">
        <v>1223</v>
      </c>
      <c r="D208" s="12" t="s">
        <v>1224</v>
      </c>
      <c r="E208" s="12" t="s">
        <v>1225</v>
      </c>
    </row>
    <row r="209" spans="1:7" ht="14.5" customHeight="1" x14ac:dyDescent="0.3">
      <c r="A209" s="12" t="s">
        <v>343</v>
      </c>
      <c r="B209" s="12" t="s">
        <v>1019</v>
      </c>
      <c r="C209" s="12" t="s">
        <v>1226</v>
      </c>
      <c r="D209" s="12" t="s">
        <v>910</v>
      </c>
      <c r="E209" s="12" t="s">
        <v>911</v>
      </c>
    </row>
    <row r="210" spans="1:7" ht="14.5" customHeight="1" x14ac:dyDescent="0.3">
      <c r="A210" s="12" t="s">
        <v>344</v>
      </c>
      <c r="B210" s="12" t="s">
        <v>1019</v>
      </c>
      <c r="C210" s="12" t="s">
        <v>1227</v>
      </c>
      <c r="D210" s="12" t="s">
        <v>1000</v>
      </c>
      <c r="E210" s="12" t="s">
        <v>1228</v>
      </c>
      <c r="F210" s="12" t="s">
        <v>907</v>
      </c>
    </row>
    <row r="211" spans="1:7" ht="14.5" customHeight="1" x14ac:dyDescent="0.3">
      <c r="A211" s="12" t="s">
        <v>345</v>
      </c>
      <c r="B211" s="12" t="s">
        <v>1029</v>
      </c>
      <c r="C211" s="12" t="s">
        <v>1229</v>
      </c>
      <c r="D211" s="12" t="s">
        <v>1230</v>
      </c>
      <c r="E211" s="12" t="s">
        <v>1231</v>
      </c>
    </row>
    <row r="212" spans="1:7" ht="14.5" customHeight="1" x14ac:dyDescent="0.3">
      <c r="A212" s="12" t="s">
        <v>346</v>
      </c>
      <c r="B212" s="12" t="s">
        <v>1029</v>
      </c>
      <c r="C212" s="12" t="s">
        <v>1232</v>
      </c>
      <c r="D212" s="12" t="s">
        <v>1000</v>
      </c>
      <c r="E212" s="12" t="s">
        <v>1233</v>
      </c>
      <c r="F212" s="12" t="s">
        <v>961</v>
      </c>
      <c r="G212" s="12" t="s">
        <v>1234</v>
      </c>
    </row>
    <row r="213" spans="1:7" ht="14.5" customHeight="1" x14ac:dyDescent="0.3">
      <c r="A213" s="12" t="s">
        <v>347</v>
      </c>
      <c r="B213" s="12" t="s">
        <v>1029</v>
      </c>
      <c r="C213" s="12" t="s">
        <v>1235</v>
      </c>
      <c r="D213" s="12" t="s">
        <v>1032</v>
      </c>
      <c r="E213" s="12" t="s">
        <v>907</v>
      </c>
    </row>
    <row r="214" spans="1:7" ht="14.5" customHeight="1" x14ac:dyDescent="0.3">
      <c r="A214" s="12" t="s">
        <v>348</v>
      </c>
      <c r="B214" s="12" t="s">
        <v>913</v>
      </c>
      <c r="C214" s="12" t="s">
        <v>1236</v>
      </c>
      <c r="D214" s="12" t="s">
        <v>1032</v>
      </c>
      <c r="E214" s="12" t="s">
        <v>907</v>
      </c>
    </row>
    <row r="215" spans="1:7" ht="14.5" customHeight="1" x14ac:dyDescent="0.3">
      <c r="A215" s="12" t="s">
        <v>349</v>
      </c>
      <c r="B215" s="12" t="s">
        <v>913</v>
      </c>
      <c r="C215" s="12" t="s">
        <v>1043</v>
      </c>
      <c r="D215" s="12" t="s">
        <v>907</v>
      </c>
    </row>
    <row r="216" spans="1:7" ht="14.5" customHeight="1" x14ac:dyDescent="0.3">
      <c r="A216" s="12" t="s">
        <v>350</v>
      </c>
      <c r="B216" s="12" t="s">
        <v>913</v>
      </c>
      <c r="C216" s="12" t="s">
        <v>1237</v>
      </c>
      <c r="D216" s="12" t="s">
        <v>921</v>
      </c>
      <c r="E216" s="12" t="s">
        <v>1216</v>
      </c>
      <c r="F216" s="12" t="s">
        <v>1238</v>
      </c>
      <c r="G216" s="12" t="s">
        <v>911</v>
      </c>
    </row>
    <row r="217" spans="1:7" ht="14.5" customHeight="1" x14ac:dyDescent="0.3">
      <c r="A217" s="12" t="s">
        <v>351</v>
      </c>
      <c r="B217" s="12" t="s">
        <v>913</v>
      </c>
      <c r="C217" s="12" t="s">
        <v>1239</v>
      </c>
      <c r="D217" s="12" t="s">
        <v>921</v>
      </c>
      <c r="E217" s="12" t="s">
        <v>1216</v>
      </c>
      <c r="F217" s="12" t="s">
        <v>911</v>
      </c>
    </row>
    <row r="218" spans="1:7" ht="14.5" customHeight="1" x14ac:dyDescent="0.3">
      <c r="A218" s="12" t="s">
        <v>352</v>
      </c>
      <c r="B218" s="12" t="s">
        <v>913</v>
      </c>
      <c r="C218" s="12" t="s">
        <v>1240</v>
      </c>
      <c r="D218" s="12" t="s">
        <v>1132</v>
      </c>
      <c r="E218" s="12" t="s">
        <v>907</v>
      </c>
    </row>
    <row r="219" spans="1:7" ht="14.5" customHeight="1" x14ac:dyDescent="0.3">
      <c r="A219" s="12" t="s">
        <v>353</v>
      </c>
      <c r="B219" s="12" t="s">
        <v>913</v>
      </c>
      <c r="C219" s="12" t="s">
        <v>1241</v>
      </c>
      <c r="D219" s="12" t="s">
        <v>921</v>
      </c>
      <c r="E219" s="12" t="s">
        <v>1216</v>
      </c>
      <c r="F219" s="12" t="s">
        <v>911</v>
      </c>
    </row>
    <row r="220" spans="1:7" ht="14.5" customHeight="1" x14ac:dyDescent="0.3">
      <c r="A220" s="12" t="s">
        <v>354</v>
      </c>
      <c r="B220" s="12" t="s">
        <v>913</v>
      </c>
      <c r="C220" s="12" t="s">
        <v>1242</v>
      </c>
      <c r="D220" s="12" t="s">
        <v>951</v>
      </c>
      <c r="E220" s="12" t="s">
        <v>911</v>
      </c>
    </row>
    <row r="221" spans="1:7" ht="14.5" customHeight="1" x14ac:dyDescent="0.3">
      <c r="A221" s="12" t="s">
        <v>355</v>
      </c>
      <c r="B221" s="12" t="s">
        <v>913</v>
      </c>
      <c r="C221" s="12" t="s">
        <v>1243</v>
      </c>
      <c r="D221" s="12" t="s">
        <v>934</v>
      </c>
      <c r="E221" s="12" t="s">
        <v>911</v>
      </c>
    </row>
    <row r="222" spans="1:7" ht="14.5" customHeight="1" x14ac:dyDescent="0.3">
      <c r="A222" s="12" t="s">
        <v>356</v>
      </c>
      <c r="B222" s="12" t="s">
        <v>913</v>
      </c>
      <c r="C222" s="12" t="s">
        <v>1244</v>
      </c>
      <c r="D222" s="12" t="s">
        <v>1032</v>
      </c>
      <c r="E222" s="12" t="s">
        <v>911</v>
      </c>
    </row>
    <row r="223" spans="1:7" ht="14.5" customHeight="1" x14ac:dyDescent="0.3">
      <c r="A223" s="12" t="s">
        <v>357</v>
      </c>
      <c r="B223" s="12" t="s">
        <v>913</v>
      </c>
      <c r="C223" s="12" t="s">
        <v>1245</v>
      </c>
      <c r="D223" s="12" t="s">
        <v>921</v>
      </c>
      <c r="E223" s="12" t="s">
        <v>1216</v>
      </c>
      <c r="F223" s="12" t="s">
        <v>911</v>
      </c>
    </row>
    <row r="224" spans="1:7" ht="14.5" customHeight="1" x14ac:dyDescent="0.3">
      <c r="A224" s="12" t="s">
        <v>358</v>
      </c>
      <c r="B224" s="12" t="s">
        <v>913</v>
      </c>
      <c r="C224" s="12" t="s">
        <v>1246</v>
      </c>
      <c r="D224" s="12" t="s">
        <v>1247</v>
      </c>
      <c r="E224" s="12" t="s">
        <v>1248</v>
      </c>
      <c r="F224" s="12" t="s">
        <v>911</v>
      </c>
    </row>
    <row r="225" spans="1:6" ht="14.5" customHeight="1" x14ac:dyDescent="0.3">
      <c r="A225" s="12" t="s">
        <v>359</v>
      </c>
      <c r="B225" s="12" t="s">
        <v>1044</v>
      </c>
      <c r="C225" s="12" t="s">
        <v>1249</v>
      </c>
      <c r="D225" s="12" t="s">
        <v>921</v>
      </c>
      <c r="E225" s="12" t="s">
        <v>922</v>
      </c>
      <c r="F225" s="12" t="s">
        <v>911</v>
      </c>
    </row>
    <row r="226" spans="1:6" ht="14.5" customHeight="1" x14ac:dyDescent="0.3">
      <c r="A226" s="12" t="s">
        <v>360</v>
      </c>
      <c r="B226" s="12" t="s">
        <v>1044</v>
      </c>
      <c r="C226" s="12" t="s">
        <v>1250</v>
      </c>
      <c r="D226" s="12" t="s">
        <v>1251</v>
      </c>
      <c r="E226" s="12" t="s">
        <v>911</v>
      </c>
    </row>
    <row r="227" spans="1:6" ht="14.5" customHeight="1" x14ac:dyDescent="0.3">
      <c r="A227" s="12" t="s">
        <v>361</v>
      </c>
      <c r="B227" s="12" t="s">
        <v>1044</v>
      </c>
      <c r="C227" s="12" t="s">
        <v>1252</v>
      </c>
      <c r="D227" s="12" t="s">
        <v>1012</v>
      </c>
      <c r="E227" s="12" t="s">
        <v>907</v>
      </c>
    </row>
    <row r="228" spans="1:6" ht="14.5" customHeight="1" x14ac:dyDescent="0.3">
      <c r="A228" s="12" t="s">
        <v>362</v>
      </c>
      <c r="B228" s="12" t="s">
        <v>926</v>
      </c>
      <c r="C228" s="12" t="s">
        <v>1253</v>
      </c>
      <c r="D228" s="12" t="s">
        <v>907</v>
      </c>
    </row>
    <row r="229" spans="1:6" ht="14.5" customHeight="1" x14ac:dyDescent="0.3">
      <c r="A229" s="12" t="s">
        <v>363</v>
      </c>
      <c r="B229" s="12" t="s">
        <v>926</v>
      </c>
      <c r="C229" s="12" t="s">
        <v>1254</v>
      </c>
      <c r="D229" s="12" t="s">
        <v>921</v>
      </c>
      <c r="E229" s="12" t="s">
        <v>907</v>
      </c>
    </row>
    <row r="230" spans="1:6" ht="14.5" customHeight="1" x14ac:dyDescent="0.3">
      <c r="A230" s="12" t="s">
        <v>364</v>
      </c>
      <c r="B230" s="12" t="s">
        <v>926</v>
      </c>
      <c r="C230" s="12" t="s">
        <v>1255</v>
      </c>
      <c r="D230" s="12" t="s">
        <v>1256</v>
      </c>
      <c r="E230" s="12" t="s">
        <v>911</v>
      </c>
    </row>
    <row r="231" spans="1:6" ht="14.5" customHeight="1" x14ac:dyDescent="0.3">
      <c r="A231" s="12" t="s">
        <v>365</v>
      </c>
      <c r="B231" s="12" t="s">
        <v>929</v>
      </c>
      <c r="C231" s="12" t="s">
        <v>1257</v>
      </c>
      <c r="D231" s="12" t="s">
        <v>915</v>
      </c>
      <c r="E231" s="12" t="s">
        <v>907</v>
      </c>
    </row>
    <row r="232" spans="1:6" ht="14.5" customHeight="1" x14ac:dyDescent="0.3">
      <c r="A232" s="12" t="s">
        <v>366</v>
      </c>
      <c r="B232" s="12" t="s">
        <v>929</v>
      </c>
      <c r="C232" s="12" t="s">
        <v>1258</v>
      </c>
      <c r="D232" s="12" t="s">
        <v>919</v>
      </c>
      <c r="E232" s="12" t="s">
        <v>911</v>
      </c>
      <c r="F232" s="12" t="s">
        <v>1259</v>
      </c>
    </row>
    <row r="233" spans="1:6" ht="14.5" customHeight="1" x14ac:dyDescent="0.3">
      <c r="A233" s="12" t="s">
        <v>367</v>
      </c>
      <c r="B233" s="12" t="s">
        <v>929</v>
      </c>
      <c r="C233" s="12" t="s">
        <v>1260</v>
      </c>
      <c r="D233" s="12" t="s">
        <v>915</v>
      </c>
      <c r="E233" s="12" t="s">
        <v>907</v>
      </c>
    </row>
    <row r="234" spans="1:6" ht="14.5" customHeight="1" x14ac:dyDescent="0.3">
      <c r="A234" s="12" t="s">
        <v>368</v>
      </c>
      <c r="B234" s="12" t="s">
        <v>929</v>
      </c>
      <c r="C234" s="12" t="s">
        <v>1261</v>
      </c>
      <c r="D234" s="12" t="s">
        <v>1262</v>
      </c>
      <c r="E234" s="12" t="s">
        <v>907</v>
      </c>
    </row>
    <row r="235" spans="1:6" ht="14.5" customHeight="1" x14ac:dyDescent="0.3">
      <c r="A235" s="12" t="s">
        <v>369</v>
      </c>
      <c r="B235" s="12" t="s">
        <v>929</v>
      </c>
      <c r="C235" s="12" t="s">
        <v>1263</v>
      </c>
      <c r="D235" s="12" t="s">
        <v>915</v>
      </c>
      <c r="E235" s="12" t="s">
        <v>907</v>
      </c>
    </row>
    <row r="236" spans="1:6" ht="14.5" customHeight="1" x14ac:dyDescent="0.3">
      <c r="A236" s="12" t="s">
        <v>370</v>
      </c>
      <c r="B236" s="12" t="s">
        <v>929</v>
      </c>
      <c r="C236" s="12" t="s">
        <v>1264</v>
      </c>
      <c r="D236" s="12" t="s">
        <v>1265</v>
      </c>
      <c r="E236" s="12" t="s">
        <v>907</v>
      </c>
    </row>
    <row r="237" spans="1:6" ht="14.5" customHeight="1" x14ac:dyDescent="0.3">
      <c r="A237" s="12" t="s">
        <v>371</v>
      </c>
      <c r="B237" s="12" t="s">
        <v>929</v>
      </c>
      <c r="C237" s="12" t="s">
        <v>1266</v>
      </c>
      <c r="D237" s="12" t="s">
        <v>915</v>
      </c>
      <c r="E237" s="12" t="s">
        <v>907</v>
      </c>
    </row>
    <row r="238" spans="1:6" ht="14.5" customHeight="1" x14ac:dyDescent="0.3">
      <c r="A238" s="12" t="s">
        <v>372</v>
      </c>
      <c r="B238" s="12" t="s">
        <v>929</v>
      </c>
      <c r="C238" s="12" t="s">
        <v>1267</v>
      </c>
      <c r="D238" s="12" t="s">
        <v>921</v>
      </c>
      <c r="E238" s="12" t="s">
        <v>907</v>
      </c>
    </row>
    <row r="239" spans="1:6" ht="14.5" customHeight="1" x14ac:dyDescent="0.3">
      <c r="A239" s="12" t="s">
        <v>373</v>
      </c>
      <c r="B239" s="12" t="s">
        <v>929</v>
      </c>
      <c r="C239" s="12" t="s">
        <v>1268</v>
      </c>
      <c r="D239" s="12" t="s">
        <v>919</v>
      </c>
      <c r="E239" s="12" t="s">
        <v>1269</v>
      </c>
      <c r="F239" s="12" t="s">
        <v>907</v>
      </c>
    </row>
    <row r="240" spans="1:6" ht="14.5" customHeight="1" x14ac:dyDescent="0.3">
      <c r="A240" s="12" t="s">
        <v>374</v>
      </c>
      <c r="B240" s="12" t="s">
        <v>929</v>
      </c>
      <c r="C240" s="12" t="s">
        <v>1270</v>
      </c>
      <c r="D240" s="12" t="s">
        <v>919</v>
      </c>
      <c r="E240" s="12" t="s">
        <v>907</v>
      </c>
    </row>
    <row r="241" spans="1:10" ht="14.5" customHeight="1" x14ac:dyDescent="0.3">
      <c r="A241" s="12" t="s">
        <v>375</v>
      </c>
      <c r="B241" s="12" t="s">
        <v>929</v>
      </c>
      <c r="C241" s="12" t="s">
        <v>1271</v>
      </c>
      <c r="D241" s="12" t="s">
        <v>1040</v>
      </c>
      <c r="E241" s="12" t="s">
        <v>911</v>
      </c>
    </row>
    <row r="242" spans="1:10" ht="14.5" customHeight="1" x14ac:dyDescent="0.3">
      <c r="A242" s="12" t="s">
        <v>376</v>
      </c>
      <c r="B242" s="12" t="s">
        <v>935</v>
      </c>
      <c r="C242" s="12" t="s">
        <v>1272</v>
      </c>
      <c r="D242" s="12" t="s">
        <v>1273</v>
      </c>
      <c r="E242" s="12" t="s">
        <v>1274</v>
      </c>
      <c r="F242" s="12" t="s">
        <v>1275</v>
      </c>
      <c r="G242" s="12" t="s">
        <v>961</v>
      </c>
      <c r="H242" s="12" t="s">
        <v>1276</v>
      </c>
      <c r="I242" s="12" t="s">
        <v>1277</v>
      </c>
      <c r="J242" s="12" t="s">
        <v>1278</v>
      </c>
    </row>
    <row r="243" spans="1:10" ht="14.5" customHeight="1" x14ac:dyDescent="0.3">
      <c r="A243" s="12" t="s">
        <v>377</v>
      </c>
      <c r="B243" s="12" t="s">
        <v>935</v>
      </c>
      <c r="C243" s="12" t="s">
        <v>1279</v>
      </c>
      <c r="D243" s="12" t="s">
        <v>915</v>
      </c>
      <c r="E243" s="12" t="s">
        <v>907</v>
      </c>
    </row>
    <row r="244" spans="1:10" ht="14.5" customHeight="1" x14ac:dyDescent="0.3">
      <c r="A244" s="12" t="s">
        <v>378</v>
      </c>
      <c r="B244" s="12" t="s">
        <v>935</v>
      </c>
      <c r="C244" s="12" t="s">
        <v>1280</v>
      </c>
      <c r="D244" s="12" t="s">
        <v>921</v>
      </c>
      <c r="E244" s="12" t="s">
        <v>922</v>
      </c>
      <c r="F244" s="12" t="s">
        <v>911</v>
      </c>
    </row>
    <row r="245" spans="1:10" ht="14.5" customHeight="1" x14ac:dyDescent="0.3">
      <c r="A245" s="12" t="s">
        <v>379</v>
      </c>
      <c r="B245" s="12" t="s">
        <v>935</v>
      </c>
      <c r="C245" s="12" t="s">
        <v>936</v>
      </c>
      <c r="D245" s="12" t="s">
        <v>921</v>
      </c>
      <c r="E245" s="12" t="s">
        <v>922</v>
      </c>
      <c r="F245" s="12" t="s">
        <v>911</v>
      </c>
    </row>
    <row r="246" spans="1:10" ht="14.5" customHeight="1" x14ac:dyDescent="0.3">
      <c r="A246" s="12" t="s">
        <v>380</v>
      </c>
      <c r="B246" s="12" t="s">
        <v>935</v>
      </c>
      <c r="C246" s="12" t="s">
        <v>1280</v>
      </c>
      <c r="D246" s="12" t="s">
        <v>921</v>
      </c>
      <c r="E246" s="12" t="s">
        <v>922</v>
      </c>
      <c r="F246" s="12" t="s">
        <v>911</v>
      </c>
    </row>
    <row r="247" spans="1:10" ht="14.5" customHeight="1" x14ac:dyDescent="0.3">
      <c r="A247" s="12" t="s">
        <v>381</v>
      </c>
      <c r="B247" s="12" t="s">
        <v>935</v>
      </c>
      <c r="C247" s="12" t="s">
        <v>1281</v>
      </c>
      <c r="D247" s="12" t="s">
        <v>915</v>
      </c>
      <c r="E247" s="12" t="s">
        <v>907</v>
      </c>
    </row>
    <row r="248" spans="1:10" ht="14.5" customHeight="1" x14ac:dyDescent="0.3">
      <c r="A248" s="12" t="s">
        <v>382</v>
      </c>
      <c r="B248" s="12" t="s">
        <v>935</v>
      </c>
      <c r="C248" s="12" t="s">
        <v>1282</v>
      </c>
      <c r="D248" s="12" t="s">
        <v>915</v>
      </c>
      <c r="E248" s="12" t="s">
        <v>907</v>
      </c>
    </row>
    <row r="249" spans="1:10" ht="14.5" customHeight="1" x14ac:dyDescent="0.3">
      <c r="A249" s="12" t="s">
        <v>383</v>
      </c>
      <c r="B249" s="12" t="s">
        <v>935</v>
      </c>
      <c r="C249" s="12" t="s">
        <v>1283</v>
      </c>
      <c r="D249" s="12" t="s">
        <v>921</v>
      </c>
      <c r="E249" s="12" t="s">
        <v>907</v>
      </c>
    </row>
    <row r="250" spans="1:10" ht="14.5" customHeight="1" x14ac:dyDescent="0.3">
      <c r="A250" s="12" t="s">
        <v>384</v>
      </c>
      <c r="B250" s="12" t="s">
        <v>935</v>
      </c>
      <c r="C250" s="12" t="s">
        <v>1284</v>
      </c>
      <c r="D250" s="12" t="s">
        <v>915</v>
      </c>
      <c r="E250" s="12" t="s">
        <v>907</v>
      </c>
    </row>
    <row r="251" spans="1:10" ht="14.5" customHeight="1" x14ac:dyDescent="0.3">
      <c r="A251" s="12" t="s">
        <v>385</v>
      </c>
      <c r="B251" s="12" t="s">
        <v>935</v>
      </c>
      <c r="C251" s="12" t="s">
        <v>1285</v>
      </c>
      <c r="D251" s="12" t="s">
        <v>915</v>
      </c>
      <c r="E251" s="12" t="s">
        <v>907</v>
      </c>
    </row>
    <row r="252" spans="1:10" ht="14.5" customHeight="1" x14ac:dyDescent="0.3">
      <c r="A252" s="12" t="s">
        <v>386</v>
      </c>
      <c r="B252" s="12" t="s">
        <v>935</v>
      </c>
      <c r="C252" s="12" t="s">
        <v>1286</v>
      </c>
      <c r="D252" s="12" t="s">
        <v>921</v>
      </c>
      <c r="E252" s="12" t="s">
        <v>922</v>
      </c>
      <c r="F252" s="12" t="s">
        <v>911</v>
      </c>
    </row>
    <row r="253" spans="1:10" ht="14.5" customHeight="1" x14ac:dyDescent="0.3">
      <c r="A253" s="12" t="s">
        <v>387</v>
      </c>
      <c r="B253" s="12" t="s">
        <v>935</v>
      </c>
      <c r="C253" s="12" t="s">
        <v>1287</v>
      </c>
      <c r="D253" s="12" t="s">
        <v>1262</v>
      </c>
      <c r="E253" s="12" t="s">
        <v>907</v>
      </c>
    </row>
    <row r="254" spans="1:10" ht="14.5" customHeight="1" x14ac:dyDescent="0.3">
      <c r="A254" s="12" t="s">
        <v>388</v>
      </c>
      <c r="B254" s="12" t="s">
        <v>937</v>
      </c>
      <c r="C254" s="12" t="s">
        <v>1288</v>
      </c>
      <c r="D254" s="12" t="s">
        <v>907</v>
      </c>
    </row>
    <row r="255" spans="1:10" ht="14.5" customHeight="1" x14ac:dyDescent="0.3">
      <c r="A255" s="12" t="s">
        <v>389</v>
      </c>
      <c r="B255" s="12" t="s">
        <v>937</v>
      </c>
      <c r="C255" s="12" t="s">
        <v>1289</v>
      </c>
      <c r="D255" s="12" t="s">
        <v>1054</v>
      </c>
      <c r="E255" s="12" t="s">
        <v>1149</v>
      </c>
    </row>
    <row r="256" spans="1:10" ht="14.5" customHeight="1" x14ac:dyDescent="0.3">
      <c r="A256" s="12" t="s">
        <v>390</v>
      </c>
      <c r="B256" s="12" t="s">
        <v>937</v>
      </c>
      <c r="C256" s="12" t="s">
        <v>1290</v>
      </c>
      <c r="D256" s="12" t="s">
        <v>1054</v>
      </c>
      <c r="E256" s="12" t="s">
        <v>1149</v>
      </c>
    </row>
    <row r="257" spans="1:7" ht="14.5" customHeight="1" x14ac:dyDescent="0.3">
      <c r="A257" s="12" t="s">
        <v>391</v>
      </c>
      <c r="B257" s="12" t="s">
        <v>937</v>
      </c>
      <c r="C257" s="12" t="e">
        <v>#VALUE!</v>
      </c>
      <c r="D257" s="12" t="s">
        <v>917</v>
      </c>
      <c r="E257" s="12" t="s">
        <v>1291</v>
      </c>
    </row>
    <row r="258" spans="1:7" ht="14.5" customHeight="1" x14ac:dyDescent="0.3">
      <c r="A258" s="12" t="s">
        <v>392</v>
      </c>
      <c r="B258" s="12" t="s">
        <v>1048</v>
      </c>
      <c r="C258" s="12" t="s">
        <v>1292</v>
      </c>
      <c r="D258" s="12" t="s">
        <v>1293</v>
      </c>
      <c r="E258" s="12" t="s">
        <v>911</v>
      </c>
      <c r="F258" s="12" t="s">
        <v>948</v>
      </c>
    </row>
    <row r="259" spans="1:7" ht="14.5" customHeight="1" x14ac:dyDescent="0.3">
      <c r="A259" s="12" t="s">
        <v>393</v>
      </c>
      <c r="B259" s="12" t="s">
        <v>1048</v>
      </c>
      <c r="C259" s="12" t="s">
        <v>1294</v>
      </c>
      <c r="D259" s="12" t="s">
        <v>1262</v>
      </c>
      <c r="E259" s="12" t="s">
        <v>907</v>
      </c>
    </row>
    <row r="260" spans="1:7" ht="14.5" customHeight="1" x14ac:dyDescent="0.3">
      <c r="A260" s="12" t="s">
        <v>394</v>
      </c>
      <c r="B260" s="12" t="s">
        <v>1048</v>
      </c>
      <c r="C260" s="12" t="s">
        <v>1295</v>
      </c>
      <c r="D260" s="12" t="s">
        <v>917</v>
      </c>
      <c r="E260" s="12" t="s">
        <v>907</v>
      </c>
    </row>
    <row r="261" spans="1:7" ht="14.5" customHeight="1" x14ac:dyDescent="0.3">
      <c r="A261" s="12" t="s">
        <v>395</v>
      </c>
      <c r="B261" s="12" t="s">
        <v>1296</v>
      </c>
      <c r="C261" s="12" t="s">
        <v>1297</v>
      </c>
      <c r="D261" s="12" t="s">
        <v>1298</v>
      </c>
      <c r="E261" s="12" t="s">
        <v>907</v>
      </c>
    </row>
    <row r="262" spans="1:7" ht="14.5" customHeight="1" x14ac:dyDescent="0.3">
      <c r="A262" s="12" t="s">
        <v>396</v>
      </c>
      <c r="B262" s="12" t="s">
        <v>1296</v>
      </c>
      <c r="C262" s="12" t="s">
        <v>1299</v>
      </c>
      <c r="D262" s="12" t="s">
        <v>1298</v>
      </c>
      <c r="E262" s="12" t="s">
        <v>907</v>
      </c>
    </row>
    <row r="263" spans="1:7" ht="14.5" customHeight="1" x14ac:dyDescent="0.3">
      <c r="A263" s="12" t="s">
        <v>397</v>
      </c>
      <c r="B263" s="12" t="s">
        <v>1296</v>
      </c>
      <c r="C263" s="12" t="s">
        <v>1300</v>
      </c>
      <c r="D263" s="12" t="s">
        <v>928</v>
      </c>
      <c r="E263" s="12" t="s">
        <v>911</v>
      </c>
    </row>
    <row r="264" spans="1:7" ht="14.5" customHeight="1" x14ac:dyDescent="0.3">
      <c r="A264" s="12" t="s">
        <v>398</v>
      </c>
      <c r="B264" s="12" t="s">
        <v>1296</v>
      </c>
      <c r="C264" s="12" t="s">
        <v>1301</v>
      </c>
      <c r="D264" s="12" t="s">
        <v>1302</v>
      </c>
      <c r="E264" s="12" t="s">
        <v>907</v>
      </c>
    </row>
    <row r="265" spans="1:7" ht="14.5" customHeight="1" x14ac:dyDescent="0.3">
      <c r="A265" s="12" t="s">
        <v>399</v>
      </c>
      <c r="B265" s="12" t="s">
        <v>1296</v>
      </c>
      <c r="C265" s="12" t="s">
        <v>1303</v>
      </c>
      <c r="D265" s="12" t="s">
        <v>907</v>
      </c>
    </row>
    <row r="266" spans="1:7" ht="14.5" customHeight="1" x14ac:dyDescent="0.3">
      <c r="A266" s="12" t="s">
        <v>400</v>
      </c>
      <c r="B266" s="12" t="s">
        <v>1296</v>
      </c>
      <c r="C266" s="12" t="s">
        <v>1304</v>
      </c>
      <c r="D266" s="12" t="s">
        <v>907</v>
      </c>
      <c r="E266" s="12" t="s">
        <v>1305</v>
      </c>
    </row>
    <row r="267" spans="1:7" ht="14.5" customHeight="1" x14ac:dyDescent="0.3">
      <c r="A267" s="12" t="s">
        <v>401</v>
      </c>
      <c r="B267" s="12" t="s">
        <v>1296</v>
      </c>
      <c r="C267" s="12" t="s">
        <v>1306</v>
      </c>
      <c r="D267" s="12" t="s">
        <v>1307</v>
      </c>
      <c r="E267" s="12" t="s">
        <v>961</v>
      </c>
      <c r="F267" s="12" t="s">
        <v>1308</v>
      </c>
      <c r="G267" s="12" t="s">
        <v>1309</v>
      </c>
    </row>
    <row r="268" spans="1:7" ht="14.5" customHeight="1" x14ac:dyDescent="0.3">
      <c r="A268" s="12" t="s">
        <v>402</v>
      </c>
      <c r="B268" s="12" t="s">
        <v>1296</v>
      </c>
      <c r="C268" s="12" t="s">
        <v>1310</v>
      </c>
      <c r="D268" s="12" t="s">
        <v>1311</v>
      </c>
      <c r="E268" s="12" t="s">
        <v>907</v>
      </c>
    </row>
    <row r="269" spans="1:7" ht="14.5" customHeight="1" x14ac:dyDescent="0.3">
      <c r="A269" s="12" t="s">
        <v>403</v>
      </c>
      <c r="B269" s="12" t="s">
        <v>1296</v>
      </c>
      <c r="C269" s="12" t="s">
        <v>1312</v>
      </c>
      <c r="D269" s="12" t="s">
        <v>1307</v>
      </c>
      <c r="E269" s="12" t="s">
        <v>907</v>
      </c>
    </row>
    <row r="270" spans="1:7" ht="14.5" customHeight="1" x14ac:dyDescent="0.3">
      <c r="A270" s="12" t="s">
        <v>404</v>
      </c>
      <c r="B270" s="12" t="s">
        <v>1050</v>
      </c>
      <c r="C270" s="12" t="s">
        <v>1313</v>
      </c>
      <c r="D270" s="12" t="s">
        <v>1054</v>
      </c>
      <c r="E270" s="12" t="s">
        <v>1149</v>
      </c>
    </row>
    <row r="271" spans="1:7" ht="14.5" customHeight="1" x14ac:dyDescent="0.3">
      <c r="A271" s="12" t="s">
        <v>405</v>
      </c>
      <c r="B271" s="12" t="s">
        <v>1050</v>
      </c>
      <c r="C271" s="12" t="s">
        <v>1314</v>
      </c>
      <c r="D271" s="12" t="s">
        <v>1293</v>
      </c>
      <c r="E271" s="12" t="s">
        <v>1315</v>
      </c>
      <c r="F271" s="12" t="s">
        <v>907</v>
      </c>
    </row>
    <row r="272" spans="1:7" ht="14.5" customHeight="1" x14ac:dyDescent="0.3">
      <c r="A272" s="12" t="s">
        <v>406</v>
      </c>
      <c r="B272" s="12" t="s">
        <v>1050</v>
      </c>
      <c r="C272" s="12" t="s">
        <v>1316</v>
      </c>
      <c r="D272" s="12" t="s">
        <v>1293</v>
      </c>
      <c r="E272" s="12" t="s">
        <v>1315</v>
      </c>
      <c r="F272" s="12" t="s">
        <v>907</v>
      </c>
    </row>
    <row r="273" spans="1:8" ht="14.5" customHeight="1" x14ac:dyDescent="0.3">
      <c r="A273" s="12" t="s">
        <v>407</v>
      </c>
      <c r="B273" s="12" t="s">
        <v>942</v>
      </c>
      <c r="C273" s="12" t="s">
        <v>1317</v>
      </c>
      <c r="D273" s="12" t="s">
        <v>907</v>
      </c>
    </row>
    <row r="274" spans="1:8" ht="14.5" customHeight="1" x14ac:dyDescent="0.3">
      <c r="A274" s="12" t="s">
        <v>408</v>
      </c>
      <c r="B274" s="12" t="s">
        <v>942</v>
      </c>
      <c r="C274" s="12" t="s">
        <v>1318</v>
      </c>
      <c r="D274" s="12" t="s">
        <v>907</v>
      </c>
    </row>
    <row r="275" spans="1:8" ht="14.5" customHeight="1" x14ac:dyDescent="0.3">
      <c r="A275" s="12" t="s">
        <v>409</v>
      </c>
      <c r="B275" s="12" t="s">
        <v>944</v>
      </c>
      <c r="C275" s="12" t="s">
        <v>1319</v>
      </c>
      <c r="D275" s="12" t="s">
        <v>1054</v>
      </c>
      <c r="E275" s="12" t="s">
        <v>1320</v>
      </c>
    </row>
    <row r="276" spans="1:8" ht="14.5" customHeight="1" x14ac:dyDescent="0.3">
      <c r="A276" s="12" t="s">
        <v>410</v>
      </c>
      <c r="B276" s="12" t="s">
        <v>944</v>
      </c>
      <c r="C276" s="12" t="s">
        <v>1321</v>
      </c>
      <c r="D276" s="12" t="s">
        <v>907</v>
      </c>
    </row>
    <row r="277" spans="1:8" ht="14.5" customHeight="1" x14ac:dyDescent="0.3">
      <c r="A277" s="12" t="s">
        <v>411</v>
      </c>
      <c r="B277" s="12" t="s">
        <v>944</v>
      </c>
      <c r="C277" s="12" t="s">
        <v>1322</v>
      </c>
      <c r="D277" s="12" t="s">
        <v>951</v>
      </c>
      <c r="E277" s="12" t="s">
        <v>961</v>
      </c>
      <c r="F277" s="12" t="s">
        <v>1055</v>
      </c>
    </row>
    <row r="278" spans="1:8" ht="14.5" customHeight="1" x14ac:dyDescent="0.3">
      <c r="A278" s="12" t="s">
        <v>412</v>
      </c>
      <c r="B278" s="12" t="s">
        <v>944</v>
      </c>
      <c r="C278" s="12" t="s">
        <v>1323</v>
      </c>
      <c r="D278" s="12" t="s">
        <v>1324</v>
      </c>
      <c r="E278" s="12" t="s">
        <v>907</v>
      </c>
    </row>
    <row r="279" spans="1:8" ht="14.5" customHeight="1" x14ac:dyDescent="0.3">
      <c r="A279" s="12" t="s">
        <v>413</v>
      </c>
      <c r="B279" s="12" t="s">
        <v>944</v>
      </c>
      <c r="C279" s="12" t="s">
        <v>1325</v>
      </c>
      <c r="D279" s="12" t="s">
        <v>1053</v>
      </c>
      <c r="E279" s="12" t="s">
        <v>907</v>
      </c>
    </row>
    <row r="280" spans="1:8" ht="14.5" customHeight="1" x14ac:dyDescent="0.3">
      <c r="A280" s="12" t="s">
        <v>414</v>
      </c>
      <c r="B280" s="12" t="s">
        <v>944</v>
      </c>
      <c r="C280" s="12" t="s">
        <v>1326</v>
      </c>
      <c r="D280" s="12" t="s">
        <v>1054</v>
      </c>
      <c r="E280" s="12" t="s">
        <v>1065</v>
      </c>
      <c r="F280" s="12" t="s">
        <v>948</v>
      </c>
    </row>
    <row r="281" spans="1:8" ht="14.5" customHeight="1" x14ac:dyDescent="0.3">
      <c r="A281" s="12" t="s">
        <v>415</v>
      </c>
      <c r="B281" s="12" t="s">
        <v>944</v>
      </c>
      <c r="C281" s="12" t="s">
        <v>1327</v>
      </c>
      <c r="D281" s="12" t="s">
        <v>907</v>
      </c>
    </row>
    <row r="282" spans="1:8" ht="14.5" customHeight="1" x14ac:dyDescent="0.3">
      <c r="A282" s="12" t="s">
        <v>416</v>
      </c>
      <c r="B282" s="12" t="s">
        <v>944</v>
      </c>
      <c r="C282" s="12" t="s">
        <v>1328</v>
      </c>
      <c r="D282" s="12" t="s">
        <v>907</v>
      </c>
    </row>
    <row r="283" spans="1:8" ht="14.5" customHeight="1" x14ac:dyDescent="0.3">
      <c r="A283" s="12" t="s">
        <v>417</v>
      </c>
      <c r="B283" s="12" t="s">
        <v>946</v>
      </c>
      <c r="C283" s="12" t="s">
        <v>1329</v>
      </c>
      <c r="D283" s="12" t="s">
        <v>1330</v>
      </c>
      <c r="E283" s="12" t="s">
        <v>907</v>
      </c>
    </row>
    <row r="284" spans="1:8" ht="14.5" customHeight="1" x14ac:dyDescent="0.3">
      <c r="A284" s="12" t="s">
        <v>418</v>
      </c>
      <c r="B284" s="12" t="s">
        <v>946</v>
      </c>
      <c r="C284" s="12" t="s">
        <v>1331</v>
      </c>
      <c r="D284" s="12" t="s">
        <v>1053</v>
      </c>
      <c r="E284" s="12" t="s">
        <v>1054</v>
      </c>
      <c r="F284" s="12" t="s">
        <v>1055</v>
      </c>
    </row>
    <row r="285" spans="1:8" ht="14.5" customHeight="1" x14ac:dyDescent="0.3">
      <c r="A285" s="12" t="s">
        <v>419</v>
      </c>
      <c r="B285" s="12" t="s">
        <v>946</v>
      </c>
      <c r="C285" s="12" t="s">
        <v>1332</v>
      </c>
      <c r="D285" s="12" t="s">
        <v>1320</v>
      </c>
      <c r="E285" s="12" t="s">
        <v>911</v>
      </c>
    </row>
    <row r="286" spans="1:8" ht="14.5" customHeight="1" x14ac:dyDescent="0.3">
      <c r="A286" s="12" t="s">
        <v>420</v>
      </c>
      <c r="B286" s="12" t="s">
        <v>946</v>
      </c>
      <c r="C286" s="12" t="s">
        <v>1333</v>
      </c>
      <c r="D286" s="12" t="s">
        <v>907</v>
      </c>
    </row>
    <row r="287" spans="1:8" ht="14.5" customHeight="1" x14ac:dyDescent="0.3">
      <c r="A287" s="12" t="s">
        <v>421</v>
      </c>
      <c r="B287" s="12" t="s">
        <v>946</v>
      </c>
      <c r="C287" s="12" t="s">
        <v>1334</v>
      </c>
      <c r="D287" s="12" t="s">
        <v>907</v>
      </c>
      <c r="E287" s="12" t="s">
        <v>948</v>
      </c>
    </row>
    <row r="288" spans="1:8" ht="14.5" customHeight="1" x14ac:dyDescent="0.3">
      <c r="A288" s="12" t="s">
        <v>422</v>
      </c>
      <c r="B288" s="12" t="s">
        <v>946</v>
      </c>
      <c r="C288" s="12" t="s">
        <v>1335</v>
      </c>
      <c r="D288" s="12" t="s">
        <v>1336</v>
      </c>
      <c r="E288" s="12" t="s">
        <v>961</v>
      </c>
      <c r="F288" s="12" t="s">
        <v>1337</v>
      </c>
      <c r="G288" s="12" t="s">
        <v>941</v>
      </c>
      <c r="H288" s="12" t="s">
        <v>1338</v>
      </c>
    </row>
    <row r="289" spans="1:6" ht="14.5" customHeight="1" x14ac:dyDescent="0.3">
      <c r="A289" s="12" t="s">
        <v>423</v>
      </c>
      <c r="B289" s="12" t="s">
        <v>946</v>
      </c>
      <c r="C289" s="12" t="s">
        <v>1339</v>
      </c>
      <c r="D289" s="12" t="s">
        <v>1149</v>
      </c>
      <c r="E289" s="12" t="s">
        <v>911</v>
      </c>
    </row>
    <row r="290" spans="1:6" ht="14.5" customHeight="1" x14ac:dyDescent="0.3">
      <c r="A290" s="12" t="s">
        <v>424</v>
      </c>
      <c r="B290" s="12" t="s">
        <v>946</v>
      </c>
      <c r="C290" s="12" t="s">
        <v>1340</v>
      </c>
      <c r="D290" s="12" t="s">
        <v>907</v>
      </c>
      <c r="E290" s="12" t="s">
        <v>948</v>
      </c>
    </row>
    <row r="291" spans="1:6" ht="14.5" customHeight="1" x14ac:dyDescent="0.3">
      <c r="A291" s="12" t="s">
        <v>425</v>
      </c>
      <c r="B291" s="12" t="s">
        <v>946</v>
      </c>
      <c r="C291" s="12" t="s">
        <v>1341</v>
      </c>
      <c r="D291" s="12" t="s">
        <v>907</v>
      </c>
      <c r="E291" s="12" t="s">
        <v>948</v>
      </c>
    </row>
    <row r="292" spans="1:6" ht="14.5" customHeight="1" x14ac:dyDescent="0.3">
      <c r="A292" s="12" t="s">
        <v>426</v>
      </c>
      <c r="B292" s="12" t="s">
        <v>949</v>
      </c>
      <c r="C292" s="12" t="s">
        <v>950</v>
      </c>
      <c r="D292" s="12" t="s">
        <v>951</v>
      </c>
      <c r="E292" s="12" t="s">
        <v>911</v>
      </c>
      <c r="F292" s="12" t="s">
        <v>948</v>
      </c>
    </row>
    <row r="293" spans="1:6" ht="14.5" customHeight="1" x14ac:dyDescent="0.3">
      <c r="A293" s="12" t="s">
        <v>427</v>
      </c>
      <c r="B293" s="12" t="s">
        <v>949</v>
      </c>
      <c r="C293" s="12" t="s">
        <v>952</v>
      </c>
      <c r="D293" s="12" t="s">
        <v>907</v>
      </c>
    </row>
    <row r="294" spans="1:6" ht="14.5" customHeight="1" x14ac:dyDescent="0.3">
      <c r="A294" s="12" t="s">
        <v>428</v>
      </c>
      <c r="B294" s="12" t="s">
        <v>949</v>
      </c>
      <c r="C294" s="12" t="s">
        <v>1342</v>
      </c>
      <c r="D294" s="12" t="s">
        <v>1053</v>
      </c>
      <c r="E294" s="12" t="s">
        <v>961</v>
      </c>
      <c r="F294" s="12" t="s">
        <v>1055</v>
      </c>
    </row>
    <row r="295" spans="1:6" ht="14.5" customHeight="1" x14ac:dyDescent="0.3">
      <c r="A295" s="12" t="s">
        <v>429</v>
      </c>
      <c r="B295" s="12" t="s">
        <v>949</v>
      </c>
      <c r="C295" s="12" t="s">
        <v>1343</v>
      </c>
      <c r="D295" s="12" t="s">
        <v>1054</v>
      </c>
      <c r="E295" s="12" t="s">
        <v>1055</v>
      </c>
    </row>
    <row r="296" spans="1:6" ht="14.5" customHeight="1" x14ac:dyDescent="0.3">
      <c r="A296" s="12" t="s">
        <v>430</v>
      </c>
      <c r="B296" s="12" t="s">
        <v>949</v>
      </c>
      <c r="C296" s="12" t="s">
        <v>1344</v>
      </c>
      <c r="D296" s="12" t="s">
        <v>907</v>
      </c>
      <c r="E296" s="12" t="s">
        <v>948</v>
      </c>
    </row>
    <row r="297" spans="1:6" ht="14.5" customHeight="1" x14ac:dyDescent="0.3">
      <c r="A297" s="12" t="s">
        <v>431</v>
      </c>
      <c r="B297" s="12" t="s">
        <v>949</v>
      </c>
      <c r="C297" s="12" t="s">
        <v>1345</v>
      </c>
      <c r="D297" s="12" t="s">
        <v>907</v>
      </c>
      <c r="E297" s="12" t="s">
        <v>948</v>
      </c>
    </row>
    <row r="298" spans="1:6" ht="14.5" customHeight="1" x14ac:dyDescent="0.3">
      <c r="A298" s="12" t="s">
        <v>432</v>
      </c>
      <c r="B298" s="12" t="s">
        <v>949</v>
      </c>
      <c r="C298" s="12" t="s">
        <v>1346</v>
      </c>
      <c r="D298" s="12" t="s">
        <v>907</v>
      </c>
      <c r="E298" s="12" t="s">
        <v>941</v>
      </c>
    </row>
    <row r="299" spans="1:6" ht="14.5" customHeight="1" x14ac:dyDescent="0.3">
      <c r="A299" s="12" t="s">
        <v>433</v>
      </c>
      <c r="B299" s="12" t="s">
        <v>949</v>
      </c>
      <c r="C299" s="12" t="s">
        <v>1347</v>
      </c>
      <c r="D299" s="12" t="s">
        <v>907</v>
      </c>
    </row>
    <row r="300" spans="1:6" ht="14.5" customHeight="1" x14ac:dyDescent="0.3">
      <c r="A300" s="12" t="s">
        <v>434</v>
      </c>
      <c r="B300" s="12" t="s">
        <v>949</v>
      </c>
      <c r="C300" s="12" t="s">
        <v>1348</v>
      </c>
      <c r="D300" s="12" t="s">
        <v>907</v>
      </c>
      <c r="E300" s="12" t="s">
        <v>948</v>
      </c>
    </row>
    <row r="301" spans="1:6" ht="14.5" customHeight="1" x14ac:dyDescent="0.3">
      <c r="A301" s="12" t="s">
        <v>435</v>
      </c>
      <c r="B301" s="12" t="s">
        <v>949</v>
      </c>
      <c r="C301" s="12" t="s">
        <v>1349</v>
      </c>
      <c r="D301" s="12" t="s">
        <v>907</v>
      </c>
    </row>
    <row r="302" spans="1:6" ht="14.5" customHeight="1" x14ac:dyDescent="0.3">
      <c r="A302" s="12" t="s">
        <v>436</v>
      </c>
      <c r="B302" s="12" t="s">
        <v>949</v>
      </c>
      <c r="C302" s="12" t="s">
        <v>1350</v>
      </c>
      <c r="D302" s="12" t="s">
        <v>907</v>
      </c>
      <c r="E302" s="12" t="s">
        <v>948</v>
      </c>
    </row>
    <row r="303" spans="1:6" ht="14.5" customHeight="1" x14ac:dyDescent="0.3">
      <c r="A303" s="12" t="s">
        <v>437</v>
      </c>
      <c r="B303" s="12" t="s">
        <v>949</v>
      </c>
      <c r="C303" s="12" t="s">
        <v>1351</v>
      </c>
      <c r="D303" s="12" t="s">
        <v>951</v>
      </c>
      <c r="E303" s="12" t="s">
        <v>907</v>
      </c>
    </row>
    <row r="304" spans="1:6" ht="14.5" customHeight="1" x14ac:dyDescent="0.3">
      <c r="A304" s="12" t="s">
        <v>438</v>
      </c>
      <c r="B304" s="12" t="s">
        <v>949</v>
      </c>
      <c r="C304" s="12" t="s">
        <v>1352</v>
      </c>
      <c r="D304" s="12" t="s">
        <v>907</v>
      </c>
      <c r="E304" s="12" t="s">
        <v>948</v>
      </c>
    </row>
    <row r="305" spans="1:6" ht="14.5" customHeight="1" x14ac:dyDescent="0.3">
      <c r="A305" s="12" t="s">
        <v>439</v>
      </c>
      <c r="B305" s="12" t="s">
        <v>954</v>
      </c>
      <c r="C305" s="12" t="s">
        <v>1353</v>
      </c>
      <c r="D305" s="12" t="s">
        <v>907</v>
      </c>
    </row>
    <row r="306" spans="1:6" ht="14.5" customHeight="1" x14ac:dyDescent="0.3">
      <c r="A306" s="12" t="s">
        <v>440</v>
      </c>
      <c r="B306" s="12" t="s">
        <v>954</v>
      </c>
      <c r="C306" s="12" t="s">
        <v>1354</v>
      </c>
      <c r="D306" s="12" t="s">
        <v>907</v>
      </c>
    </row>
    <row r="307" spans="1:6" ht="14.5" customHeight="1" x14ac:dyDescent="0.3">
      <c r="A307" s="12" t="s">
        <v>441</v>
      </c>
      <c r="B307" s="12" t="s">
        <v>954</v>
      </c>
      <c r="C307" s="12" t="s">
        <v>1355</v>
      </c>
      <c r="D307" s="12" t="s">
        <v>1055</v>
      </c>
      <c r="E307" s="12" t="s">
        <v>911</v>
      </c>
    </row>
    <row r="308" spans="1:6" ht="14.5" customHeight="1" x14ac:dyDescent="0.3">
      <c r="A308" s="12" t="s">
        <v>442</v>
      </c>
      <c r="B308" s="12" t="s">
        <v>954</v>
      </c>
      <c r="C308" s="12" t="s">
        <v>953</v>
      </c>
      <c r="D308" s="12" t="s">
        <v>907</v>
      </c>
      <c r="E308" s="12" t="s">
        <v>941</v>
      </c>
    </row>
    <row r="309" spans="1:6" ht="14.5" customHeight="1" x14ac:dyDescent="0.3">
      <c r="A309" s="12" t="s">
        <v>443</v>
      </c>
      <c r="B309" s="12" t="s">
        <v>954</v>
      </c>
      <c r="C309" s="12" t="s">
        <v>1356</v>
      </c>
      <c r="D309" s="12" t="s">
        <v>907</v>
      </c>
      <c r="E309" s="12" t="s">
        <v>948</v>
      </c>
    </row>
    <row r="310" spans="1:6" ht="14.5" customHeight="1" x14ac:dyDescent="0.3">
      <c r="A310" s="12" t="s">
        <v>444</v>
      </c>
      <c r="B310" s="12" t="s">
        <v>954</v>
      </c>
      <c r="C310" s="12" t="s">
        <v>1357</v>
      </c>
      <c r="D310" s="12" t="s">
        <v>907</v>
      </c>
      <c r="E310" s="12" t="s">
        <v>941</v>
      </c>
    </row>
    <row r="311" spans="1:6" ht="14.5" customHeight="1" x14ac:dyDescent="0.3">
      <c r="A311" s="12" t="s">
        <v>445</v>
      </c>
      <c r="B311" s="12" t="s">
        <v>954</v>
      </c>
      <c r="C311" s="12" t="s">
        <v>1358</v>
      </c>
      <c r="D311" s="12" t="s">
        <v>1166</v>
      </c>
      <c r="E311" s="12" t="s">
        <v>911</v>
      </c>
      <c r="F311" s="12" t="s">
        <v>1078</v>
      </c>
    </row>
    <row r="312" spans="1:6" ht="14.5" customHeight="1" x14ac:dyDescent="0.3">
      <c r="A312" s="12" t="s">
        <v>446</v>
      </c>
      <c r="B312" s="12" t="s">
        <v>954</v>
      </c>
      <c r="C312" s="12" t="s">
        <v>1359</v>
      </c>
      <c r="D312" s="12" t="s">
        <v>1166</v>
      </c>
      <c r="E312" s="12" t="s">
        <v>911</v>
      </c>
      <c r="F312" s="12" t="s">
        <v>1078</v>
      </c>
    </row>
    <row r="313" spans="1:6" ht="14.5" customHeight="1" x14ac:dyDescent="0.3">
      <c r="A313" s="12" t="s">
        <v>447</v>
      </c>
      <c r="B313" s="12" t="s">
        <v>1076</v>
      </c>
      <c r="C313" s="12" t="s">
        <v>1360</v>
      </c>
      <c r="D313" s="12" t="s">
        <v>907</v>
      </c>
    </row>
    <row r="314" spans="1:6" ht="14.5" customHeight="1" x14ac:dyDescent="0.3">
      <c r="A314" s="12" t="s">
        <v>448</v>
      </c>
      <c r="B314" s="12" t="s">
        <v>1076</v>
      </c>
      <c r="C314" s="12" t="s">
        <v>1361</v>
      </c>
      <c r="D314" s="12" t="s">
        <v>1054</v>
      </c>
      <c r="E314" s="12" t="s">
        <v>948</v>
      </c>
      <c r="F314" s="12" t="s">
        <v>1078</v>
      </c>
    </row>
    <row r="315" spans="1:6" ht="14.5" customHeight="1" x14ac:dyDescent="0.3">
      <c r="A315" s="12" t="s">
        <v>449</v>
      </c>
      <c r="B315" s="12" t="s">
        <v>1076</v>
      </c>
      <c r="C315" s="12" t="s">
        <v>1362</v>
      </c>
      <c r="D315" s="12" t="s">
        <v>1054</v>
      </c>
      <c r="E315" s="12" t="s">
        <v>948</v>
      </c>
      <c r="F315" s="12" t="s">
        <v>1078</v>
      </c>
    </row>
    <row r="316" spans="1:6" ht="14.5" customHeight="1" x14ac:dyDescent="0.3">
      <c r="A316" s="12" t="s">
        <v>450</v>
      </c>
      <c r="B316" s="12" t="s">
        <v>1076</v>
      </c>
      <c r="C316" s="12" t="s">
        <v>1153</v>
      </c>
      <c r="D316" s="12" t="s">
        <v>1166</v>
      </c>
      <c r="E316" s="12" t="s">
        <v>911</v>
      </c>
      <c r="F316" s="12" t="s">
        <v>1078</v>
      </c>
    </row>
    <row r="317" spans="1:6" ht="14.5" customHeight="1" x14ac:dyDescent="0.3">
      <c r="A317" s="12" t="s">
        <v>451</v>
      </c>
      <c r="B317" s="12" t="s">
        <v>1076</v>
      </c>
      <c r="C317" s="12" t="s">
        <v>1363</v>
      </c>
      <c r="D317" s="12" t="s">
        <v>1166</v>
      </c>
      <c r="E317" s="12" t="s">
        <v>911</v>
      </c>
      <c r="F317" s="12" t="s">
        <v>1078</v>
      </c>
    </row>
    <row r="318" spans="1:6" ht="14.5" customHeight="1" x14ac:dyDescent="0.3">
      <c r="A318" s="12" t="s">
        <v>452</v>
      </c>
      <c r="B318" s="12" t="s">
        <v>1076</v>
      </c>
      <c r="C318" s="12" t="s">
        <v>1364</v>
      </c>
      <c r="D318" s="12" t="s">
        <v>907</v>
      </c>
      <c r="E318" s="12" t="s">
        <v>941</v>
      </c>
    </row>
    <row r="319" spans="1:6" ht="14.5" customHeight="1" x14ac:dyDescent="0.3">
      <c r="A319" s="12" t="s">
        <v>453</v>
      </c>
      <c r="B319" s="12" t="s">
        <v>1087</v>
      </c>
      <c r="C319" s="12" t="s">
        <v>1365</v>
      </c>
      <c r="D319" s="12" t="s">
        <v>1054</v>
      </c>
      <c r="E319" s="12" t="s">
        <v>941</v>
      </c>
      <c r="F319" s="12" t="s">
        <v>1080</v>
      </c>
    </row>
    <row r="320" spans="1:6" ht="14.5" customHeight="1" x14ac:dyDescent="0.3">
      <c r="A320" s="12" t="s">
        <v>454</v>
      </c>
      <c r="B320" s="12" t="s">
        <v>1087</v>
      </c>
      <c r="C320" s="12" t="s">
        <v>1366</v>
      </c>
      <c r="D320" s="12" t="s">
        <v>1054</v>
      </c>
      <c r="E320" s="12" t="s">
        <v>948</v>
      </c>
      <c r="F320" s="12" t="s">
        <v>1078</v>
      </c>
    </row>
    <row r="321" spans="1:5" ht="14.5" customHeight="1" x14ac:dyDescent="0.3">
      <c r="A321" s="12" t="s">
        <v>455</v>
      </c>
      <c r="B321" s="12" t="s">
        <v>1087</v>
      </c>
      <c r="C321" s="12" t="s">
        <v>1367</v>
      </c>
      <c r="D321" s="12" t="s">
        <v>907</v>
      </c>
    </row>
    <row r="322" spans="1:5" ht="14.5" customHeight="1" x14ac:dyDescent="0.3">
      <c r="A322" s="12" t="s">
        <v>456</v>
      </c>
      <c r="B322" s="12" t="s">
        <v>1087</v>
      </c>
      <c r="C322" s="12" t="s">
        <v>1368</v>
      </c>
      <c r="D322" s="12" t="s">
        <v>907</v>
      </c>
    </row>
    <row r="323" spans="1:5" ht="14.5" customHeight="1" x14ac:dyDescent="0.3">
      <c r="A323" s="12" t="s">
        <v>457</v>
      </c>
      <c r="B323" s="12" t="s">
        <v>1081</v>
      </c>
      <c r="C323" s="12" t="s">
        <v>955</v>
      </c>
      <c r="D323" s="12" t="s">
        <v>907</v>
      </c>
    </row>
    <row r="324" spans="1:5" ht="14.5" customHeight="1" x14ac:dyDescent="0.3">
      <c r="A324" s="12" t="s">
        <v>458</v>
      </c>
      <c r="B324" s="12" t="s">
        <v>1081</v>
      </c>
      <c r="C324" s="12" t="s">
        <v>1369</v>
      </c>
      <c r="D324" s="12" t="s">
        <v>907</v>
      </c>
    </row>
    <row r="325" spans="1:5" ht="14.5" customHeight="1" x14ac:dyDescent="0.3">
      <c r="A325" s="12" t="s">
        <v>459</v>
      </c>
      <c r="B325" s="12" t="s">
        <v>1081</v>
      </c>
      <c r="C325" s="12" t="s">
        <v>1370</v>
      </c>
      <c r="D325" s="12" t="s">
        <v>907</v>
      </c>
    </row>
    <row r="326" spans="1:5" ht="14.5" customHeight="1" x14ac:dyDescent="0.3">
      <c r="A326" s="12" t="s">
        <v>460</v>
      </c>
      <c r="B326" s="12" t="s">
        <v>1081</v>
      </c>
      <c r="C326" s="12" t="s">
        <v>1371</v>
      </c>
      <c r="D326" s="12" t="s">
        <v>907</v>
      </c>
    </row>
    <row r="327" spans="1:5" ht="14.5" customHeight="1" x14ac:dyDescent="0.3">
      <c r="A327" s="12" t="s">
        <v>461</v>
      </c>
      <c r="B327" s="12" t="s">
        <v>1372</v>
      </c>
      <c r="C327" s="12" t="s">
        <v>1373</v>
      </c>
      <c r="D327" s="12" t="s">
        <v>907</v>
      </c>
    </row>
    <row r="328" spans="1:5" s="13" customFormat="1" ht="14.5" customHeight="1" x14ac:dyDescent="0.3">
      <c r="A328" s="13" t="s">
        <v>462</v>
      </c>
      <c r="B328" s="13" t="e">
        <v>#VALUE!</v>
      </c>
      <c r="C328" s="13" t="e">
        <v>#VALUE!</v>
      </c>
      <c r="D328" s="13" t="s">
        <v>956</v>
      </c>
    </row>
    <row r="329" spans="1:5" s="13" customFormat="1" ht="14.5" customHeight="1" x14ac:dyDescent="0.3">
      <c r="A329" s="13" t="s">
        <v>301</v>
      </c>
      <c r="B329" s="13" t="e">
        <v>#VALUE!</v>
      </c>
      <c r="C329" s="13" t="e">
        <v>#VALUE!</v>
      </c>
      <c r="D329" s="13" t="s">
        <v>956</v>
      </c>
    </row>
    <row r="330" spans="1:5" ht="14.5" customHeight="1" x14ac:dyDescent="0.3">
      <c r="A330" s="12" t="s">
        <v>463</v>
      </c>
      <c r="B330" s="12" t="s">
        <v>902</v>
      </c>
      <c r="C330" s="12" t="s">
        <v>1374</v>
      </c>
      <c r="D330" s="12" t="s">
        <v>1054</v>
      </c>
      <c r="E330" s="12" t="s">
        <v>1375</v>
      </c>
    </row>
    <row r="331" spans="1:5" ht="14.5" customHeight="1" x14ac:dyDescent="0.3">
      <c r="A331" s="12" t="s">
        <v>464</v>
      </c>
      <c r="B331" s="12" t="s">
        <v>1029</v>
      </c>
      <c r="C331" s="12" t="s">
        <v>1376</v>
      </c>
      <c r="D331" s="12" t="s">
        <v>907</v>
      </c>
    </row>
    <row r="332" spans="1:5" ht="14.5" customHeight="1" x14ac:dyDescent="0.3">
      <c r="A332" s="12" t="s">
        <v>465</v>
      </c>
      <c r="B332" s="12" t="s">
        <v>1029</v>
      </c>
      <c r="C332" s="12" t="s">
        <v>1377</v>
      </c>
      <c r="D332" s="12" t="s">
        <v>907</v>
      </c>
    </row>
    <row r="333" spans="1:5" ht="14.5" customHeight="1" x14ac:dyDescent="0.3">
      <c r="A333" s="12" t="s">
        <v>466</v>
      </c>
      <c r="B333" s="12" t="s">
        <v>1029</v>
      </c>
      <c r="C333" s="12" t="s">
        <v>1378</v>
      </c>
      <c r="D333" s="12" t="s">
        <v>907</v>
      </c>
    </row>
    <row r="334" spans="1:5" ht="14.5" customHeight="1" x14ac:dyDescent="0.3">
      <c r="A334" s="12" t="s">
        <v>467</v>
      </c>
      <c r="B334" s="12" t="s">
        <v>1029</v>
      </c>
      <c r="C334" s="12" t="s">
        <v>1379</v>
      </c>
      <c r="D334" s="12" t="s">
        <v>907</v>
      </c>
    </row>
    <row r="335" spans="1:5" ht="14.5" customHeight="1" x14ac:dyDescent="0.3">
      <c r="A335" s="12" t="s">
        <v>468</v>
      </c>
      <c r="B335" s="12" t="s">
        <v>913</v>
      </c>
      <c r="C335" s="12" t="s">
        <v>1380</v>
      </c>
      <c r="D335" s="12" t="s">
        <v>907</v>
      </c>
    </row>
    <row r="336" spans="1:5" ht="14.5" customHeight="1" x14ac:dyDescent="0.3">
      <c r="A336" s="12" t="s">
        <v>469</v>
      </c>
      <c r="B336" s="12" t="s">
        <v>913</v>
      </c>
      <c r="C336" s="12" t="s">
        <v>1381</v>
      </c>
      <c r="D336" s="12" t="s">
        <v>907</v>
      </c>
    </row>
    <row r="337" spans="1:7" ht="14.5" customHeight="1" x14ac:dyDescent="0.3">
      <c r="A337" s="12" t="s">
        <v>470</v>
      </c>
      <c r="B337" s="12" t="s">
        <v>913</v>
      </c>
      <c r="C337" s="12" t="s">
        <v>1382</v>
      </c>
      <c r="D337" s="12" t="s">
        <v>907</v>
      </c>
    </row>
    <row r="338" spans="1:7" ht="14.5" customHeight="1" x14ac:dyDescent="0.3">
      <c r="A338" s="12" t="s">
        <v>471</v>
      </c>
      <c r="B338" s="12" t="s">
        <v>926</v>
      </c>
      <c r="C338" s="12" t="s">
        <v>1383</v>
      </c>
      <c r="D338" s="12" t="s">
        <v>1054</v>
      </c>
      <c r="E338" s="12" t="s">
        <v>1384</v>
      </c>
      <c r="F338" s="12" t="s">
        <v>922</v>
      </c>
    </row>
    <row r="339" spans="1:7" ht="14.5" customHeight="1" x14ac:dyDescent="0.3">
      <c r="A339" s="12" t="s">
        <v>472</v>
      </c>
      <c r="B339" s="12" t="s">
        <v>946</v>
      </c>
      <c r="C339" s="12" t="s">
        <v>1385</v>
      </c>
      <c r="D339" s="12" t="s">
        <v>907</v>
      </c>
    </row>
    <row r="340" spans="1:7" s="13" customFormat="1" ht="14.5" customHeight="1" x14ac:dyDescent="0.3">
      <c r="A340" s="13" t="s">
        <v>473</v>
      </c>
      <c r="B340" s="13" t="e">
        <v>#VALUE!</v>
      </c>
      <c r="C340" s="13" t="e">
        <v>#VALUE!</v>
      </c>
      <c r="D340" s="13" t="s">
        <v>956</v>
      </c>
    </row>
    <row r="341" spans="1:7" ht="14.5" customHeight="1" x14ac:dyDescent="0.3">
      <c r="A341" s="12" t="s">
        <v>474</v>
      </c>
      <c r="B341" s="12" t="s">
        <v>902</v>
      </c>
      <c r="C341" s="12" t="s">
        <v>1386</v>
      </c>
      <c r="D341" s="12" t="s">
        <v>1196</v>
      </c>
      <c r="E341" s="12" t="s">
        <v>1387</v>
      </c>
      <c r="F341" s="12" t="s">
        <v>1197</v>
      </c>
      <c r="G341" s="12" t="s">
        <v>907</v>
      </c>
    </row>
    <row r="342" spans="1:7" ht="14.5" customHeight="1" x14ac:dyDescent="0.3">
      <c r="A342" s="12" t="s">
        <v>475</v>
      </c>
      <c r="B342" s="12" t="s">
        <v>902</v>
      </c>
      <c r="C342" s="12" t="s">
        <v>1388</v>
      </c>
      <c r="D342" s="12" t="s">
        <v>904</v>
      </c>
      <c r="E342" s="12" t="s">
        <v>907</v>
      </c>
    </row>
    <row r="343" spans="1:7" ht="14.5" customHeight="1" x14ac:dyDescent="0.3">
      <c r="A343" s="12" t="s">
        <v>476</v>
      </c>
      <c r="B343" s="12" t="s">
        <v>902</v>
      </c>
      <c r="C343" s="12" t="s">
        <v>1389</v>
      </c>
      <c r="D343" s="12" t="s">
        <v>904</v>
      </c>
      <c r="E343" s="12" t="s">
        <v>907</v>
      </c>
    </row>
    <row r="344" spans="1:7" ht="14.5" customHeight="1" x14ac:dyDescent="0.3">
      <c r="A344" s="12" t="s">
        <v>477</v>
      </c>
      <c r="B344" s="12" t="s">
        <v>902</v>
      </c>
      <c r="C344" s="12" t="s">
        <v>1390</v>
      </c>
      <c r="D344" s="12" t="s">
        <v>904</v>
      </c>
      <c r="E344" s="12" t="s">
        <v>907</v>
      </c>
    </row>
    <row r="345" spans="1:7" ht="14.5" customHeight="1" x14ac:dyDescent="0.3">
      <c r="A345" s="12" t="s">
        <v>478</v>
      </c>
      <c r="B345" s="12" t="s">
        <v>902</v>
      </c>
      <c r="C345" s="12" t="s">
        <v>1391</v>
      </c>
      <c r="D345" s="12" t="s">
        <v>904</v>
      </c>
      <c r="E345" s="12" t="s">
        <v>972</v>
      </c>
      <c r="F345" s="12" t="s">
        <v>973</v>
      </c>
      <c r="G345" s="12" t="s">
        <v>907</v>
      </c>
    </row>
    <row r="346" spans="1:7" ht="14.5" customHeight="1" x14ac:dyDescent="0.3">
      <c r="A346" s="12" t="s">
        <v>479</v>
      </c>
      <c r="B346" s="12" t="s">
        <v>902</v>
      </c>
      <c r="C346" s="12" t="s">
        <v>1392</v>
      </c>
      <c r="D346" s="12" t="s">
        <v>904</v>
      </c>
      <c r="E346" s="12" t="s">
        <v>907</v>
      </c>
    </row>
    <row r="347" spans="1:7" ht="14.5" customHeight="1" x14ac:dyDescent="0.3">
      <c r="A347" s="12" t="s">
        <v>480</v>
      </c>
      <c r="B347" s="12" t="s">
        <v>902</v>
      </c>
      <c r="C347" s="12" t="s">
        <v>1393</v>
      </c>
      <c r="D347" s="12" t="s">
        <v>904</v>
      </c>
      <c r="E347" s="12" t="s">
        <v>907</v>
      </c>
    </row>
    <row r="348" spans="1:7" ht="14.5" customHeight="1" x14ac:dyDescent="0.3">
      <c r="A348" s="12" t="s">
        <v>481</v>
      </c>
      <c r="B348" s="12" t="s">
        <v>902</v>
      </c>
      <c r="C348" s="12" t="s">
        <v>1394</v>
      </c>
      <c r="D348" s="12" t="s">
        <v>904</v>
      </c>
      <c r="E348" s="12" t="s">
        <v>907</v>
      </c>
    </row>
    <row r="349" spans="1:7" ht="14.5" customHeight="1" x14ac:dyDescent="0.3">
      <c r="A349" s="12" t="s">
        <v>482</v>
      </c>
      <c r="B349" s="12" t="s">
        <v>902</v>
      </c>
      <c r="C349" s="12" t="s">
        <v>1395</v>
      </c>
      <c r="D349" s="12" t="s">
        <v>1396</v>
      </c>
      <c r="E349" s="12" t="s">
        <v>1397</v>
      </c>
      <c r="F349" s="12" t="s">
        <v>1398</v>
      </c>
      <c r="G349" s="12" t="s">
        <v>907</v>
      </c>
    </row>
    <row r="350" spans="1:7" ht="14.5" customHeight="1" x14ac:dyDescent="0.3">
      <c r="A350" s="12" t="s">
        <v>483</v>
      </c>
      <c r="B350" s="12" t="s">
        <v>902</v>
      </c>
      <c r="C350" s="12" t="s">
        <v>1399</v>
      </c>
      <c r="D350" s="12" t="s">
        <v>960</v>
      </c>
      <c r="E350" s="12" t="s">
        <v>961</v>
      </c>
      <c r="F350" s="12" t="s">
        <v>962</v>
      </c>
    </row>
    <row r="351" spans="1:7" ht="14.5" customHeight="1" x14ac:dyDescent="0.3">
      <c r="A351" s="12" t="s">
        <v>484</v>
      </c>
      <c r="B351" s="12" t="s">
        <v>902</v>
      </c>
      <c r="C351" s="12" t="s">
        <v>1400</v>
      </c>
      <c r="D351" s="12" t="s">
        <v>1099</v>
      </c>
      <c r="E351" s="12" t="s">
        <v>1401</v>
      </c>
      <c r="F351" s="12" t="s">
        <v>907</v>
      </c>
    </row>
    <row r="352" spans="1:7" ht="14.5" customHeight="1" x14ac:dyDescent="0.3">
      <c r="A352" s="12" t="s">
        <v>485</v>
      </c>
      <c r="B352" s="12" t="s">
        <v>902</v>
      </c>
      <c r="C352" s="12" t="s">
        <v>1402</v>
      </c>
      <c r="D352" s="12" t="s">
        <v>1106</v>
      </c>
      <c r="E352" s="12" t="s">
        <v>907</v>
      </c>
    </row>
    <row r="353" spans="1:5" ht="14.5" customHeight="1" x14ac:dyDescent="0.3">
      <c r="A353" s="12" t="s">
        <v>486</v>
      </c>
      <c r="B353" s="12" t="s">
        <v>902</v>
      </c>
      <c r="C353" s="12" t="s">
        <v>1403</v>
      </c>
      <c r="D353" s="12" t="s">
        <v>1404</v>
      </c>
      <c r="E353" s="12" t="s">
        <v>907</v>
      </c>
    </row>
    <row r="354" spans="1:5" ht="14.5" customHeight="1" x14ac:dyDescent="0.3">
      <c r="A354" s="12" t="s">
        <v>487</v>
      </c>
      <c r="B354" s="12" t="s">
        <v>902</v>
      </c>
      <c r="C354" s="12" t="s">
        <v>1406</v>
      </c>
      <c r="D354" s="12" t="s">
        <v>1405</v>
      </c>
    </row>
    <row r="355" spans="1:5" ht="14.5" customHeight="1" x14ac:dyDescent="0.3">
      <c r="A355" s="12" t="s">
        <v>488</v>
      </c>
      <c r="B355" s="12" t="s">
        <v>902</v>
      </c>
      <c r="C355" s="12" t="s">
        <v>1407</v>
      </c>
      <c r="D355" s="12" t="s">
        <v>904</v>
      </c>
      <c r="E355" s="12" t="s">
        <v>907</v>
      </c>
    </row>
    <row r="356" spans="1:5" ht="14.5" customHeight="1" x14ac:dyDescent="0.3">
      <c r="A356" s="12" t="s">
        <v>489</v>
      </c>
      <c r="B356" s="12" t="s">
        <v>902</v>
      </c>
      <c r="C356" s="12" t="s">
        <v>1408</v>
      </c>
      <c r="D356" s="12" t="s">
        <v>1099</v>
      </c>
      <c r="E356" s="12" t="s">
        <v>907</v>
      </c>
    </row>
    <row r="357" spans="1:5" ht="14.5" customHeight="1" x14ac:dyDescent="0.3">
      <c r="A357" s="12" t="s">
        <v>490</v>
      </c>
      <c r="B357" s="12" t="s">
        <v>908</v>
      </c>
      <c r="C357" s="12" t="s">
        <v>1409</v>
      </c>
      <c r="D357" s="12" t="s">
        <v>904</v>
      </c>
      <c r="E357" s="12" t="s">
        <v>907</v>
      </c>
    </row>
    <row r="358" spans="1:5" ht="14.5" customHeight="1" x14ac:dyDescent="0.3">
      <c r="A358" s="12" t="s">
        <v>491</v>
      </c>
      <c r="B358" s="12" t="s">
        <v>908</v>
      </c>
      <c r="C358" s="12" t="s">
        <v>1410</v>
      </c>
      <c r="D358" s="12" t="s">
        <v>904</v>
      </c>
      <c r="E358" s="12" t="s">
        <v>907</v>
      </c>
    </row>
    <row r="359" spans="1:5" ht="14.5" customHeight="1" x14ac:dyDescent="0.3">
      <c r="A359" s="12" t="s">
        <v>492</v>
      </c>
      <c r="B359" s="12" t="s">
        <v>908</v>
      </c>
      <c r="C359" s="12" t="s">
        <v>1411</v>
      </c>
      <c r="D359" s="12" t="s">
        <v>1054</v>
      </c>
      <c r="E359" s="12" t="s">
        <v>1412</v>
      </c>
    </row>
    <row r="360" spans="1:5" ht="14.5" customHeight="1" x14ac:dyDescent="0.3">
      <c r="A360" s="12" t="s">
        <v>493</v>
      </c>
      <c r="B360" s="12" t="s">
        <v>908</v>
      </c>
      <c r="C360" s="12" t="s">
        <v>1413</v>
      </c>
      <c r="D360" s="12" t="s">
        <v>904</v>
      </c>
      <c r="E360" s="12" t="s">
        <v>907</v>
      </c>
    </row>
    <row r="361" spans="1:5" ht="14.5" customHeight="1" x14ac:dyDescent="0.3">
      <c r="A361" s="12" t="s">
        <v>494</v>
      </c>
      <c r="B361" s="12" t="s">
        <v>908</v>
      </c>
      <c r="C361" s="12" t="s">
        <v>1414</v>
      </c>
      <c r="D361" s="12" t="s">
        <v>904</v>
      </c>
      <c r="E361" s="12" t="s">
        <v>907</v>
      </c>
    </row>
    <row r="362" spans="1:5" ht="14.5" customHeight="1" x14ac:dyDescent="0.3">
      <c r="A362" s="12" t="s">
        <v>495</v>
      </c>
      <c r="B362" s="12" t="s">
        <v>908</v>
      </c>
      <c r="C362" s="12" t="s">
        <v>1415</v>
      </c>
      <c r="D362" s="12" t="s">
        <v>1416</v>
      </c>
      <c r="E362" s="12" t="s">
        <v>907</v>
      </c>
    </row>
    <row r="363" spans="1:5" ht="14.5" customHeight="1" x14ac:dyDescent="0.3">
      <c r="A363" s="12" t="s">
        <v>496</v>
      </c>
      <c r="B363" s="12" t="s">
        <v>908</v>
      </c>
      <c r="C363" s="12" t="s">
        <v>1174</v>
      </c>
      <c r="D363" s="12" t="s">
        <v>904</v>
      </c>
      <c r="E363" s="12" t="s">
        <v>907</v>
      </c>
    </row>
    <row r="364" spans="1:5" ht="14.5" customHeight="1" x14ac:dyDescent="0.3">
      <c r="A364" s="12" t="s">
        <v>497</v>
      </c>
      <c r="B364" s="12" t="s">
        <v>908</v>
      </c>
      <c r="C364" s="12" t="s">
        <v>1417</v>
      </c>
      <c r="D364" s="12" t="s">
        <v>904</v>
      </c>
      <c r="E364" s="12" t="s">
        <v>907</v>
      </c>
    </row>
    <row r="365" spans="1:5" ht="14.5" customHeight="1" x14ac:dyDescent="0.3">
      <c r="A365" s="12" t="s">
        <v>498</v>
      </c>
      <c r="B365" s="12" t="s">
        <v>908</v>
      </c>
      <c r="C365" s="12" t="s">
        <v>1418</v>
      </c>
      <c r="D365" s="12" t="s">
        <v>1000</v>
      </c>
      <c r="E365" s="12" t="s">
        <v>907</v>
      </c>
    </row>
    <row r="366" spans="1:5" ht="14.5" customHeight="1" x14ac:dyDescent="0.3">
      <c r="A366" s="12" t="s">
        <v>499</v>
      </c>
      <c r="B366" s="12" t="s">
        <v>908</v>
      </c>
      <c r="C366" s="12" t="s">
        <v>1419</v>
      </c>
      <c r="D366" s="12" t="s">
        <v>1000</v>
      </c>
      <c r="E366" s="12" t="s">
        <v>907</v>
      </c>
    </row>
    <row r="367" spans="1:5" ht="14.5" customHeight="1" x14ac:dyDescent="0.3">
      <c r="A367" s="12" t="s">
        <v>500</v>
      </c>
      <c r="B367" s="12" t="s">
        <v>908</v>
      </c>
      <c r="C367" s="12" t="s">
        <v>1420</v>
      </c>
      <c r="D367" s="12" t="s">
        <v>1010</v>
      </c>
      <c r="E367" s="12" t="s">
        <v>907</v>
      </c>
    </row>
    <row r="368" spans="1:5" ht="14.5" customHeight="1" x14ac:dyDescent="0.3">
      <c r="A368" s="12" t="s">
        <v>501</v>
      </c>
      <c r="B368" s="12" t="s">
        <v>977</v>
      </c>
      <c r="C368" s="12" t="s">
        <v>1421</v>
      </c>
      <c r="D368" s="12" t="s">
        <v>1037</v>
      </c>
      <c r="E368" s="12" t="s">
        <v>907</v>
      </c>
    </row>
    <row r="369" spans="1:6" ht="14.5" customHeight="1" x14ac:dyDescent="0.3">
      <c r="A369" s="12" t="s">
        <v>502</v>
      </c>
      <c r="B369" s="12" t="s">
        <v>977</v>
      </c>
      <c r="C369" s="12" t="s">
        <v>1422</v>
      </c>
      <c r="D369" s="12" t="s">
        <v>1037</v>
      </c>
      <c r="E369" s="12" t="s">
        <v>907</v>
      </c>
    </row>
    <row r="370" spans="1:6" ht="14.5" customHeight="1" x14ac:dyDescent="0.3">
      <c r="A370" s="12" t="s">
        <v>503</v>
      </c>
      <c r="B370" s="12" t="s">
        <v>977</v>
      </c>
      <c r="C370" s="12" t="s">
        <v>1423</v>
      </c>
      <c r="D370" s="12" t="s">
        <v>1054</v>
      </c>
      <c r="E370" s="12" t="s">
        <v>1424</v>
      </c>
    </row>
    <row r="371" spans="1:6" ht="14.5" customHeight="1" x14ac:dyDescent="0.3">
      <c r="A371" s="12" t="s">
        <v>504</v>
      </c>
      <c r="B371" s="12" t="s">
        <v>977</v>
      </c>
      <c r="C371" s="12" t="s">
        <v>1425</v>
      </c>
      <c r="D371" s="12" t="s">
        <v>1054</v>
      </c>
      <c r="E371" s="12" t="s">
        <v>1121</v>
      </c>
    </row>
    <row r="372" spans="1:6" ht="14.5" customHeight="1" x14ac:dyDescent="0.3">
      <c r="A372" s="12" t="s">
        <v>505</v>
      </c>
      <c r="B372" s="12" t="s">
        <v>977</v>
      </c>
      <c r="C372" s="12" t="s">
        <v>1426</v>
      </c>
      <c r="D372" s="12" t="s">
        <v>1054</v>
      </c>
      <c r="E372" s="12" t="s">
        <v>1427</v>
      </c>
    </row>
    <row r="373" spans="1:6" ht="14.5" customHeight="1" x14ac:dyDescent="0.3">
      <c r="A373" s="12" t="s">
        <v>506</v>
      </c>
      <c r="B373" s="12" t="s">
        <v>1029</v>
      </c>
      <c r="C373" s="12" t="s">
        <v>1428</v>
      </c>
      <c r="D373" s="12" t="s">
        <v>1035</v>
      </c>
      <c r="E373" s="12" t="s">
        <v>907</v>
      </c>
    </row>
    <row r="374" spans="1:6" ht="14.5" customHeight="1" x14ac:dyDescent="0.3">
      <c r="A374" s="12" t="s">
        <v>507</v>
      </c>
      <c r="B374" s="12" t="s">
        <v>1029</v>
      </c>
      <c r="C374" s="12" t="s">
        <v>1429</v>
      </c>
      <c r="D374" s="12" t="s">
        <v>1032</v>
      </c>
      <c r="E374" s="12" t="s">
        <v>907</v>
      </c>
    </row>
    <row r="375" spans="1:6" ht="14.5" customHeight="1" x14ac:dyDescent="0.3">
      <c r="A375" s="12" t="s">
        <v>508</v>
      </c>
      <c r="B375" s="12" t="s">
        <v>913</v>
      </c>
      <c r="C375" s="12" t="s">
        <v>1430</v>
      </c>
      <c r="D375" s="12" t="s">
        <v>1012</v>
      </c>
      <c r="E375" s="12" t="s">
        <v>907</v>
      </c>
    </row>
    <row r="376" spans="1:6" ht="14.5" customHeight="1" x14ac:dyDescent="0.3">
      <c r="A376" s="12" t="s">
        <v>509</v>
      </c>
      <c r="B376" s="12" t="s">
        <v>913</v>
      </c>
      <c r="C376" s="12" t="s">
        <v>1431</v>
      </c>
      <c r="D376" s="12" t="s">
        <v>907</v>
      </c>
    </row>
    <row r="377" spans="1:6" ht="14.5" customHeight="1" x14ac:dyDescent="0.3">
      <c r="A377" s="12" t="s">
        <v>510</v>
      </c>
      <c r="B377" s="12" t="s">
        <v>926</v>
      </c>
      <c r="C377" s="12" t="s">
        <v>1432</v>
      </c>
      <c r="D377" s="12" t="s">
        <v>1433</v>
      </c>
      <c r="E377" s="12" t="s">
        <v>907</v>
      </c>
    </row>
    <row r="378" spans="1:6" ht="14.5" customHeight="1" x14ac:dyDescent="0.3">
      <c r="A378" s="12" t="s">
        <v>511</v>
      </c>
      <c r="B378" s="12" t="s">
        <v>935</v>
      </c>
      <c r="C378" s="12" t="s">
        <v>1434</v>
      </c>
      <c r="D378" s="12" t="s">
        <v>907</v>
      </c>
    </row>
    <row r="379" spans="1:6" ht="14.5" customHeight="1" x14ac:dyDescent="0.3">
      <c r="A379" s="12" t="s">
        <v>512</v>
      </c>
      <c r="B379" s="12" t="s">
        <v>935</v>
      </c>
      <c r="C379" s="12" t="s">
        <v>1435</v>
      </c>
      <c r="D379" s="12" t="s">
        <v>1293</v>
      </c>
      <c r="E379" s="12" t="s">
        <v>961</v>
      </c>
      <c r="F379" s="12" t="s">
        <v>1055</v>
      </c>
    </row>
    <row r="380" spans="1:6" ht="14.5" customHeight="1" x14ac:dyDescent="0.3">
      <c r="A380" s="12" t="s">
        <v>513</v>
      </c>
      <c r="B380" s="12" t="s">
        <v>1048</v>
      </c>
      <c r="C380" s="12" t="s">
        <v>1436</v>
      </c>
      <c r="D380" s="12" t="s">
        <v>1293</v>
      </c>
      <c r="E380" s="12" t="s">
        <v>961</v>
      </c>
      <c r="F380" s="12" t="s">
        <v>1055</v>
      </c>
    </row>
    <row r="381" spans="1:6" ht="14.5" customHeight="1" x14ac:dyDescent="0.3">
      <c r="A381" s="12" t="s">
        <v>514</v>
      </c>
      <c r="B381" s="12" t="s">
        <v>1048</v>
      </c>
      <c r="C381" s="12" t="s">
        <v>1437</v>
      </c>
      <c r="D381" s="12" t="s">
        <v>1054</v>
      </c>
      <c r="E381" s="12" t="s">
        <v>1055</v>
      </c>
    </row>
    <row r="382" spans="1:6" ht="14.5" customHeight="1" x14ac:dyDescent="0.3">
      <c r="A382" s="12" t="s">
        <v>515</v>
      </c>
      <c r="B382" s="12" t="s">
        <v>1048</v>
      </c>
      <c r="C382" s="12" t="s">
        <v>1438</v>
      </c>
      <c r="D382" s="12" t="s">
        <v>917</v>
      </c>
      <c r="E382" s="12" t="s">
        <v>907</v>
      </c>
    </row>
    <row r="383" spans="1:6" ht="14.5" customHeight="1" x14ac:dyDescent="0.3">
      <c r="A383" s="12" t="s">
        <v>516</v>
      </c>
      <c r="B383" s="12" t="s">
        <v>944</v>
      </c>
      <c r="C383" s="12" t="s">
        <v>1439</v>
      </c>
      <c r="D383" s="12" t="s">
        <v>907</v>
      </c>
    </row>
    <row r="384" spans="1:6" ht="14.5" customHeight="1" x14ac:dyDescent="0.3">
      <c r="A384" s="12" t="s">
        <v>517</v>
      </c>
      <c r="B384" s="12" t="s">
        <v>946</v>
      </c>
      <c r="C384" s="12" t="s">
        <v>1440</v>
      </c>
      <c r="D384" s="12" t="s">
        <v>1053</v>
      </c>
      <c r="E384" s="12" t="s">
        <v>1054</v>
      </c>
      <c r="F384" s="12" t="s">
        <v>1055</v>
      </c>
    </row>
    <row r="385" spans="1:6" ht="14.5" customHeight="1" x14ac:dyDescent="0.3">
      <c r="A385" s="12" t="s">
        <v>518</v>
      </c>
      <c r="B385" s="12" t="s">
        <v>949</v>
      </c>
      <c r="C385" s="12" t="s">
        <v>1441</v>
      </c>
      <c r="D385" s="12" t="s">
        <v>1054</v>
      </c>
      <c r="E385" s="12" t="s">
        <v>1055</v>
      </c>
    </row>
    <row r="386" spans="1:6" ht="14.5" customHeight="1" x14ac:dyDescent="0.3">
      <c r="A386" s="12" t="s">
        <v>519</v>
      </c>
      <c r="B386" s="12" t="s">
        <v>954</v>
      </c>
      <c r="C386" s="12" t="s">
        <v>1442</v>
      </c>
      <c r="D386" s="12" t="s">
        <v>907</v>
      </c>
    </row>
    <row r="387" spans="1:6" ht="14.5" customHeight="1" x14ac:dyDescent="0.3">
      <c r="A387" s="12" t="s">
        <v>520</v>
      </c>
      <c r="B387" s="12" t="s">
        <v>954</v>
      </c>
      <c r="C387" s="12" t="s">
        <v>1443</v>
      </c>
      <c r="D387" s="12" t="s">
        <v>1444</v>
      </c>
      <c r="E387" s="12" t="s">
        <v>907</v>
      </c>
    </row>
    <row r="388" spans="1:6" ht="14.5" customHeight="1" x14ac:dyDescent="0.3">
      <c r="A388" s="12" t="s">
        <v>521</v>
      </c>
      <c r="B388" s="12" t="s">
        <v>954</v>
      </c>
      <c r="C388" s="12" t="s">
        <v>1445</v>
      </c>
      <c r="D388" s="12" t="s">
        <v>1054</v>
      </c>
      <c r="E388" s="12" t="s">
        <v>1055</v>
      </c>
    </row>
    <row r="389" spans="1:6" ht="14.5" customHeight="1" x14ac:dyDescent="0.3">
      <c r="A389" s="12" t="s">
        <v>522</v>
      </c>
      <c r="B389" s="12" t="s">
        <v>1087</v>
      </c>
      <c r="C389" s="12" t="s">
        <v>1446</v>
      </c>
      <c r="D389" s="12" t="s">
        <v>1166</v>
      </c>
      <c r="E389" s="12" t="s">
        <v>1447</v>
      </c>
      <c r="F389" s="12" t="s">
        <v>907</v>
      </c>
    </row>
    <row r="390" spans="1:6" ht="14.5" customHeight="1" x14ac:dyDescent="0.3">
      <c r="A390" s="12" t="s">
        <v>523</v>
      </c>
      <c r="B390" s="12" t="s">
        <v>1087</v>
      </c>
      <c r="C390" s="12" t="s">
        <v>1073</v>
      </c>
      <c r="D390" s="12" t="s">
        <v>1074</v>
      </c>
      <c r="E390" s="12" t="s">
        <v>1075</v>
      </c>
      <c r="F390" s="12" t="s">
        <v>907</v>
      </c>
    </row>
    <row r="391" spans="1:6" ht="14.5" customHeight="1" x14ac:dyDescent="0.3">
      <c r="A391" s="12" t="s">
        <v>524</v>
      </c>
      <c r="B391" s="12" t="s">
        <v>1081</v>
      </c>
      <c r="C391" s="12" t="s">
        <v>1448</v>
      </c>
      <c r="D391" s="12" t="s">
        <v>907</v>
      </c>
    </row>
    <row r="392" spans="1:6" ht="14.5" customHeight="1" x14ac:dyDescent="0.3">
      <c r="A392" s="12" t="s">
        <v>525</v>
      </c>
      <c r="B392" s="12" t="s">
        <v>1081</v>
      </c>
      <c r="C392" s="12" t="s">
        <v>1449</v>
      </c>
      <c r="D392" s="12" t="s">
        <v>1450</v>
      </c>
      <c r="E392" s="12" t="s">
        <v>907</v>
      </c>
    </row>
    <row r="393" spans="1:6" ht="14.5" customHeight="1" x14ac:dyDescent="0.3">
      <c r="A393" s="12" t="s">
        <v>526</v>
      </c>
      <c r="B393" s="12" t="s">
        <v>1081</v>
      </c>
      <c r="C393" s="12" t="s">
        <v>1451</v>
      </c>
      <c r="D393" s="12" t="s">
        <v>907</v>
      </c>
    </row>
    <row r="394" spans="1:6" ht="14.5" customHeight="1" x14ac:dyDescent="0.3">
      <c r="A394" s="12" t="s">
        <v>527</v>
      </c>
      <c r="B394" s="12" t="s">
        <v>1372</v>
      </c>
      <c r="C394" s="12" t="s">
        <v>1452</v>
      </c>
      <c r="D394" s="12" t="s">
        <v>907</v>
      </c>
    </row>
    <row r="395" spans="1:6" ht="14.5" customHeight="1" x14ac:dyDescent="0.3">
      <c r="A395" s="12" t="s">
        <v>528</v>
      </c>
      <c r="B395" s="12" t="e">
        <v>#VALUE!</v>
      </c>
      <c r="C395" s="12" t="e">
        <v>#VALUE!</v>
      </c>
      <c r="D395" s="12" t="s">
        <v>956</v>
      </c>
    </row>
    <row r="396" spans="1:6" ht="14.5" customHeight="1" x14ac:dyDescent="0.3">
      <c r="A396" s="12" t="s">
        <v>529</v>
      </c>
      <c r="B396" s="12" t="e">
        <v>#VALUE!</v>
      </c>
      <c r="C396" s="12" t="e">
        <v>#VALUE!</v>
      </c>
      <c r="D396" s="12" t="s">
        <v>956</v>
      </c>
    </row>
    <row r="397" spans="1:6" ht="14.5" customHeight="1" x14ac:dyDescent="0.3">
      <c r="A397" s="12" t="s">
        <v>530</v>
      </c>
      <c r="B397" s="12" t="s">
        <v>897</v>
      </c>
      <c r="C397" s="12" t="s">
        <v>1453</v>
      </c>
      <c r="D397" s="12" t="s">
        <v>907</v>
      </c>
    </row>
    <row r="398" spans="1:6" ht="14.5" customHeight="1" x14ac:dyDescent="0.3">
      <c r="A398" s="12" t="s">
        <v>531</v>
      </c>
      <c r="B398" s="12" t="s">
        <v>902</v>
      </c>
      <c r="C398" s="12" t="s">
        <v>1454</v>
      </c>
      <c r="D398" s="12" t="s">
        <v>907</v>
      </c>
    </row>
    <row r="399" spans="1:6" ht="14.5" customHeight="1" x14ac:dyDescent="0.3">
      <c r="A399" s="12" t="s">
        <v>532</v>
      </c>
      <c r="B399" s="12" t="s">
        <v>902</v>
      </c>
      <c r="C399" s="12" t="s">
        <v>1455</v>
      </c>
      <c r="D399" s="12" t="s">
        <v>907</v>
      </c>
    </row>
    <row r="400" spans="1:6" ht="14.5" customHeight="1" x14ac:dyDescent="0.3">
      <c r="A400" s="12" t="s">
        <v>533</v>
      </c>
      <c r="B400" s="12" t="s">
        <v>902</v>
      </c>
      <c r="C400" s="12" t="s">
        <v>1456</v>
      </c>
      <c r="D400" s="12" t="s">
        <v>907</v>
      </c>
    </row>
    <row r="401" spans="1:8" ht="14.5" customHeight="1" x14ac:dyDescent="0.3">
      <c r="A401" s="12" t="s">
        <v>534</v>
      </c>
      <c r="B401" s="12" t="s">
        <v>902</v>
      </c>
      <c r="C401" s="12" t="s">
        <v>1457</v>
      </c>
      <c r="D401" s="12" t="s">
        <v>907</v>
      </c>
    </row>
    <row r="402" spans="1:8" ht="14.5" customHeight="1" x14ac:dyDescent="0.3">
      <c r="A402" s="12" t="s">
        <v>535</v>
      </c>
      <c r="B402" s="12" t="s">
        <v>908</v>
      </c>
      <c r="C402" s="12" t="s">
        <v>1458</v>
      </c>
      <c r="D402" s="12" t="s">
        <v>1224</v>
      </c>
      <c r="E402" s="12" t="s">
        <v>911</v>
      </c>
    </row>
    <row r="403" spans="1:8" ht="14.5" customHeight="1" x14ac:dyDescent="0.3">
      <c r="A403" s="12" t="s">
        <v>536</v>
      </c>
      <c r="B403" s="12" t="s">
        <v>908</v>
      </c>
      <c r="C403" s="12" t="s">
        <v>1459</v>
      </c>
      <c r="D403" s="12" t="s">
        <v>907</v>
      </c>
    </row>
    <row r="404" spans="1:8" ht="14.5" customHeight="1" x14ac:dyDescent="0.3">
      <c r="A404" s="12" t="s">
        <v>537</v>
      </c>
      <c r="B404" s="12" t="s">
        <v>977</v>
      </c>
      <c r="C404" s="12" t="s">
        <v>1460</v>
      </c>
      <c r="D404" s="12" t="s">
        <v>907</v>
      </c>
    </row>
    <row r="405" spans="1:8" ht="14.5" customHeight="1" x14ac:dyDescent="0.3">
      <c r="A405" s="12" t="s">
        <v>538</v>
      </c>
      <c r="B405" s="12" t="s">
        <v>977</v>
      </c>
      <c r="C405" s="12" t="s">
        <v>1461</v>
      </c>
      <c r="D405" s="12" t="s">
        <v>907</v>
      </c>
    </row>
    <row r="406" spans="1:8" ht="14.5" customHeight="1" x14ac:dyDescent="0.3">
      <c r="A406" s="12" t="s">
        <v>539</v>
      </c>
      <c r="B406" s="12" t="s">
        <v>1019</v>
      </c>
      <c r="C406" s="12" t="s">
        <v>1462</v>
      </c>
      <c r="D406" s="12" t="s">
        <v>907</v>
      </c>
    </row>
    <row r="407" spans="1:8" ht="14.5" customHeight="1" x14ac:dyDescent="0.3">
      <c r="A407" s="12" t="s">
        <v>540</v>
      </c>
      <c r="B407" s="12" t="s">
        <v>1029</v>
      </c>
      <c r="C407" s="12" t="s">
        <v>1463</v>
      </c>
      <c r="D407" s="12" t="s">
        <v>907</v>
      </c>
    </row>
    <row r="408" spans="1:8" ht="14.5" customHeight="1" x14ac:dyDescent="0.3">
      <c r="A408" s="12" t="s">
        <v>541</v>
      </c>
      <c r="B408" s="12" t="s">
        <v>913</v>
      </c>
      <c r="C408" s="12" t="s">
        <v>1464</v>
      </c>
      <c r="D408" s="12" t="s">
        <v>907</v>
      </c>
    </row>
    <row r="409" spans="1:8" ht="14.5" customHeight="1" x14ac:dyDescent="0.3">
      <c r="A409" s="12" t="s">
        <v>542</v>
      </c>
      <c r="B409" s="12" t="s">
        <v>1044</v>
      </c>
      <c r="C409" s="12" t="s">
        <v>1465</v>
      </c>
      <c r="D409" s="12" t="s">
        <v>907</v>
      </c>
    </row>
    <row r="410" spans="1:8" ht="14.5" customHeight="1" x14ac:dyDescent="0.3">
      <c r="A410" s="12" t="s">
        <v>543</v>
      </c>
      <c r="B410" s="12" t="s">
        <v>913</v>
      </c>
      <c r="C410" s="12" t="s">
        <v>1466</v>
      </c>
      <c r="D410" s="12" t="s">
        <v>907</v>
      </c>
    </row>
    <row r="411" spans="1:8" ht="14.5" customHeight="1" x14ac:dyDescent="0.3">
      <c r="A411" s="12" t="s">
        <v>544</v>
      </c>
      <c r="B411" s="12" t="s">
        <v>1044</v>
      </c>
      <c r="C411" s="12" t="s">
        <v>1467</v>
      </c>
      <c r="D411" s="12" t="s">
        <v>907</v>
      </c>
    </row>
    <row r="412" spans="1:8" ht="14.5" customHeight="1" x14ac:dyDescent="0.3">
      <c r="A412" s="12" t="s">
        <v>545</v>
      </c>
      <c r="B412" s="12" t="s">
        <v>935</v>
      </c>
      <c r="C412" s="12" t="s">
        <v>1468</v>
      </c>
      <c r="D412" s="12" t="s">
        <v>907</v>
      </c>
    </row>
    <row r="413" spans="1:8" ht="14.5" customHeight="1" x14ac:dyDescent="0.3">
      <c r="A413" s="12" t="s">
        <v>546</v>
      </c>
      <c r="B413" s="12" t="s">
        <v>935</v>
      </c>
      <c r="C413" s="12" t="s">
        <v>1469</v>
      </c>
      <c r="D413" s="12" t="s">
        <v>939</v>
      </c>
      <c r="E413" s="12" t="s">
        <v>940</v>
      </c>
      <c r="F413" s="12" t="s">
        <v>1075</v>
      </c>
      <c r="G413" s="12" t="s">
        <v>911</v>
      </c>
      <c r="H413" s="12" t="s">
        <v>1470</v>
      </c>
    </row>
    <row r="414" spans="1:8" ht="14.5" customHeight="1" x14ac:dyDescent="0.3">
      <c r="A414" s="12" t="s">
        <v>547</v>
      </c>
      <c r="B414" s="12" t="s">
        <v>935</v>
      </c>
      <c r="C414" s="12" t="s">
        <v>1471</v>
      </c>
      <c r="D414" s="12" t="s">
        <v>1444</v>
      </c>
      <c r="E414" s="12" t="s">
        <v>911</v>
      </c>
      <c r="F414" s="12" t="s">
        <v>1472</v>
      </c>
      <c r="G414" s="12" t="s">
        <v>1473</v>
      </c>
    </row>
    <row r="415" spans="1:8" ht="14.5" customHeight="1" x14ac:dyDescent="0.3">
      <c r="A415" s="12" t="s">
        <v>548</v>
      </c>
      <c r="B415" s="12" t="s">
        <v>1048</v>
      </c>
      <c r="C415" s="12" t="s">
        <v>1474</v>
      </c>
      <c r="D415" s="12" t="s">
        <v>917</v>
      </c>
      <c r="E415" s="12" t="s">
        <v>907</v>
      </c>
    </row>
    <row r="416" spans="1:8" ht="14.5" customHeight="1" x14ac:dyDescent="0.3">
      <c r="A416" s="12" t="s">
        <v>549</v>
      </c>
      <c r="B416" s="12" t="s">
        <v>1048</v>
      </c>
      <c r="C416" s="12" t="s">
        <v>1475</v>
      </c>
      <c r="D416" s="12" t="s">
        <v>1476</v>
      </c>
      <c r="E416" s="12" t="s">
        <v>911</v>
      </c>
    </row>
    <row r="417" spans="1:9" ht="14.5" customHeight="1" x14ac:dyDescent="0.3">
      <c r="A417" s="12" t="s">
        <v>550</v>
      </c>
      <c r="B417" s="12" t="s">
        <v>1048</v>
      </c>
      <c r="C417" s="12" t="s">
        <v>1477</v>
      </c>
      <c r="D417" s="12" t="s">
        <v>907</v>
      </c>
    </row>
    <row r="418" spans="1:9" ht="14.5" customHeight="1" x14ac:dyDescent="0.3">
      <c r="A418" s="12" t="s">
        <v>551</v>
      </c>
      <c r="B418" s="12" t="s">
        <v>1048</v>
      </c>
      <c r="C418" s="12" t="s">
        <v>1478</v>
      </c>
      <c r="D418" s="12" t="s">
        <v>907</v>
      </c>
      <c r="E418" s="12" t="s">
        <v>941</v>
      </c>
    </row>
    <row r="419" spans="1:9" ht="14.5" customHeight="1" x14ac:dyDescent="0.3">
      <c r="A419" s="12" t="s">
        <v>552</v>
      </c>
      <c r="B419" s="12" t="s">
        <v>1048</v>
      </c>
      <c r="C419" s="12" t="s">
        <v>1479</v>
      </c>
      <c r="D419" s="12" t="s">
        <v>1444</v>
      </c>
      <c r="E419" s="12" t="s">
        <v>911</v>
      </c>
      <c r="F419" s="12" t="s">
        <v>1472</v>
      </c>
      <c r="G419" s="12" t="s">
        <v>1473</v>
      </c>
    </row>
    <row r="420" spans="1:9" ht="14.5" customHeight="1" x14ac:dyDescent="0.3">
      <c r="A420" s="12" t="s">
        <v>553</v>
      </c>
      <c r="B420" s="12" t="s">
        <v>1296</v>
      </c>
      <c r="C420" s="12" t="s">
        <v>1480</v>
      </c>
      <c r="D420" s="12" t="s">
        <v>907</v>
      </c>
    </row>
    <row r="421" spans="1:9" ht="14.5" customHeight="1" x14ac:dyDescent="0.3">
      <c r="A421" s="12" t="s">
        <v>554</v>
      </c>
      <c r="B421" s="12" t="s">
        <v>1050</v>
      </c>
      <c r="C421" s="12" t="s">
        <v>1481</v>
      </c>
      <c r="D421" s="12" t="s">
        <v>1444</v>
      </c>
      <c r="E421" s="12" t="s">
        <v>907</v>
      </c>
    </row>
    <row r="422" spans="1:9" ht="14.5" customHeight="1" x14ac:dyDescent="0.3">
      <c r="A422" s="12" t="s">
        <v>555</v>
      </c>
      <c r="B422" s="12" t="s">
        <v>944</v>
      </c>
      <c r="C422" s="12" t="s">
        <v>1482</v>
      </c>
      <c r="D422" s="12" t="s">
        <v>907</v>
      </c>
    </row>
    <row r="423" spans="1:9" ht="14.5" customHeight="1" x14ac:dyDescent="0.3">
      <c r="A423" s="12" t="s">
        <v>556</v>
      </c>
      <c r="B423" s="12" t="s">
        <v>946</v>
      </c>
      <c r="C423" s="12" t="s">
        <v>1483</v>
      </c>
      <c r="D423" s="12" t="s">
        <v>907</v>
      </c>
    </row>
    <row r="424" spans="1:9" ht="14.5" customHeight="1" x14ac:dyDescent="0.3">
      <c r="A424" s="12" t="s">
        <v>557</v>
      </c>
      <c r="B424" s="12" t="s">
        <v>946</v>
      </c>
      <c r="C424" s="12" t="s">
        <v>1484</v>
      </c>
      <c r="D424" s="12" t="s">
        <v>907</v>
      </c>
    </row>
    <row r="425" spans="1:9" ht="14.5" customHeight="1" x14ac:dyDescent="0.3">
      <c r="A425" s="12" t="s">
        <v>558</v>
      </c>
      <c r="B425" s="12" t="s">
        <v>954</v>
      </c>
      <c r="C425" s="12" t="s">
        <v>1355</v>
      </c>
      <c r="D425" s="12" t="s">
        <v>1055</v>
      </c>
      <c r="E425" s="12" t="s">
        <v>911</v>
      </c>
    </row>
    <row r="426" spans="1:9" ht="14.5" customHeight="1" x14ac:dyDescent="0.3">
      <c r="A426" s="12" t="s">
        <v>559</v>
      </c>
      <c r="B426" s="12" t="s">
        <v>954</v>
      </c>
      <c r="C426" s="12" t="s">
        <v>1485</v>
      </c>
      <c r="D426" s="12" t="s">
        <v>907</v>
      </c>
    </row>
    <row r="427" spans="1:9" ht="14.5" customHeight="1" x14ac:dyDescent="0.3">
      <c r="A427" s="12" t="s">
        <v>560</v>
      </c>
      <c r="B427" s="12" t="s">
        <v>954</v>
      </c>
      <c r="C427" s="12" t="s">
        <v>1486</v>
      </c>
      <c r="D427" s="12" t="s">
        <v>907</v>
      </c>
    </row>
    <row r="428" spans="1:9" ht="14.5" customHeight="1" x14ac:dyDescent="0.3">
      <c r="A428" s="12" t="s">
        <v>561</v>
      </c>
      <c r="B428" s="12" t="s">
        <v>1087</v>
      </c>
      <c r="C428" s="12" t="s">
        <v>1487</v>
      </c>
      <c r="D428" s="12" t="s">
        <v>907</v>
      </c>
    </row>
    <row r="429" spans="1:9" ht="14.5" customHeight="1" x14ac:dyDescent="0.3">
      <c r="A429" s="12" t="s">
        <v>562</v>
      </c>
      <c r="B429" s="12" t="s">
        <v>1081</v>
      </c>
      <c r="C429" s="12" t="s">
        <v>1488</v>
      </c>
      <c r="D429" s="12" t="s">
        <v>907</v>
      </c>
    </row>
    <row r="430" spans="1:9" ht="14.5" customHeight="1" x14ac:dyDescent="0.3">
      <c r="A430" s="12" t="s">
        <v>563</v>
      </c>
      <c r="B430" s="12" t="e">
        <v>#VALUE!</v>
      </c>
      <c r="C430" s="12" t="e">
        <v>#VALUE!</v>
      </c>
      <c r="D430" s="12" t="s">
        <v>956</v>
      </c>
    </row>
    <row r="431" spans="1:9" ht="14.5" customHeight="1" x14ac:dyDescent="0.3">
      <c r="A431" s="12" t="s">
        <v>564</v>
      </c>
      <c r="B431" s="12" t="s">
        <v>902</v>
      </c>
      <c r="C431" s="12" t="s">
        <v>1489</v>
      </c>
      <c r="D431" s="12" t="s">
        <v>1490</v>
      </c>
      <c r="E431" s="12" t="s">
        <v>1491</v>
      </c>
      <c r="F431" s="12" t="s">
        <v>1492</v>
      </c>
      <c r="G431" s="12" t="s">
        <v>1493</v>
      </c>
      <c r="H431" s="12" t="s">
        <v>961</v>
      </c>
      <c r="I431" s="12" t="s">
        <v>1494</v>
      </c>
    </row>
    <row r="432" spans="1:9" ht="14.5" customHeight="1" x14ac:dyDescent="0.3">
      <c r="A432" s="12" t="s">
        <v>565</v>
      </c>
      <c r="B432" s="12" t="s">
        <v>1019</v>
      </c>
      <c r="C432" s="12" t="s">
        <v>1496</v>
      </c>
      <c r="D432" s="12" t="s">
        <v>1495</v>
      </c>
    </row>
    <row r="433" spans="1:8" ht="14.5" customHeight="1" x14ac:dyDescent="0.3">
      <c r="A433" s="12" t="s">
        <v>566</v>
      </c>
      <c r="B433" s="12" t="s">
        <v>1019</v>
      </c>
      <c r="C433" s="12" t="s">
        <v>1497</v>
      </c>
      <c r="D433" s="12" t="s">
        <v>907</v>
      </c>
    </row>
    <row r="434" spans="1:8" ht="14.5" customHeight="1" x14ac:dyDescent="0.3">
      <c r="A434" s="12" t="s">
        <v>567</v>
      </c>
      <c r="B434" s="12" t="s">
        <v>1019</v>
      </c>
      <c r="C434" s="12" t="s">
        <v>1498</v>
      </c>
      <c r="D434" s="12" t="s">
        <v>1152</v>
      </c>
    </row>
    <row r="435" spans="1:8" ht="14.5" customHeight="1" x14ac:dyDescent="0.3">
      <c r="A435" s="12" t="s">
        <v>568</v>
      </c>
      <c r="B435" s="12" t="s">
        <v>1029</v>
      </c>
      <c r="C435" s="12" t="s">
        <v>1499</v>
      </c>
      <c r="D435" s="12" t="s">
        <v>1495</v>
      </c>
    </row>
    <row r="436" spans="1:8" ht="14.5" customHeight="1" x14ac:dyDescent="0.3">
      <c r="A436" s="12" t="s">
        <v>569</v>
      </c>
      <c r="B436" s="12" t="s">
        <v>1029</v>
      </c>
      <c r="C436" s="12" t="s">
        <v>1500</v>
      </c>
      <c r="D436" s="12" t="s">
        <v>907</v>
      </c>
    </row>
    <row r="437" spans="1:8" ht="14.5" customHeight="1" x14ac:dyDescent="0.3">
      <c r="A437" s="12" t="s">
        <v>570</v>
      </c>
      <c r="B437" s="12" t="s">
        <v>1029</v>
      </c>
      <c r="C437" s="12" t="s">
        <v>1501</v>
      </c>
      <c r="D437" s="12" t="s">
        <v>907</v>
      </c>
    </row>
    <row r="438" spans="1:8" ht="14.5" customHeight="1" x14ac:dyDescent="0.3">
      <c r="A438" s="12" t="s">
        <v>571</v>
      </c>
      <c r="B438" s="12" t="s">
        <v>935</v>
      </c>
      <c r="C438" s="12" t="s">
        <v>1502</v>
      </c>
      <c r="D438" s="12" t="s">
        <v>1167</v>
      </c>
      <c r="E438" s="12" t="s">
        <v>1503</v>
      </c>
      <c r="F438" s="12" t="s">
        <v>961</v>
      </c>
      <c r="G438" s="12" t="s">
        <v>1504</v>
      </c>
      <c r="H438" s="12" t="s">
        <v>1505</v>
      </c>
    </row>
    <row r="439" spans="1:8" ht="14.5" customHeight="1" x14ac:dyDescent="0.3">
      <c r="A439" s="12" t="s">
        <v>572</v>
      </c>
      <c r="B439" s="12" t="s">
        <v>1159</v>
      </c>
      <c r="C439" s="12" t="s">
        <v>1506</v>
      </c>
      <c r="D439" s="12" t="s">
        <v>907</v>
      </c>
    </row>
    <row r="440" spans="1:8" ht="14.5" customHeight="1" x14ac:dyDescent="0.3">
      <c r="A440" s="12" t="s">
        <v>573</v>
      </c>
      <c r="B440" s="12" t="s">
        <v>1296</v>
      </c>
      <c r="C440" s="12" t="s">
        <v>1507</v>
      </c>
      <c r="D440" s="12" t="s">
        <v>907</v>
      </c>
    </row>
    <row r="441" spans="1:8" ht="14.5" customHeight="1" x14ac:dyDescent="0.3">
      <c r="A441" s="12" t="s">
        <v>574</v>
      </c>
      <c r="B441" s="12" t="s">
        <v>942</v>
      </c>
      <c r="C441" s="12" t="s">
        <v>1508</v>
      </c>
      <c r="D441" s="12" t="s">
        <v>907</v>
      </c>
      <c r="E441" s="12" t="s">
        <v>948</v>
      </c>
    </row>
    <row r="442" spans="1:8" ht="14.5" customHeight="1" x14ac:dyDescent="0.3">
      <c r="A442" s="12" t="s">
        <v>575</v>
      </c>
      <c r="B442" s="12" t="s">
        <v>946</v>
      </c>
      <c r="C442" s="12" t="s">
        <v>1510</v>
      </c>
      <c r="D442" s="12" t="s">
        <v>1509</v>
      </c>
    </row>
    <row r="443" spans="1:8" s="13" customFormat="1" ht="14.5" customHeight="1" x14ac:dyDescent="0.3">
      <c r="A443" s="13" t="s">
        <v>576</v>
      </c>
      <c r="B443" s="13" t="e">
        <v>#VALUE!</v>
      </c>
      <c r="C443" s="13" t="e">
        <v>#VALUE!</v>
      </c>
      <c r="D443" s="13" t="s">
        <v>956</v>
      </c>
    </row>
    <row r="444" spans="1:8" s="13" customFormat="1" ht="14.5" customHeight="1" x14ac:dyDescent="0.3">
      <c r="A444" s="13" t="s">
        <v>529</v>
      </c>
      <c r="B444" s="13" t="e">
        <v>#VALUE!</v>
      </c>
      <c r="C444" s="13" t="e">
        <v>#VALUE!</v>
      </c>
      <c r="D444" s="13" t="s">
        <v>956</v>
      </c>
    </row>
    <row r="445" spans="1:8" ht="14.5" customHeight="1" x14ac:dyDescent="0.3">
      <c r="A445" s="12" t="s">
        <v>577</v>
      </c>
      <c r="B445" s="12" t="s">
        <v>897</v>
      </c>
      <c r="C445" s="12" t="s">
        <v>1511</v>
      </c>
      <c r="D445" s="12" t="s">
        <v>907</v>
      </c>
    </row>
    <row r="446" spans="1:8" ht="14.5" customHeight="1" x14ac:dyDescent="0.3">
      <c r="A446" s="12" t="s">
        <v>578</v>
      </c>
      <c r="B446" s="12" t="s">
        <v>902</v>
      </c>
      <c r="C446" s="12" t="s">
        <v>1512</v>
      </c>
      <c r="D446" s="12" t="s">
        <v>907</v>
      </c>
    </row>
    <row r="447" spans="1:8" ht="14.5" customHeight="1" x14ac:dyDescent="0.3">
      <c r="A447" s="12" t="s">
        <v>579</v>
      </c>
      <c r="B447" s="12" t="s">
        <v>902</v>
      </c>
      <c r="C447" s="12" t="s">
        <v>1513</v>
      </c>
      <c r="D447" s="12" t="s">
        <v>907</v>
      </c>
    </row>
    <row r="448" spans="1:8" ht="14.5" customHeight="1" x14ac:dyDescent="0.3">
      <c r="A448" s="12" t="s">
        <v>580</v>
      </c>
      <c r="B448" s="12" t="s">
        <v>902</v>
      </c>
      <c r="C448" s="12" t="s">
        <v>1514</v>
      </c>
      <c r="D448" s="12" t="s">
        <v>907</v>
      </c>
    </row>
    <row r="449" spans="1:6" ht="14.5" customHeight="1" x14ac:dyDescent="0.3">
      <c r="A449" s="12" t="s">
        <v>581</v>
      </c>
      <c r="B449" s="12" t="s">
        <v>902</v>
      </c>
      <c r="C449" s="12" t="s">
        <v>1515</v>
      </c>
      <c r="D449" s="12" t="s">
        <v>960</v>
      </c>
      <c r="E449" s="12" t="s">
        <v>961</v>
      </c>
      <c r="F449" s="12" t="s">
        <v>962</v>
      </c>
    </row>
    <row r="450" spans="1:6" ht="14.5" customHeight="1" x14ac:dyDescent="0.3">
      <c r="A450" s="12" t="s">
        <v>582</v>
      </c>
      <c r="B450" s="12" t="s">
        <v>902</v>
      </c>
      <c r="C450" s="12" t="s">
        <v>1516</v>
      </c>
      <c r="D450" s="12" t="s">
        <v>907</v>
      </c>
    </row>
    <row r="451" spans="1:6" ht="14.5" customHeight="1" x14ac:dyDescent="0.3">
      <c r="A451" s="12" t="s">
        <v>583</v>
      </c>
      <c r="B451" s="12" t="s">
        <v>902</v>
      </c>
      <c r="C451" s="12" t="s">
        <v>1517</v>
      </c>
      <c r="D451" s="12" t="s">
        <v>1183</v>
      </c>
      <c r="E451" s="12" t="s">
        <v>907</v>
      </c>
    </row>
    <row r="452" spans="1:6" ht="14.5" customHeight="1" x14ac:dyDescent="0.3">
      <c r="A452" s="12" t="s">
        <v>584</v>
      </c>
      <c r="B452" s="12" t="s">
        <v>902</v>
      </c>
      <c r="C452" s="12" t="s">
        <v>1518</v>
      </c>
      <c r="D452" s="12" t="s">
        <v>979</v>
      </c>
      <c r="E452" s="12" t="s">
        <v>907</v>
      </c>
    </row>
    <row r="453" spans="1:6" ht="14.5" customHeight="1" x14ac:dyDescent="0.3">
      <c r="A453" s="12" t="s">
        <v>585</v>
      </c>
      <c r="B453" s="12" t="s">
        <v>902</v>
      </c>
      <c r="C453" s="12" t="s">
        <v>1519</v>
      </c>
      <c r="D453" s="12" t="s">
        <v>966</v>
      </c>
      <c r="E453" s="12" t="s">
        <v>961</v>
      </c>
      <c r="F453" s="12" t="s">
        <v>1023</v>
      </c>
    </row>
    <row r="454" spans="1:6" ht="14.5" customHeight="1" x14ac:dyDescent="0.3">
      <c r="A454" s="12" t="s">
        <v>586</v>
      </c>
      <c r="B454" s="12" t="s">
        <v>902</v>
      </c>
      <c r="C454" s="12" t="s">
        <v>1520</v>
      </c>
      <c r="D454" s="12" t="s">
        <v>979</v>
      </c>
      <c r="E454" s="12" t="s">
        <v>907</v>
      </c>
    </row>
    <row r="455" spans="1:6" ht="14.5" customHeight="1" x14ac:dyDescent="0.3">
      <c r="A455" s="12" t="s">
        <v>587</v>
      </c>
      <c r="B455" s="12" t="s">
        <v>902</v>
      </c>
      <c r="C455" s="12" t="s">
        <v>1521</v>
      </c>
      <c r="D455" s="12" t="s">
        <v>1199</v>
      </c>
      <c r="E455" s="12" t="s">
        <v>961</v>
      </c>
      <c r="F455" s="12" t="s">
        <v>1522</v>
      </c>
    </row>
    <row r="456" spans="1:6" ht="14.5" customHeight="1" x14ac:dyDescent="0.3">
      <c r="A456" s="12" t="s">
        <v>588</v>
      </c>
      <c r="B456" s="12" t="s">
        <v>902</v>
      </c>
      <c r="C456" s="12" t="s">
        <v>1523</v>
      </c>
      <c r="D456" s="12" t="s">
        <v>1524</v>
      </c>
      <c r="E456" s="12" t="s">
        <v>907</v>
      </c>
    </row>
    <row r="457" spans="1:6" ht="14.5" customHeight="1" x14ac:dyDescent="0.3">
      <c r="A457" s="12" t="s">
        <v>589</v>
      </c>
      <c r="B457" s="12" t="s">
        <v>902</v>
      </c>
      <c r="C457" s="12" t="s">
        <v>1525</v>
      </c>
      <c r="D457" s="12" t="s">
        <v>1526</v>
      </c>
      <c r="E457" s="12" t="s">
        <v>961</v>
      </c>
      <c r="F457" s="12" t="s">
        <v>1527</v>
      </c>
    </row>
    <row r="458" spans="1:6" ht="14.5" customHeight="1" x14ac:dyDescent="0.3">
      <c r="A458" s="12" t="s">
        <v>590</v>
      </c>
      <c r="B458" s="12" t="s">
        <v>902</v>
      </c>
      <c r="C458" s="12" t="s">
        <v>1528</v>
      </c>
      <c r="D458" s="12" t="s">
        <v>1096</v>
      </c>
      <c r="E458" s="12" t="s">
        <v>961</v>
      </c>
      <c r="F458" s="12" t="s">
        <v>1028</v>
      </c>
    </row>
    <row r="459" spans="1:6" ht="14.5" customHeight="1" x14ac:dyDescent="0.3">
      <c r="A459" s="12" t="s">
        <v>591</v>
      </c>
      <c r="B459" s="12" t="s">
        <v>902</v>
      </c>
      <c r="C459" s="12" t="s">
        <v>1529</v>
      </c>
      <c r="D459" s="12" t="s">
        <v>1016</v>
      </c>
      <c r="E459" s="12" t="s">
        <v>907</v>
      </c>
    </row>
    <row r="460" spans="1:6" ht="14.5" customHeight="1" x14ac:dyDescent="0.3">
      <c r="A460" s="12" t="s">
        <v>592</v>
      </c>
      <c r="B460" s="12" t="s">
        <v>902</v>
      </c>
      <c r="C460" s="12" t="s">
        <v>1530</v>
      </c>
      <c r="D460" s="12" t="s">
        <v>1531</v>
      </c>
      <c r="E460" s="12" t="s">
        <v>907</v>
      </c>
    </row>
    <row r="461" spans="1:6" ht="14.5" customHeight="1" x14ac:dyDescent="0.3">
      <c r="A461" s="12" t="s">
        <v>593</v>
      </c>
      <c r="B461" s="12" t="s">
        <v>902</v>
      </c>
      <c r="C461" s="12" t="s">
        <v>1532</v>
      </c>
      <c r="D461" s="12" t="s">
        <v>1533</v>
      </c>
      <c r="E461" s="12" t="s">
        <v>907</v>
      </c>
    </row>
    <row r="462" spans="1:6" ht="14.5" customHeight="1" x14ac:dyDescent="0.3">
      <c r="A462" s="12" t="s">
        <v>594</v>
      </c>
      <c r="B462" s="12" t="s">
        <v>902</v>
      </c>
      <c r="C462" s="12" t="s">
        <v>1534</v>
      </c>
      <c r="D462" s="12" t="s">
        <v>1016</v>
      </c>
      <c r="E462" s="12" t="s">
        <v>907</v>
      </c>
    </row>
    <row r="463" spans="1:6" ht="14.5" customHeight="1" x14ac:dyDescent="0.3">
      <c r="A463" s="12" t="s">
        <v>595</v>
      </c>
      <c r="B463" s="12" t="s">
        <v>902</v>
      </c>
      <c r="C463" s="12" t="s">
        <v>1535</v>
      </c>
      <c r="D463" s="12" t="s">
        <v>1101</v>
      </c>
      <c r="E463" s="12" t="s">
        <v>907</v>
      </c>
    </row>
    <row r="464" spans="1:6" ht="14.5" customHeight="1" x14ac:dyDescent="0.3">
      <c r="A464" s="12" t="s">
        <v>596</v>
      </c>
      <c r="B464" s="12" t="s">
        <v>902</v>
      </c>
      <c r="C464" s="12" t="s">
        <v>1536</v>
      </c>
      <c r="D464" s="12" t="s">
        <v>1537</v>
      </c>
      <c r="E464" s="12" t="s">
        <v>907</v>
      </c>
    </row>
    <row r="465" spans="1:6" ht="14.5" customHeight="1" x14ac:dyDescent="0.3">
      <c r="A465" s="12" t="s">
        <v>597</v>
      </c>
      <c r="B465" s="12" t="s">
        <v>902</v>
      </c>
      <c r="C465" s="12" t="s">
        <v>1538</v>
      </c>
      <c r="D465" s="12" t="s">
        <v>1539</v>
      </c>
      <c r="E465" s="12" t="s">
        <v>961</v>
      </c>
      <c r="F465" s="12" t="s">
        <v>1540</v>
      </c>
    </row>
    <row r="466" spans="1:6" ht="14.5" customHeight="1" x14ac:dyDescent="0.3">
      <c r="A466" s="12" t="s">
        <v>598</v>
      </c>
      <c r="B466" s="12" t="s">
        <v>902</v>
      </c>
      <c r="C466" s="12" t="s">
        <v>1541</v>
      </c>
      <c r="D466" s="12" t="s">
        <v>1542</v>
      </c>
      <c r="E466" s="12" t="s">
        <v>907</v>
      </c>
    </row>
    <row r="467" spans="1:6" ht="14.5" customHeight="1" x14ac:dyDescent="0.3">
      <c r="A467" s="12" t="s">
        <v>599</v>
      </c>
      <c r="B467" s="12" t="s">
        <v>902</v>
      </c>
      <c r="C467" s="12" t="s">
        <v>1543</v>
      </c>
      <c r="D467" s="12" t="s">
        <v>1177</v>
      </c>
      <c r="E467" s="12" t="s">
        <v>907</v>
      </c>
    </row>
    <row r="468" spans="1:6" ht="14.5" customHeight="1" x14ac:dyDescent="0.3">
      <c r="A468" s="12" t="s">
        <v>600</v>
      </c>
      <c r="B468" s="12" t="s">
        <v>902</v>
      </c>
      <c r="C468" s="12" t="s">
        <v>1544</v>
      </c>
      <c r="D468" s="12" t="s">
        <v>1545</v>
      </c>
      <c r="E468" s="12" t="s">
        <v>907</v>
      </c>
    </row>
    <row r="469" spans="1:6" ht="14.5" customHeight="1" x14ac:dyDescent="0.3">
      <c r="A469" s="12" t="s">
        <v>601</v>
      </c>
      <c r="B469" s="12" t="s">
        <v>902</v>
      </c>
      <c r="C469" s="12" t="s">
        <v>1546</v>
      </c>
      <c r="D469" s="12" t="s">
        <v>1196</v>
      </c>
      <c r="E469" s="12" t="s">
        <v>907</v>
      </c>
    </row>
    <row r="470" spans="1:6" ht="14.5" customHeight="1" x14ac:dyDescent="0.3">
      <c r="A470" s="12" t="s">
        <v>602</v>
      </c>
      <c r="B470" s="12" t="s">
        <v>902</v>
      </c>
      <c r="C470" s="12" t="s">
        <v>1547</v>
      </c>
      <c r="D470" s="12" t="s">
        <v>1180</v>
      </c>
      <c r="E470" s="12" t="s">
        <v>907</v>
      </c>
    </row>
    <row r="471" spans="1:6" ht="14.5" customHeight="1" x14ac:dyDescent="0.3">
      <c r="A471" s="12" t="s">
        <v>603</v>
      </c>
      <c r="B471" s="12" t="s">
        <v>902</v>
      </c>
      <c r="C471" s="12" t="s">
        <v>1548</v>
      </c>
      <c r="D471" s="12" t="s">
        <v>988</v>
      </c>
      <c r="E471" s="12" t="s">
        <v>989</v>
      </c>
      <c r="F471" s="12" t="s">
        <v>907</v>
      </c>
    </row>
    <row r="472" spans="1:6" ht="14.5" customHeight="1" x14ac:dyDescent="0.3">
      <c r="A472" s="12" t="s">
        <v>604</v>
      </c>
      <c r="B472" s="12" t="s">
        <v>902</v>
      </c>
      <c r="C472" s="12" t="s">
        <v>1549</v>
      </c>
      <c r="D472" s="12" t="s">
        <v>1550</v>
      </c>
      <c r="E472" s="12" t="s">
        <v>907</v>
      </c>
    </row>
    <row r="473" spans="1:6" ht="14.5" customHeight="1" x14ac:dyDescent="0.3">
      <c r="A473" s="12" t="s">
        <v>605</v>
      </c>
      <c r="B473" s="12" t="s">
        <v>902</v>
      </c>
      <c r="C473" s="12" t="s">
        <v>1551</v>
      </c>
      <c r="D473" s="12" t="s">
        <v>1552</v>
      </c>
      <c r="E473" s="12" t="s">
        <v>907</v>
      </c>
    </row>
    <row r="474" spans="1:6" ht="14.5" customHeight="1" x14ac:dyDescent="0.3">
      <c r="A474" s="12" t="s">
        <v>606</v>
      </c>
      <c r="B474" s="12" t="s">
        <v>902</v>
      </c>
      <c r="C474" s="12" t="s">
        <v>1553</v>
      </c>
      <c r="D474" s="12" t="s">
        <v>907</v>
      </c>
    </row>
    <row r="475" spans="1:6" ht="14.5" customHeight="1" x14ac:dyDescent="0.3">
      <c r="A475" s="12" t="s">
        <v>607</v>
      </c>
      <c r="B475" s="12" t="s">
        <v>902</v>
      </c>
      <c r="C475" s="12" t="s">
        <v>1455</v>
      </c>
      <c r="D475" s="12" t="s">
        <v>907</v>
      </c>
    </row>
    <row r="476" spans="1:6" ht="14.5" customHeight="1" x14ac:dyDescent="0.3">
      <c r="A476" s="12" t="s">
        <v>608</v>
      </c>
      <c r="B476" s="12" t="s">
        <v>902</v>
      </c>
      <c r="C476" s="12" t="s">
        <v>1454</v>
      </c>
      <c r="D476" s="12" t="s">
        <v>907</v>
      </c>
    </row>
    <row r="477" spans="1:6" ht="14.5" customHeight="1" x14ac:dyDescent="0.3">
      <c r="A477" s="12" t="s">
        <v>609</v>
      </c>
      <c r="B477" s="12" t="s">
        <v>902</v>
      </c>
      <c r="C477" s="12" t="s">
        <v>1554</v>
      </c>
      <c r="D477" s="12" t="s">
        <v>907</v>
      </c>
    </row>
    <row r="478" spans="1:6" ht="14.5" customHeight="1" x14ac:dyDescent="0.3">
      <c r="A478" s="12" t="s">
        <v>610</v>
      </c>
      <c r="B478" s="12" t="s">
        <v>902</v>
      </c>
      <c r="C478" s="12" t="s">
        <v>1555</v>
      </c>
      <c r="D478" s="12" t="s">
        <v>907</v>
      </c>
    </row>
    <row r="479" spans="1:6" ht="14.5" customHeight="1" x14ac:dyDescent="0.3">
      <c r="A479" s="12" t="s">
        <v>611</v>
      </c>
      <c r="B479" s="12" t="s">
        <v>902</v>
      </c>
      <c r="C479" s="12" t="s">
        <v>1556</v>
      </c>
      <c r="D479" s="12" t="s">
        <v>907</v>
      </c>
    </row>
    <row r="480" spans="1:6" ht="14.5" customHeight="1" x14ac:dyDescent="0.3">
      <c r="A480" s="12" t="s">
        <v>612</v>
      </c>
      <c r="B480" s="12" t="s">
        <v>908</v>
      </c>
      <c r="C480" s="12" t="s">
        <v>1557</v>
      </c>
      <c r="D480" s="12" t="s">
        <v>907</v>
      </c>
    </row>
    <row r="481" spans="1:6" ht="14.5" customHeight="1" x14ac:dyDescent="0.3">
      <c r="A481" s="12" t="s">
        <v>613</v>
      </c>
      <c r="B481" s="12" t="s">
        <v>908</v>
      </c>
      <c r="C481" s="12" t="s">
        <v>1558</v>
      </c>
      <c r="D481" s="12" t="s">
        <v>907</v>
      </c>
    </row>
    <row r="482" spans="1:6" ht="14.5" customHeight="1" x14ac:dyDescent="0.3">
      <c r="A482" s="12" t="s">
        <v>614</v>
      </c>
      <c r="B482" s="12" t="s">
        <v>908</v>
      </c>
      <c r="C482" s="12" t="s">
        <v>1559</v>
      </c>
      <c r="D482" s="12" t="s">
        <v>1000</v>
      </c>
      <c r="E482" s="12" t="s">
        <v>907</v>
      </c>
    </row>
    <row r="483" spans="1:6" ht="14.5" customHeight="1" x14ac:dyDescent="0.3">
      <c r="A483" s="12" t="s">
        <v>615</v>
      </c>
      <c r="B483" s="12" t="s">
        <v>908</v>
      </c>
      <c r="C483" s="12" t="s">
        <v>1560</v>
      </c>
      <c r="D483" s="12" t="s">
        <v>1106</v>
      </c>
      <c r="E483" s="12" t="s">
        <v>907</v>
      </c>
    </row>
    <row r="484" spans="1:6" ht="14.5" customHeight="1" x14ac:dyDescent="0.3">
      <c r="A484" s="12" t="s">
        <v>616</v>
      </c>
      <c r="B484" s="12" t="s">
        <v>908</v>
      </c>
      <c r="C484" s="12" t="s">
        <v>1561</v>
      </c>
      <c r="D484" s="12" t="s">
        <v>1010</v>
      </c>
      <c r="E484" s="12" t="s">
        <v>907</v>
      </c>
    </row>
    <row r="485" spans="1:6" ht="14.5" customHeight="1" x14ac:dyDescent="0.3">
      <c r="A485" s="12" t="s">
        <v>617</v>
      </c>
      <c r="B485" s="12" t="s">
        <v>908</v>
      </c>
      <c r="C485" s="12" t="s">
        <v>1562</v>
      </c>
      <c r="D485" s="12" t="s">
        <v>1014</v>
      </c>
      <c r="E485" s="12" t="s">
        <v>907</v>
      </c>
    </row>
    <row r="486" spans="1:6" ht="14.5" customHeight="1" x14ac:dyDescent="0.3">
      <c r="A486" s="12" t="s">
        <v>618</v>
      </c>
      <c r="B486" s="12" t="s">
        <v>908</v>
      </c>
      <c r="C486" s="12" t="s">
        <v>1563</v>
      </c>
      <c r="D486" s="12" t="s">
        <v>1564</v>
      </c>
      <c r="E486" s="12" t="s">
        <v>907</v>
      </c>
    </row>
    <row r="487" spans="1:6" ht="14.5" customHeight="1" x14ac:dyDescent="0.3">
      <c r="A487" s="12" t="s">
        <v>619</v>
      </c>
      <c r="B487" s="12" t="s">
        <v>908</v>
      </c>
      <c r="C487" s="12" t="s">
        <v>1565</v>
      </c>
      <c r="D487" s="12" t="s">
        <v>966</v>
      </c>
      <c r="E487" s="12" t="s">
        <v>961</v>
      </c>
      <c r="F487" s="12" t="s">
        <v>1023</v>
      </c>
    </row>
    <row r="488" spans="1:6" ht="14.5" customHeight="1" x14ac:dyDescent="0.3">
      <c r="A488" s="12" t="s">
        <v>620</v>
      </c>
      <c r="B488" s="12" t="s">
        <v>977</v>
      </c>
      <c r="C488" s="12" t="s">
        <v>1566</v>
      </c>
      <c r="D488" s="12" t="s">
        <v>907</v>
      </c>
    </row>
    <row r="489" spans="1:6" ht="14.5" customHeight="1" x14ac:dyDescent="0.3">
      <c r="A489" s="12" t="s">
        <v>621</v>
      </c>
      <c r="B489" s="12" t="s">
        <v>977</v>
      </c>
      <c r="C489" s="12" t="s">
        <v>1567</v>
      </c>
      <c r="D489" s="12" t="s">
        <v>907</v>
      </c>
    </row>
    <row r="490" spans="1:6" ht="14.5" customHeight="1" x14ac:dyDescent="0.3">
      <c r="A490" s="12" t="s">
        <v>622</v>
      </c>
      <c r="B490" s="12" t="s">
        <v>977</v>
      </c>
      <c r="C490" s="12" t="s">
        <v>911</v>
      </c>
      <c r="D490" s="12" t="s">
        <v>956</v>
      </c>
    </row>
    <row r="491" spans="1:6" ht="14.5" customHeight="1" x14ac:dyDescent="0.3">
      <c r="A491" s="12" t="s">
        <v>623</v>
      </c>
      <c r="B491" s="12" t="s">
        <v>977</v>
      </c>
      <c r="C491" s="12" t="s">
        <v>1568</v>
      </c>
      <c r="D491" s="12" t="s">
        <v>907</v>
      </c>
    </row>
    <row r="492" spans="1:6" ht="14.5" customHeight="1" x14ac:dyDescent="0.3">
      <c r="A492" s="12" t="s">
        <v>624</v>
      </c>
      <c r="B492" s="12" t="s">
        <v>977</v>
      </c>
      <c r="C492" s="12" t="s">
        <v>997</v>
      </c>
      <c r="D492" s="12" t="s">
        <v>998</v>
      </c>
      <c r="E492" s="12" t="s">
        <v>907</v>
      </c>
    </row>
    <row r="493" spans="1:6" ht="14.5" customHeight="1" x14ac:dyDescent="0.3">
      <c r="A493" s="12" t="s">
        <v>625</v>
      </c>
      <c r="B493" s="12" t="s">
        <v>977</v>
      </c>
      <c r="C493" s="12" t="s">
        <v>1569</v>
      </c>
      <c r="D493" s="12" t="s">
        <v>985</v>
      </c>
      <c r="E493" s="12" t="s">
        <v>961</v>
      </c>
      <c r="F493" s="12" t="s">
        <v>1570</v>
      </c>
    </row>
    <row r="494" spans="1:6" ht="14.5" customHeight="1" x14ac:dyDescent="0.3">
      <c r="A494" s="12" t="s">
        <v>626</v>
      </c>
      <c r="B494" s="12" t="s">
        <v>977</v>
      </c>
      <c r="C494" s="12" t="s">
        <v>999</v>
      </c>
      <c r="D494" s="12" t="s">
        <v>1000</v>
      </c>
      <c r="E494" s="12" t="s">
        <v>907</v>
      </c>
    </row>
    <row r="495" spans="1:6" ht="14.5" customHeight="1" x14ac:dyDescent="0.3">
      <c r="A495" s="12" t="s">
        <v>627</v>
      </c>
      <c r="B495" s="12" t="s">
        <v>977</v>
      </c>
      <c r="C495" s="12" t="s">
        <v>1013</v>
      </c>
      <c r="D495" s="12" t="s">
        <v>1014</v>
      </c>
      <c r="E495" s="12" t="s">
        <v>907</v>
      </c>
    </row>
    <row r="496" spans="1:6" ht="14.5" customHeight="1" x14ac:dyDescent="0.3">
      <c r="A496" s="12" t="s">
        <v>628</v>
      </c>
      <c r="B496" s="12" t="s">
        <v>977</v>
      </c>
      <c r="C496" s="12" t="s">
        <v>995</v>
      </c>
      <c r="D496" s="12" t="s">
        <v>996</v>
      </c>
      <c r="E496" s="12" t="s">
        <v>907</v>
      </c>
    </row>
    <row r="497" spans="1:6" ht="14.5" customHeight="1" x14ac:dyDescent="0.3">
      <c r="A497" s="12" t="s">
        <v>629</v>
      </c>
      <c r="B497" s="12" t="s">
        <v>977</v>
      </c>
      <c r="C497" s="12" t="s">
        <v>1571</v>
      </c>
      <c r="D497" s="12" t="s">
        <v>1572</v>
      </c>
      <c r="E497" s="12" t="s">
        <v>907</v>
      </c>
    </row>
    <row r="498" spans="1:6" ht="14.5" customHeight="1" x14ac:dyDescent="0.3">
      <c r="A498" s="12" t="s">
        <v>630</v>
      </c>
      <c r="B498" s="12" t="s">
        <v>977</v>
      </c>
      <c r="C498" s="12" t="s">
        <v>1573</v>
      </c>
      <c r="D498" s="12" t="s">
        <v>966</v>
      </c>
      <c r="E498" s="12" t="s">
        <v>961</v>
      </c>
      <c r="F498" s="12" t="s">
        <v>1023</v>
      </c>
    </row>
    <row r="499" spans="1:6" ht="14.5" customHeight="1" x14ac:dyDescent="0.3">
      <c r="A499" s="12" t="s">
        <v>631</v>
      </c>
      <c r="B499" s="12" t="s">
        <v>977</v>
      </c>
      <c r="C499" s="12" t="s">
        <v>1574</v>
      </c>
      <c r="D499" s="12" t="s">
        <v>1575</v>
      </c>
      <c r="E499" s="12" t="s">
        <v>907</v>
      </c>
    </row>
    <row r="500" spans="1:6" ht="14.5" customHeight="1" x14ac:dyDescent="0.3">
      <c r="A500" s="12" t="s">
        <v>632</v>
      </c>
      <c r="B500" s="12" t="s">
        <v>977</v>
      </c>
      <c r="C500" s="12" t="s">
        <v>1008</v>
      </c>
      <c r="D500" s="12" t="s">
        <v>934</v>
      </c>
      <c r="E500" s="12" t="s">
        <v>907</v>
      </c>
    </row>
    <row r="501" spans="1:6" ht="14.5" customHeight="1" x14ac:dyDescent="0.3">
      <c r="A501" s="12" t="s">
        <v>633</v>
      </c>
      <c r="B501" s="12" t="s">
        <v>977</v>
      </c>
      <c r="C501" s="12" t="s">
        <v>1576</v>
      </c>
      <c r="D501" s="12" t="s">
        <v>1037</v>
      </c>
      <c r="E501" s="12" t="s">
        <v>907</v>
      </c>
    </row>
    <row r="502" spans="1:6" ht="14.5" customHeight="1" x14ac:dyDescent="0.3">
      <c r="A502" s="12" t="s">
        <v>634</v>
      </c>
      <c r="B502" s="12" t="s">
        <v>977</v>
      </c>
      <c r="C502" s="12" t="s">
        <v>1577</v>
      </c>
      <c r="D502" s="12" t="s">
        <v>1004</v>
      </c>
      <c r="E502" s="12" t="s">
        <v>907</v>
      </c>
    </row>
    <row r="503" spans="1:6" ht="14.5" customHeight="1" x14ac:dyDescent="0.3">
      <c r="A503" s="12" t="s">
        <v>635</v>
      </c>
      <c r="B503" s="12" t="s">
        <v>977</v>
      </c>
      <c r="C503" s="12" t="s">
        <v>1578</v>
      </c>
      <c r="D503" s="12" t="s">
        <v>1002</v>
      </c>
      <c r="E503" s="12" t="s">
        <v>907</v>
      </c>
    </row>
    <row r="504" spans="1:6" ht="14.5" customHeight="1" x14ac:dyDescent="0.3">
      <c r="A504" s="12" t="s">
        <v>636</v>
      </c>
      <c r="B504" s="12" t="s">
        <v>977</v>
      </c>
      <c r="C504" s="12" t="s">
        <v>1579</v>
      </c>
      <c r="D504" s="12" t="s">
        <v>991</v>
      </c>
      <c r="E504" s="12" t="s">
        <v>961</v>
      </c>
      <c r="F504" s="12" t="s">
        <v>992</v>
      </c>
    </row>
    <row r="505" spans="1:6" ht="14.5" customHeight="1" x14ac:dyDescent="0.3">
      <c r="A505" s="12" t="s">
        <v>637</v>
      </c>
      <c r="B505" s="12" t="s">
        <v>977</v>
      </c>
      <c r="C505" s="12" t="s">
        <v>1580</v>
      </c>
      <c r="D505" s="12" t="s">
        <v>1581</v>
      </c>
      <c r="E505" s="12" t="s">
        <v>907</v>
      </c>
    </row>
    <row r="506" spans="1:6" ht="14.5" customHeight="1" x14ac:dyDescent="0.3">
      <c r="A506" s="12" t="s">
        <v>638</v>
      </c>
      <c r="B506" s="12" t="s">
        <v>977</v>
      </c>
      <c r="C506" s="12" t="s">
        <v>1582</v>
      </c>
      <c r="D506" s="12" t="s">
        <v>1583</v>
      </c>
      <c r="E506" s="12" t="s">
        <v>907</v>
      </c>
    </row>
    <row r="507" spans="1:6" ht="14.5" customHeight="1" x14ac:dyDescent="0.3">
      <c r="A507" s="12" t="s">
        <v>639</v>
      </c>
      <c r="B507" s="12" t="s">
        <v>977</v>
      </c>
      <c r="C507" s="12" t="s">
        <v>1007</v>
      </c>
      <c r="D507" s="12" t="s">
        <v>979</v>
      </c>
      <c r="E507" s="12" t="s">
        <v>907</v>
      </c>
    </row>
    <row r="508" spans="1:6" ht="14.5" customHeight="1" x14ac:dyDescent="0.3">
      <c r="A508" s="12" t="s">
        <v>640</v>
      </c>
      <c r="B508" s="12" t="s">
        <v>977</v>
      </c>
      <c r="C508" s="12" t="s">
        <v>1584</v>
      </c>
      <c r="D508" s="12" t="s">
        <v>1132</v>
      </c>
      <c r="E508" s="12" t="s">
        <v>907</v>
      </c>
    </row>
    <row r="509" spans="1:6" ht="14.5" customHeight="1" x14ac:dyDescent="0.3">
      <c r="A509" s="12" t="s">
        <v>641</v>
      </c>
      <c r="B509" s="12" t="s">
        <v>977</v>
      </c>
      <c r="C509" s="12" t="s">
        <v>1005</v>
      </c>
      <c r="D509" s="12" t="s">
        <v>1006</v>
      </c>
      <c r="E509" s="12" t="s">
        <v>907</v>
      </c>
    </row>
    <row r="510" spans="1:6" ht="14.5" customHeight="1" x14ac:dyDescent="0.3">
      <c r="A510" s="12" t="s">
        <v>642</v>
      </c>
      <c r="B510" s="12" t="s">
        <v>977</v>
      </c>
      <c r="C510" s="12" t="s">
        <v>993</v>
      </c>
      <c r="D510" s="12" t="s">
        <v>1585</v>
      </c>
      <c r="E510" s="12" t="s">
        <v>907</v>
      </c>
    </row>
    <row r="511" spans="1:6" ht="14.5" customHeight="1" x14ac:dyDescent="0.3">
      <c r="A511" s="12" t="s">
        <v>643</v>
      </c>
      <c r="B511" s="12" t="s">
        <v>977</v>
      </c>
      <c r="C511" s="12" t="s">
        <v>1586</v>
      </c>
      <c r="D511" s="12" t="s">
        <v>1012</v>
      </c>
      <c r="E511" s="12" t="s">
        <v>907</v>
      </c>
    </row>
    <row r="512" spans="1:6" ht="14.5" customHeight="1" x14ac:dyDescent="0.3">
      <c r="A512" s="12" t="s">
        <v>644</v>
      </c>
      <c r="B512" s="12" t="s">
        <v>977</v>
      </c>
      <c r="C512" s="12" t="s">
        <v>1587</v>
      </c>
      <c r="D512" s="12" t="s">
        <v>1010</v>
      </c>
      <c r="E512" s="12" t="s">
        <v>907</v>
      </c>
    </row>
    <row r="513" spans="1:6" ht="14.5" customHeight="1" x14ac:dyDescent="0.3">
      <c r="A513" s="12" t="s">
        <v>645</v>
      </c>
      <c r="B513" s="12" t="s">
        <v>977</v>
      </c>
      <c r="C513" s="12" t="s">
        <v>1588</v>
      </c>
      <c r="D513" s="12" t="s">
        <v>988</v>
      </c>
      <c r="E513" s="12" t="s">
        <v>989</v>
      </c>
      <c r="F513" s="12" t="s">
        <v>907</v>
      </c>
    </row>
    <row r="514" spans="1:6" ht="14.5" customHeight="1" x14ac:dyDescent="0.3">
      <c r="A514" s="12" t="s">
        <v>646</v>
      </c>
      <c r="B514" s="12" t="s">
        <v>977</v>
      </c>
      <c r="C514" s="12" t="s">
        <v>1015</v>
      </c>
      <c r="D514" s="12" t="s">
        <v>1016</v>
      </c>
      <c r="E514" s="12" t="s">
        <v>907</v>
      </c>
    </row>
    <row r="515" spans="1:6" ht="14.5" customHeight="1" x14ac:dyDescent="0.3">
      <c r="A515" s="12" t="s">
        <v>647</v>
      </c>
      <c r="B515" s="12" t="s">
        <v>977</v>
      </c>
      <c r="C515" s="12" t="s">
        <v>1589</v>
      </c>
      <c r="D515" s="12" t="s">
        <v>907</v>
      </c>
    </row>
    <row r="516" spans="1:6" ht="14.5" customHeight="1" x14ac:dyDescent="0.3">
      <c r="A516" s="12" t="s">
        <v>648</v>
      </c>
      <c r="B516" s="12" t="s">
        <v>977</v>
      </c>
      <c r="C516" s="12" t="s">
        <v>1590</v>
      </c>
      <c r="D516" s="12" t="s">
        <v>907</v>
      </c>
    </row>
    <row r="517" spans="1:6" ht="14.5" customHeight="1" x14ac:dyDescent="0.3">
      <c r="A517" s="12" t="s">
        <v>649</v>
      </c>
      <c r="B517" s="12" t="s">
        <v>977</v>
      </c>
      <c r="C517" s="12" t="s">
        <v>1591</v>
      </c>
      <c r="D517" s="12" t="s">
        <v>907</v>
      </c>
    </row>
    <row r="518" spans="1:6" ht="14.5" customHeight="1" x14ac:dyDescent="0.3">
      <c r="A518" s="12" t="s">
        <v>650</v>
      </c>
      <c r="B518" s="12" t="s">
        <v>977</v>
      </c>
      <c r="C518" s="12" t="s">
        <v>1592</v>
      </c>
      <c r="D518" s="12" t="s">
        <v>907</v>
      </c>
    </row>
    <row r="519" spans="1:6" ht="14.5" customHeight="1" x14ac:dyDescent="0.3">
      <c r="A519" s="12" t="s">
        <v>651</v>
      </c>
      <c r="B519" s="12" t="s">
        <v>977</v>
      </c>
      <c r="C519" s="12" t="s">
        <v>1593</v>
      </c>
      <c r="D519" s="12" t="s">
        <v>1129</v>
      </c>
    </row>
    <row r="520" spans="1:6" ht="14.5" customHeight="1" x14ac:dyDescent="0.3">
      <c r="A520" s="12" t="s">
        <v>652</v>
      </c>
      <c r="B520" s="12" t="s">
        <v>1019</v>
      </c>
      <c r="C520" s="12" t="s">
        <v>1594</v>
      </c>
      <c r="D520" s="12" t="s">
        <v>907</v>
      </c>
    </row>
    <row r="521" spans="1:6" ht="14.5" customHeight="1" x14ac:dyDescent="0.3">
      <c r="A521" s="12" t="s">
        <v>653</v>
      </c>
      <c r="B521" s="12" t="s">
        <v>1019</v>
      </c>
      <c r="C521" s="12" t="s">
        <v>1595</v>
      </c>
      <c r="D521" s="12" t="s">
        <v>907</v>
      </c>
    </row>
    <row r="522" spans="1:6" ht="14.5" customHeight="1" x14ac:dyDescent="0.3">
      <c r="A522" s="12" t="s">
        <v>654</v>
      </c>
      <c r="B522" s="12" t="s">
        <v>1019</v>
      </c>
      <c r="C522" s="12" t="s">
        <v>1596</v>
      </c>
      <c r="D522" s="12" t="s">
        <v>907</v>
      </c>
    </row>
    <row r="523" spans="1:6" ht="14.5" customHeight="1" x14ac:dyDescent="0.3">
      <c r="A523" s="12" t="s">
        <v>655</v>
      </c>
      <c r="B523" s="12" t="s">
        <v>1019</v>
      </c>
      <c r="C523" s="12" t="s">
        <v>1597</v>
      </c>
      <c r="D523" s="12" t="s">
        <v>907</v>
      </c>
    </row>
    <row r="524" spans="1:6" ht="14.5" customHeight="1" x14ac:dyDescent="0.3">
      <c r="A524" s="12" t="s">
        <v>656</v>
      </c>
      <c r="B524" s="12" t="s">
        <v>1019</v>
      </c>
      <c r="C524" s="12" t="s">
        <v>1598</v>
      </c>
      <c r="D524" s="12" t="s">
        <v>907</v>
      </c>
    </row>
    <row r="525" spans="1:6" ht="14.5" customHeight="1" x14ac:dyDescent="0.3">
      <c r="A525" s="12" t="s">
        <v>657</v>
      </c>
      <c r="B525" s="12" t="s">
        <v>1019</v>
      </c>
      <c r="C525" s="12" t="s">
        <v>1599</v>
      </c>
      <c r="D525" s="12" t="s">
        <v>988</v>
      </c>
      <c r="E525" s="12" t="s">
        <v>989</v>
      </c>
      <c r="F525" s="12" t="s">
        <v>907</v>
      </c>
    </row>
    <row r="526" spans="1:6" ht="14.5" customHeight="1" x14ac:dyDescent="0.3">
      <c r="A526" s="12" t="s">
        <v>658</v>
      </c>
      <c r="B526" s="12" t="s">
        <v>1019</v>
      </c>
      <c r="C526" s="12" t="s">
        <v>1600</v>
      </c>
      <c r="D526" s="12" t="s">
        <v>966</v>
      </c>
      <c r="E526" s="12" t="s">
        <v>961</v>
      </c>
      <c r="F526" s="12" t="s">
        <v>1023</v>
      </c>
    </row>
    <row r="527" spans="1:6" ht="14.5" customHeight="1" x14ac:dyDescent="0.3">
      <c r="A527" s="12" t="s">
        <v>659</v>
      </c>
      <c r="B527" s="12" t="s">
        <v>1019</v>
      </c>
      <c r="C527" s="12" t="s">
        <v>1601</v>
      </c>
      <c r="D527" s="12" t="s">
        <v>1027</v>
      </c>
      <c r="E527" s="12" t="s">
        <v>961</v>
      </c>
      <c r="F527" s="12" t="s">
        <v>1028</v>
      </c>
    </row>
    <row r="528" spans="1:6" ht="14.5" customHeight="1" x14ac:dyDescent="0.3">
      <c r="A528" s="12" t="s">
        <v>660</v>
      </c>
      <c r="B528" s="12" t="s">
        <v>1019</v>
      </c>
      <c r="C528" s="12" t="s">
        <v>1602</v>
      </c>
      <c r="D528" s="12" t="s">
        <v>1010</v>
      </c>
      <c r="E528" s="12" t="s">
        <v>907</v>
      </c>
    </row>
    <row r="529" spans="1:5" ht="14.5" customHeight="1" x14ac:dyDescent="0.3">
      <c r="A529" s="12" t="s">
        <v>661</v>
      </c>
      <c r="B529" s="12" t="s">
        <v>1019</v>
      </c>
      <c r="C529" s="12" t="s">
        <v>1020</v>
      </c>
      <c r="D529" s="12" t="s">
        <v>996</v>
      </c>
      <c r="E529" s="12" t="s">
        <v>907</v>
      </c>
    </row>
    <row r="530" spans="1:5" ht="14.5" customHeight="1" x14ac:dyDescent="0.3">
      <c r="A530" s="12" t="s">
        <v>662</v>
      </c>
      <c r="B530" s="12" t="s">
        <v>1019</v>
      </c>
      <c r="C530" s="12" t="s">
        <v>1603</v>
      </c>
      <c r="D530" s="12" t="s">
        <v>1014</v>
      </c>
      <c r="E530" s="12" t="s">
        <v>907</v>
      </c>
    </row>
    <row r="531" spans="1:5" ht="14.5" customHeight="1" x14ac:dyDescent="0.3">
      <c r="A531" s="12" t="s">
        <v>663</v>
      </c>
      <c r="B531" s="12" t="s">
        <v>1019</v>
      </c>
      <c r="C531" s="12" t="s">
        <v>1604</v>
      </c>
      <c r="D531" s="12" t="s">
        <v>998</v>
      </c>
      <c r="E531" s="12" t="s">
        <v>907</v>
      </c>
    </row>
    <row r="532" spans="1:5" ht="14.5" customHeight="1" x14ac:dyDescent="0.3">
      <c r="A532" s="12" t="s">
        <v>664</v>
      </c>
      <c r="B532" s="12" t="s">
        <v>1019</v>
      </c>
      <c r="C532" s="12" t="s">
        <v>1605</v>
      </c>
      <c r="D532" s="12" t="s">
        <v>1012</v>
      </c>
      <c r="E532" s="12" t="s">
        <v>907</v>
      </c>
    </row>
    <row r="533" spans="1:5" ht="14.5" customHeight="1" x14ac:dyDescent="0.3">
      <c r="A533" s="12" t="s">
        <v>665</v>
      </c>
      <c r="B533" s="12" t="s">
        <v>1029</v>
      </c>
      <c r="C533" s="12" t="s">
        <v>1030</v>
      </c>
      <c r="D533" s="12" t="s">
        <v>919</v>
      </c>
      <c r="E533" s="12" t="s">
        <v>907</v>
      </c>
    </row>
    <row r="534" spans="1:5" ht="14.5" customHeight="1" x14ac:dyDescent="0.3">
      <c r="A534" s="12" t="s">
        <v>666</v>
      </c>
      <c r="B534" s="12" t="s">
        <v>1029</v>
      </c>
      <c r="C534" s="12" t="s">
        <v>1606</v>
      </c>
      <c r="D534" s="12" t="s">
        <v>1032</v>
      </c>
      <c r="E534" s="12" t="s">
        <v>907</v>
      </c>
    </row>
    <row r="535" spans="1:5" ht="14.5" customHeight="1" x14ac:dyDescent="0.3">
      <c r="A535" s="12" t="s">
        <v>667</v>
      </c>
      <c r="B535" s="12" t="s">
        <v>1029</v>
      </c>
      <c r="C535" s="12" t="s">
        <v>1607</v>
      </c>
      <c r="D535" s="12" t="s">
        <v>1012</v>
      </c>
      <c r="E535" s="12" t="s">
        <v>907</v>
      </c>
    </row>
    <row r="536" spans="1:5" ht="14.5" customHeight="1" x14ac:dyDescent="0.3">
      <c r="A536" s="12" t="s">
        <v>668</v>
      </c>
      <c r="B536" s="12" t="s">
        <v>1029</v>
      </c>
      <c r="C536" s="12" t="s">
        <v>1608</v>
      </c>
      <c r="D536" s="12" t="s">
        <v>1035</v>
      </c>
      <c r="E536" s="12" t="s">
        <v>907</v>
      </c>
    </row>
    <row r="537" spans="1:5" ht="14.5" customHeight="1" x14ac:dyDescent="0.3">
      <c r="A537" s="12" t="s">
        <v>669</v>
      </c>
      <c r="B537" s="12" t="s">
        <v>1029</v>
      </c>
      <c r="C537" s="12" t="s">
        <v>1036</v>
      </c>
      <c r="D537" s="12" t="s">
        <v>1037</v>
      </c>
      <c r="E537" s="12" t="s">
        <v>907</v>
      </c>
    </row>
    <row r="538" spans="1:5" ht="14.5" customHeight="1" x14ac:dyDescent="0.3">
      <c r="A538" s="12" t="s">
        <v>670</v>
      </c>
      <c r="B538" s="12" t="s">
        <v>1029</v>
      </c>
      <c r="C538" s="12" t="s">
        <v>1038</v>
      </c>
      <c r="D538" s="12" t="s">
        <v>915</v>
      </c>
      <c r="E538" s="12" t="s">
        <v>907</v>
      </c>
    </row>
    <row r="539" spans="1:5" ht="14.5" customHeight="1" x14ac:dyDescent="0.3">
      <c r="A539" s="12" t="s">
        <v>671</v>
      </c>
      <c r="B539" s="12" t="s">
        <v>1029</v>
      </c>
      <c r="C539" s="12" t="s">
        <v>1039</v>
      </c>
      <c r="D539" s="12" t="s">
        <v>1040</v>
      </c>
      <c r="E539" s="12" t="s">
        <v>911</v>
      </c>
    </row>
    <row r="540" spans="1:5" ht="14.5" customHeight="1" x14ac:dyDescent="0.3">
      <c r="A540" s="12" t="s">
        <v>672</v>
      </c>
      <c r="B540" s="12" t="s">
        <v>1029</v>
      </c>
      <c r="C540" s="12" t="s">
        <v>1041</v>
      </c>
      <c r="D540" s="12" t="s">
        <v>1042</v>
      </c>
      <c r="E540" s="12" t="s">
        <v>907</v>
      </c>
    </row>
    <row r="541" spans="1:5" ht="14.5" customHeight="1" x14ac:dyDescent="0.3">
      <c r="A541" s="12" t="s">
        <v>673</v>
      </c>
      <c r="B541" s="12" t="s">
        <v>1029</v>
      </c>
      <c r="C541" s="12" t="s">
        <v>1609</v>
      </c>
      <c r="D541" s="12" t="s">
        <v>907</v>
      </c>
    </row>
    <row r="542" spans="1:5" ht="14.5" customHeight="1" x14ac:dyDescent="0.3">
      <c r="A542" s="12" t="s">
        <v>674</v>
      </c>
      <c r="B542" s="12" t="s">
        <v>913</v>
      </c>
      <c r="C542" s="12" t="s">
        <v>1610</v>
      </c>
      <c r="D542" s="12" t="s">
        <v>907</v>
      </c>
    </row>
    <row r="543" spans="1:5" ht="14.5" customHeight="1" x14ac:dyDescent="0.3">
      <c r="A543" s="12" t="s">
        <v>675</v>
      </c>
      <c r="B543" s="12" t="s">
        <v>913</v>
      </c>
      <c r="C543" s="12" t="s">
        <v>1611</v>
      </c>
      <c r="D543" s="12" t="s">
        <v>907</v>
      </c>
    </row>
    <row r="544" spans="1:5" ht="14.5" customHeight="1" x14ac:dyDescent="0.3">
      <c r="A544" s="12" t="s">
        <v>469</v>
      </c>
      <c r="B544" s="12" t="s">
        <v>913</v>
      </c>
      <c r="C544" s="12" t="s">
        <v>1381</v>
      </c>
      <c r="D544" s="12" t="s">
        <v>907</v>
      </c>
    </row>
    <row r="545" spans="1:5" ht="14.5" customHeight="1" x14ac:dyDescent="0.3">
      <c r="A545" s="12" t="s">
        <v>676</v>
      </c>
      <c r="B545" s="12" t="s">
        <v>1044</v>
      </c>
      <c r="C545" s="12" t="s">
        <v>1612</v>
      </c>
      <c r="D545" s="12" t="s">
        <v>907</v>
      </c>
    </row>
    <row r="546" spans="1:5" ht="14.5" customHeight="1" x14ac:dyDescent="0.3">
      <c r="A546" s="12" t="s">
        <v>544</v>
      </c>
      <c r="B546" s="12" t="s">
        <v>1044</v>
      </c>
      <c r="C546" s="12" t="s">
        <v>1467</v>
      </c>
      <c r="D546" s="12" t="s">
        <v>907</v>
      </c>
    </row>
    <row r="547" spans="1:5" ht="14.5" customHeight="1" x14ac:dyDescent="0.3">
      <c r="A547" s="12" t="s">
        <v>677</v>
      </c>
      <c r="B547" s="12" t="s">
        <v>1044</v>
      </c>
      <c r="C547" s="12" t="s">
        <v>1613</v>
      </c>
      <c r="D547" s="12" t="s">
        <v>907</v>
      </c>
    </row>
    <row r="548" spans="1:5" ht="14.5" customHeight="1" x14ac:dyDescent="0.3">
      <c r="A548" s="12" t="s">
        <v>678</v>
      </c>
      <c r="B548" s="12" t="s">
        <v>1044</v>
      </c>
      <c r="C548" s="12" t="s">
        <v>1614</v>
      </c>
      <c r="D548" s="12" t="s">
        <v>907</v>
      </c>
    </row>
    <row r="549" spans="1:5" ht="14.5" customHeight="1" x14ac:dyDescent="0.3">
      <c r="A549" s="12" t="s">
        <v>679</v>
      </c>
      <c r="B549" s="12" t="s">
        <v>1044</v>
      </c>
      <c r="C549" s="12" t="s">
        <v>1615</v>
      </c>
      <c r="D549" s="12" t="s">
        <v>907</v>
      </c>
    </row>
    <row r="550" spans="1:5" ht="14.5" customHeight="1" x14ac:dyDescent="0.3">
      <c r="A550" s="12" t="s">
        <v>680</v>
      </c>
      <c r="B550" s="12" t="s">
        <v>1044</v>
      </c>
      <c r="C550" s="12" t="s">
        <v>1616</v>
      </c>
      <c r="D550" s="12" t="s">
        <v>907</v>
      </c>
    </row>
    <row r="551" spans="1:5" ht="14.5" customHeight="1" x14ac:dyDescent="0.3">
      <c r="A551" s="12" t="s">
        <v>681</v>
      </c>
      <c r="B551" s="12" t="s">
        <v>1044</v>
      </c>
      <c r="C551" s="12" t="s">
        <v>1617</v>
      </c>
      <c r="D551" s="12" t="s">
        <v>1054</v>
      </c>
      <c r="E551" s="12" t="s">
        <v>1618</v>
      </c>
    </row>
    <row r="552" spans="1:5" ht="14.5" customHeight="1" x14ac:dyDescent="0.3">
      <c r="A552" s="12" t="s">
        <v>682</v>
      </c>
      <c r="B552" s="12" t="s">
        <v>1044</v>
      </c>
      <c r="C552" s="12" t="s">
        <v>1619</v>
      </c>
      <c r="D552" s="12" t="s">
        <v>907</v>
      </c>
    </row>
    <row r="553" spans="1:5" ht="14.5" customHeight="1" x14ac:dyDescent="0.3">
      <c r="A553" s="12" t="s">
        <v>683</v>
      </c>
      <c r="B553" s="12" t="s">
        <v>926</v>
      </c>
      <c r="C553" s="12" t="s">
        <v>1620</v>
      </c>
      <c r="D553" s="12" t="s">
        <v>907</v>
      </c>
    </row>
    <row r="554" spans="1:5" ht="14.5" customHeight="1" x14ac:dyDescent="0.3">
      <c r="A554" s="12" t="s">
        <v>684</v>
      </c>
      <c r="B554" s="12" t="s">
        <v>926</v>
      </c>
      <c r="C554" s="12" t="s">
        <v>1621</v>
      </c>
      <c r="D554" s="12" t="s">
        <v>907</v>
      </c>
    </row>
    <row r="555" spans="1:5" ht="14.5" customHeight="1" x14ac:dyDescent="0.3">
      <c r="A555" s="12" t="s">
        <v>685</v>
      </c>
      <c r="B555" s="12" t="s">
        <v>926</v>
      </c>
      <c r="C555" s="12" t="s">
        <v>1622</v>
      </c>
      <c r="D555" s="12" t="s">
        <v>907</v>
      </c>
    </row>
    <row r="556" spans="1:5" ht="14.5" customHeight="1" x14ac:dyDescent="0.3">
      <c r="A556" s="12" t="s">
        <v>686</v>
      </c>
      <c r="B556" s="12" t="s">
        <v>926</v>
      </c>
      <c r="C556" s="12" t="s">
        <v>1623</v>
      </c>
      <c r="D556" s="12" t="s">
        <v>907</v>
      </c>
    </row>
    <row r="557" spans="1:5" ht="14.5" customHeight="1" x14ac:dyDescent="0.3">
      <c r="A557" s="12" t="s">
        <v>687</v>
      </c>
      <c r="B557" s="12" t="s">
        <v>926</v>
      </c>
      <c r="C557" s="12" t="s">
        <v>1624</v>
      </c>
      <c r="D557" s="12" t="s">
        <v>907</v>
      </c>
    </row>
    <row r="558" spans="1:5" ht="14.5" customHeight="1" x14ac:dyDescent="0.3">
      <c r="A558" s="12" t="s">
        <v>688</v>
      </c>
      <c r="B558" s="12" t="s">
        <v>926</v>
      </c>
      <c r="C558" s="12" t="s">
        <v>1625</v>
      </c>
      <c r="D558" s="12" t="s">
        <v>907</v>
      </c>
    </row>
    <row r="559" spans="1:5" ht="14.5" customHeight="1" x14ac:dyDescent="0.3">
      <c r="A559" s="12" t="s">
        <v>689</v>
      </c>
      <c r="B559" s="12" t="s">
        <v>929</v>
      </c>
      <c r="C559" s="12" t="s">
        <v>1626</v>
      </c>
      <c r="D559" s="12" t="s">
        <v>907</v>
      </c>
    </row>
    <row r="560" spans="1:5" ht="14.5" customHeight="1" x14ac:dyDescent="0.3">
      <c r="A560" s="12" t="s">
        <v>690</v>
      </c>
      <c r="B560" s="12" t="s">
        <v>929</v>
      </c>
      <c r="C560" s="12" t="s">
        <v>1627</v>
      </c>
      <c r="D560" s="12" t="s">
        <v>907</v>
      </c>
    </row>
    <row r="561" spans="1:4" ht="14.5" customHeight="1" x14ac:dyDescent="0.3">
      <c r="A561" s="12" t="s">
        <v>691</v>
      </c>
      <c r="B561" s="12" t="s">
        <v>929</v>
      </c>
      <c r="C561" s="12" t="s">
        <v>1628</v>
      </c>
      <c r="D561" s="12" t="s">
        <v>907</v>
      </c>
    </row>
    <row r="562" spans="1:4" ht="14.5" customHeight="1" x14ac:dyDescent="0.3">
      <c r="A562" s="12" t="s">
        <v>692</v>
      </c>
      <c r="B562" s="12" t="s">
        <v>935</v>
      </c>
      <c r="C562" s="12" t="s">
        <v>1629</v>
      </c>
      <c r="D562" s="12" t="s">
        <v>907</v>
      </c>
    </row>
    <row r="563" spans="1:4" ht="14.5" customHeight="1" x14ac:dyDescent="0.3">
      <c r="A563" s="12" t="s">
        <v>693</v>
      </c>
      <c r="B563" s="12" t="s">
        <v>935</v>
      </c>
      <c r="C563" s="12" t="s">
        <v>1630</v>
      </c>
      <c r="D563" s="12" t="s">
        <v>907</v>
      </c>
    </row>
    <row r="564" spans="1:4" ht="14.5" customHeight="1" x14ac:dyDescent="0.3">
      <c r="A564" s="12" t="s">
        <v>694</v>
      </c>
      <c r="B564" s="12" t="s">
        <v>935</v>
      </c>
      <c r="C564" s="12" t="s">
        <v>1631</v>
      </c>
      <c r="D564" s="12" t="s">
        <v>907</v>
      </c>
    </row>
    <row r="565" spans="1:4" ht="14.5" customHeight="1" x14ac:dyDescent="0.3">
      <c r="A565" s="12" t="s">
        <v>695</v>
      </c>
      <c r="B565" s="12" t="s">
        <v>935</v>
      </c>
      <c r="C565" s="12" t="s">
        <v>1632</v>
      </c>
      <c r="D565" s="12" t="s">
        <v>907</v>
      </c>
    </row>
    <row r="566" spans="1:4" ht="14.5" customHeight="1" x14ac:dyDescent="0.3">
      <c r="A566" s="12" t="s">
        <v>696</v>
      </c>
      <c r="B566" s="12" t="s">
        <v>935</v>
      </c>
      <c r="C566" s="12" t="s">
        <v>1633</v>
      </c>
      <c r="D566" s="12" t="s">
        <v>907</v>
      </c>
    </row>
    <row r="567" spans="1:4" ht="14.5" customHeight="1" x14ac:dyDescent="0.3">
      <c r="A567" s="12" t="s">
        <v>697</v>
      </c>
      <c r="B567" s="12" t="s">
        <v>935</v>
      </c>
      <c r="C567" s="12" t="s">
        <v>1634</v>
      </c>
      <c r="D567" s="12" t="s">
        <v>907</v>
      </c>
    </row>
    <row r="568" spans="1:4" ht="14.5" customHeight="1" x14ac:dyDescent="0.3">
      <c r="A568" s="12" t="s">
        <v>698</v>
      </c>
      <c r="B568" s="12" t="s">
        <v>935</v>
      </c>
      <c r="C568" s="12" t="s">
        <v>1635</v>
      </c>
      <c r="D568" s="12" t="s">
        <v>907</v>
      </c>
    </row>
    <row r="569" spans="1:4" ht="14.5" customHeight="1" x14ac:dyDescent="0.3">
      <c r="A569" s="12" t="s">
        <v>699</v>
      </c>
      <c r="B569" s="12" t="s">
        <v>935</v>
      </c>
      <c r="C569" s="12" t="s">
        <v>1636</v>
      </c>
      <c r="D569" s="12" t="s">
        <v>907</v>
      </c>
    </row>
    <row r="570" spans="1:4" ht="14.5" customHeight="1" x14ac:dyDescent="0.3">
      <c r="A570" s="12" t="s">
        <v>700</v>
      </c>
      <c r="B570" s="12" t="s">
        <v>935</v>
      </c>
      <c r="C570" s="12" t="s">
        <v>1637</v>
      </c>
      <c r="D570" s="12" t="s">
        <v>907</v>
      </c>
    </row>
    <row r="571" spans="1:4" ht="14.5" customHeight="1" x14ac:dyDescent="0.3">
      <c r="A571" s="12" t="s">
        <v>701</v>
      </c>
      <c r="B571" s="12" t="s">
        <v>935</v>
      </c>
      <c r="C571" s="12" t="s">
        <v>1638</v>
      </c>
      <c r="D571" s="12" t="s">
        <v>907</v>
      </c>
    </row>
    <row r="572" spans="1:4" ht="14.5" customHeight="1" x14ac:dyDescent="0.3">
      <c r="A572" s="12" t="s">
        <v>702</v>
      </c>
      <c r="B572" s="12" t="s">
        <v>935</v>
      </c>
      <c r="C572" s="12" t="s">
        <v>1639</v>
      </c>
      <c r="D572" s="12" t="s">
        <v>907</v>
      </c>
    </row>
    <row r="573" spans="1:4" ht="14.5" customHeight="1" x14ac:dyDescent="0.3">
      <c r="A573" s="12" t="s">
        <v>703</v>
      </c>
      <c r="B573" s="12" t="s">
        <v>935</v>
      </c>
      <c r="C573" s="12" t="s">
        <v>1640</v>
      </c>
      <c r="D573" s="12" t="s">
        <v>907</v>
      </c>
    </row>
    <row r="574" spans="1:4" ht="14.5" customHeight="1" x14ac:dyDescent="0.3">
      <c r="A574" s="12" t="s">
        <v>704</v>
      </c>
      <c r="B574" s="12" t="s">
        <v>935</v>
      </c>
      <c r="C574" s="12" t="s">
        <v>1641</v>
      </c>
      <c r="D574" s="12" t="s">
        <v>907</v>
      </c>
    </row>
    <row r="575" spans="1:4" ht="14.5" customHeight="1" x14ac:dyDescent="0.3">
      <c r="A575" s="12" t="s">
        <v>705</v>
      </c>
      <c r="B575" s="12" t="s">
        <v>935</v>
      </c>
      <c r="C575" s="12" t="s">
        <v>1642</v>
      </c>
      <c r="D575" s="12" t="s">
        <v>907</v>
      </c>
    </row>
    <row r="576" spans="1:4" ht="14.5" customHeight="1" x14ac:dyDescent="0.3">
      <c r="A576" s="12" t="s">
        <v>706</v>
      </c>
      <c r="B576" s="12" t="s">
        <v>935</v>
      </c>
      <c r="C576" s="12" t="s">
        <v>1643</v>
      </c>
      <c r="D576" s="12" t="s">
        <v>907</v>
      </c>
    </row>
    <row r="577" spans="1:5" ht="14.5" customHeight="1" x14ac:dyDescent="0.3">
      <c r="A577" s="12" t="s">
        <v>707</v>
      </c>
      <c r="B577" s="12" t="s">
        <v>935</v>
      </c>
      <c r="C577" s="12" t="s">
        <v>1644</v>
      </c>
      <c r="D577" s="12" t="s">
        <v>907</v>
      </c>
    </row>
    <row r="578" spans="1:5" ht="14.5" customHeight="1" x14ac:dyDescent="0.3">
      <c r="A578" s="12" t="s">
        <v>708</v>
      </c>
      <c r="B578" s="12" t="s">
        <v>937</v>
      </c>
      <c r="C578" s="12" t="s">
        <v>1645</v>
      </c>
      <c r="D578" s="12" t="s">
        <v>907</v>
      </c>
    </row>
    <row r="579" spans="1:5" ht="14.5" customHeight="1" x14ac:dyDescent="0.3">
      <c r="A579" s="12" t="s">
        <v>709</v>
      </c>
      <c r="B579" s="12" t="s">
        <v>937</v>
      </c>
      <c r="C579" s="12" t="s">
        <v>1646</v>
      </c>
      <c r="D579" s="12" t="s">
        <v>907</v>
      </c>
    </row>
    <row r="580" spans="1:5" ht="14.5" customHeight="1" x14ac:dyDescent="0.3">
      <c r="A580" s="12" t="s">
        <v>710</v>
      </c>
      <c r="B580" s="12" t="s">
        <v>937</v>
      </c>
      <c r="C580" s="12" t="s">
        <v>1647</v>
      </c>
      <c r="D580" s="12" t="s">
        <v>907</v>
      </c>
    </row>
    <row r="581" spans="1:5" ht="14.5" customHeight="1" x14ac:dyDescent="0.3">
      <c r="A581" s="12" t="s">
        <v>711</v>
      </c>
      <c r="B581" s="12" t="s">
        <v>1048</v>
      </c>
      <c r="C581" s="12" t="s">
        <v>1648</v>
      </c>
      <c r="D581" s="12" t="s">
        <v>907</v>
      </c>
    </row>
    <row r="582" spans="1:5" ht="14.5" customHeight="1" x14ac:dyDescent="0.3">
      <c r="A582" s="12" t="s">
        <v>712</v>
      </c>
      <c r="B582" s="12" t="s">
        <v>937</v>
      </c>
      <c r="C582" s="12" t="s">
        <v>1649</v>
      </c>
      <c r="D582" s="12" t="s">
        <v>907</v>
      </c>
    </row>
    <row r="583" spans="1:5" ht="14.5" customHeight="1" x14ac:dyDescent="0.3">
      <c r="A583" s="12" t="s">
        <v>713</v>
      </c>
      <c r="B583" s="12" t="s">
        <v>1048</v>
      </c>
      <c r="C583" s="12" t="s">
        <v>1650</v>
      </c>
      <c r="D583" s="12" t="s">
        <v>907</v>
      </c>
    </row>
    <row r="584" spans="1:5" ht="14.5" customHeight="1" x14ac:dyDescent="0.3">
      <c r="A584" s="12" t="s">
        <v>714</v>
      </c>
      <c r="B584" s="12" t="s">
        <v>1048</v>
      </c>
      <c r="C584" s="12" t="s">
        <v>1651</v>
      </c>
      <c r="D584" s="12" t="s">
        <v>907</v>
      </c>
    </row>
    <row r="585" spans="1:5" ht="14.5" customHeight="1" x14ac:dyDescent="0.3">
      <c r="A585" s="12" t="s">
        <v>715</v>
      </c>
      <c r="B585" s="12" t="s">
        <v>1048</v>
      </c>
      <c r="C585" s="12" t="s">
        <v>1652</v>
      </c>
      <c r="D585" s="12" t="s">
        <v>907</v>
      </c>
    </row>
    <row r="586" spans="1:5" ht="14.5" customHeight="1" x14ac:dyDescent="0.3">
      <c r="A586" s="12" t="s">
        <v>716</v>
      </c>
      <c r="B586" s="12" t="s">
        <v>1296</v>
      </c>
      <c r="C586" s="12" t="s">
        <v>1295</v>
      </c>
      <c r="D586" s="12" t="s">
        <v>907</v>
      </c>
    </row>
    <row r="587" spans="1:5" ht="14.5" customHeight="1" x14ac:dyDescent="0.3">
      <c r="A587" s="12" t="s">
        <v>717</v>
      </c>
      <c r="B587" s="12" t="s">
        <v>1296</v>
      </c>
      <c r="C587" s="12" t="s">
        <v>1653</v>
      </c>
      <c r="D587" s="12" t="s">
        <v>907</v>
      </c>
    </row>
    <row r="588" spans="1:5" ht="14.5" customHeight="1" x14ac:dyDescent="0.3">
      <c r="A588" s="12" t="s">
        <v>718</v>
      </c>
      <c r="B588" s="12" t="s">
        <v>1050</v>
      </c>
      <c r="C588" s="12" t="s">
        <v>1654</v>
      </c>
      <c r="D588" s="12" t="s">
        <v>907</v>
      </c>
    </row>
    <row r="589" spans="1:5" ht="14.5" customHeight="1" x14ac:dyDescent="0.3">
      <c r="A589" s="12" t="s">
        <v>719</v>
      </c>
      <c r="B589" s="12" t="s">
        <v>1050</v>
      </c>
      <c r="C589" s="12" t="s">
        <v>1655</v>
      </c>
      <c r="D589" s="12" t="s">
        <v>907</v>
      </c>
    </row>
    <row r="590" spans="1:5" ht="14.5" customHeight="1" x14ac:dyDescent="0.3">
      <c r="A590" s="12" t="s">
        <v>720</v>
      </c>
      <c r="B590" s="12" t="s">
        <v>1050</v>
      </c>
      <c r="C590" s="12" t="s">
        <v>1656</v>
      </c>
      <c r="D590" s="12" t="s">
        <v>907</v>
      </c>
    </row>
    <row r="591" spans="1:5" ht="14.5" customHeight="1" x14ac:dyDescent="0.3">
      <c r="A591" s="12" t="s">
        <v>721</v>
      </c>
      <c r="B591" s="12" t="s">
        <v>1050</v>
      </c>
      <c r="C591" s="12" t="s">
        <v>1657</v>
      </c>
      <c r="D591" s="12" t="s">
        <v>1054</v>
      </c>
      <c r="E591" s="12" t="s">
        <v>1149</v>
      </c>
    </row>
    <row r="592" spans="1:5" ht="14.5" customHeight="1" x14ac:dyDescent="0.3">
      <c r="A592" s="12" t="s">
        <v>722</v>
      </c>
      <c r="B592" s="12" t="s">
        <v>1050</v>
      </c>
      <c r="C592" s="12" t="s">
        <v>1658</v>
      </c>
      <c r="D592" s="12" t="s">
        <v>907</v>
      </c>
    </row>
    <row r="593" spans="1:5" ht="14.5" customHeight="1" x14ac:dyDescent="0.3">
      <c r="A593" s="12" t="s">
        <v>723</v>
      </c>
      <c r="B593" s="12" t="s">
        <v>1050</v>
      </c>
      <c r="C593" s="12" t="s">
        <v>1659</v>
      </c>
      <c r="D593" s="12" t="s">
        <v>907</v>
      </c>
    </row>
    <row r="594" spans="1:5" ht="14.5" customHeight="1" x14ac:dyDescent="0.3">
      <c r="A594" s="12" t="s">
        <v>724</v>
      </c>
      <c r="B594" s="12" t="s">
        <v>1050</v>
      </c>
      <c r="C594" s="12" t="s">
        <v>1660</v>
      </c>
      <c r="D594" s="12" t="s">
        <v>907</v>
      </c>
    </row>
    <row r="595" spans="1:5" ht="14.5" customHeight="1" x14ac:dyDescent="0.3">
      <c r="A595" s="12" t="s">
        <v>725</v>
      </c>
      <c r="B595" s="12" t="s">
        <v>942</v>
      </c>
      <c r="C595" s="12" t="s">
        <v>1661</v>
      </c>
      <c r="D595" s="12" t="s">
        <v>907</v>
      </c>
    </row>
    <row r="596" spans="1:5" ht="14.5" customHeight="1" x14ac:dyDescent="0.3">
      <c r="A596" s="12" t="s">
        <v>726</v>
      </c>
      <c r="B596" s="12" t="s">
        <v>942</v>
      </c>
      <c r="C596" s="12" t="s">
        <v>1662</v>
      </c>
      <c r="D596" s="12" t="s">
        <v>1444</v>
      </c>
      <c r="E596" s="12" t="s">
        <v>907</v>
      </c>
    </row>
    <row r="597" spans="1:5" ht="14.5" customHeight="1" x14ac:dyDescent="0.3">
      <c r="A597" s="12" t="s">
        <v>727</v>
      </c>
      <c r="B597" s="12" t="s">
        <v>942</v>
      </c>
      <c r="C597" s="12" t="s">
        <v>1663</v>
      </c>
      <c r="D597" s="12" t="s">
        <v>907</v>
      </c>
    </row>
    <row r="598" spans="1:5" ht="14.5" customHeight="1" x14ac:dyDescent="0.3">
      <c r="A598" s="12" t="s">
        <v>728</v>
      </c>
      <c r="B598" s="12" t="s">
        <v>942</v>
      </c>
      <c r="C598" s="12" t="s">
        <v>1664</v>
      </c>
      <c r="D598" s="12" t="s">
        <v>907</v>
      </c>
    </row>
    <row r="599" spans="1:5" ht="14.5" customHeight="1" x14ac:dyDescent="0.3">
      <c r="A599" s="12" t="s">
        <v>729</v>
      </c>
      <c r="B599" s="12" t="s">
        <v>942</v>
      </c>
      <c r="C599" s="12" t="s">
        <v>1665</v>
      </c>
      <c r="D599" s="12" t="s">
        <v>907</v>
      </c>
    </row>
    <row r="600" spans="1:5" ht="14.5" customHeight="1" x14ac:dyDescent="0.3">
      <c r="A600" s="12" t="s">
        <v>730</v>
      </c>
      <c r="B600" s="12" t="s">
        <v>944</v>
      </c>
      <c r="C600" s="12" t="s">
        <v>1666</v>
      </c>
      <c r="D600" s="12" t="s">
        <v>907</v>
      </c>
    </row>
    <row r="601" spans="1:5" ht="14.5" customHeight="1" x14ac:dyDescent="0.3">
      <c r="A601" s="12" t="s">
        <v>731</v>
      </c>
      <c r="B601" s="12" t="s">
        <v>944</v>
      </c>
      <c r="C601" s="12" t="s">
        <v>1667</v>
      </c>
      <c r="D601" s="12" t="s">
        <v>907</v>
      </c>
    </row>
    <row r="602" spans="1:5" ht="14.5" customHeight="1" x14ac:dyDescent="0.3">
      <c r="A602" s="12" t="s">
        <v>732</v>
      </c>
      <c r="B602" s="12" t="s">
        <v>944</v>
      </c>
      <c r="C602" s="12" t="s">
        <v>1668</v>
      </c>
      <c r="D602" s="12" t="s">
        <v>907</v>
      </c>
    </row>
    <row r="603" spans="1:5" ht="14.5" customHeight="1" x14ac:dyDescent="0.3">
      <c r="A603" s="12" t="s">
        <v>733</v>
      </c>
      <c r="B603" s="12" t="s">
        <v>946</v>
      </c>
      <c r="C603" s="12" t="s">
        <v>1669</v>
      </c>
      <c r="D603" s="12" t="s">
        <v>907</v>
      </c>
    </row>
    <row r="604" spans="1:5" ht="14.5" customHeight="1" x14ac:dyDescent="0.3">
      <c r="A604" s="12" t="s">
        <v>734</v>
      </c>
      <c r="B604" s="12" t="s">
        <v>946</v>
      </c>
      <c r="C604" s="12" t="s">
        <v>1670</v>
      </c>
      <c r="D604" s="12" t="s">
        <v>907</v>
      </c>
    </row>
    <row r="605" spans="1:5" ht="14.5" customHeight="1" x14ac:dyDescent="0.3">
      <c r="A605" s="12" t="s">
        <v>735</v>
      </c>
      <c r="B605" s="12" t="s">
        <v>946</v>
      </c>
      <c r="C605" s="12" t="s">
        <v>1671</v>
      </c>
      <c r="D605" s="12" t="s">
        <v>907</v>
      </c>
    </row>
    <row r="606" spans="1:5" ht="14.5" customHeight="1" x14ac:dyDescent="0.3">
      <c r="A606" s="12" t="s">
        <v>736</v>
      </c>
      <c r="B606" s="12" t="s">
        <v>946</v>
      </c>
      <c r="C606" s="12" t="s">
        <v>1672</v>
      </c>
      <c r="D606" s="12" t="s">
        <v>907</v>
      </c>
    </row>
    <row r="607" spans="1:5" ht="14.5" customHeight="1" x14ac:dyDescent="0.3">
      <c r="A607" s="12" t="s">
        <v>737</v>
      </c>
      <c r="B607" s="12" t="s">
        <v>946</v>
      </c>
      <c r="C607" s="12" t="s">
        <v>1673</v>
      </c>
      <c r="D607" s="12" t="s">
        <v>907</v>
      </c>
    </row>
    <row r="608" spans="1:5" ht="14.5" customHeight="1" x14ac:dyDescent="0.3">
      <c r="A608" s="12" t="s">
        <v>738</v>
      </c>
      <c r="B608" s="12" t="s">
        <v>946</v>
      </c>
      <c r="C608" s="12" t="s">
        <v>1674</v>
      </c>
      <c r="D608" s="12" t="s">
        <v>907</v>
      </c>
    </row>
    <row r="609" spans="1:4" ht="14.5" customHeight="1" x14ac:dyDescent="0.3">
      <c r="A609" s="12" t="s">
        <v>739</v>
      </c>
      <c r="B609" s="12" t="s">
        <v>946</v>
      </c>
      <c r="C609" s="12" t="s">
        <v>1675</v>
      </c>
      <c r="D609" s="12" t="s">
        <v>907</v>
      </c>
    </row>
    <row r="610" spans="1:4" ht="14.5" customHeight="1" x14ac:dyDescent="0.3">
      <c r="A610" s="12" t="s">
        <v>740</v>
      </c>
      <c r="B610" s="12" t="s">
        <v>946</v>
      </c>
      <c r="C610" s="12" t="s">
        <v>1676</v>
      </c>
      <c r="D610" s="12" t="s">
        <v>907</v>
      </c>
    </row>
    <row r="611" spans="1:4" ht="14.5" customHeight="1" x14ac:dyDescent="0.3">
      <c r="A611" s="12" t="s">
        <v>741</v>
      </c>
      <c r="B611" s="12" t="s">
        <v>946</v>
      </c>
      <c r="C611" s="12" t="s">
        <v>1677</v>
      </c>
      <c r="D611" s="12" t="s">
        <v>907</v>
      </c>
    </row>
    <row r="612" spans="1:4" ht="14.5" customHeight="1" x14ac:dyDescent="0.3">
      <c r="A612" s="12" t="s">
        <v>742</v>
      </c>
      <c r="B612" s="12" t="s">
        <v>946</v>
      </c>
      <c r="C612" s="12" t="s">
        <v>1678</v>
      </c>
      <c r="D612" s="12" t="s">
        <v>907</v>
      </c>
    </row>
    <row r="613" spans="1:4" ht="14.5" customHeight="1" x14ac:dyDescent="0.3">
      <c r="A613" s="12" t="s">
        <v>743</v>
      </c>
      <c r="B613" s="12" t="s">
        <v>946</v>
      </c>
      <c r="C613" s="12" t="s">
        <v>1679</v>
      </c>
      <c r="D613" s="12" t="s">
        <v>907</v>
      </c>
    </row>
    <row r="614" spans="1:4" ht="14.5" customHeight="1" x14ac:dyDescent="0.3">
      <c r="A614" s="12" t="s">
        <v>744</v>
      </c>
      <c r="B614" s="12" t="s">
        <v>946</v>
      </c>
      <c r="C614" s="12" t="s">
        <v>1680</v>
      </c>
      <c r="D614" s="12" t="s">
        <v>907</v>
      </c>
    </row>
    <row r="615" spans="1:4" ht="14.5" customHeight="1" x14ac:dyDescent="0.3">
      <c r="A615" s="12" t="s">
        <v>745</v>
      </c>
      <c r="B615" s="12" t="s">
        <v>946</v>
      </c>
      <c r="C615" s="12" t="s">
        <v>1681</v>
      </c>
      <c r="D615" s="12" t="s">
        <v>907</v>
      </c>
    </row>
    <row r="616" spans="1:4" ht="14.5" customHeight="1" x14ac:dyDescent="0.3">
      <c r="A616" s="12" t="s">
        <v>746</v>
      </c>
      <c r="B616" s="12" t="s">
        <v>949</v>
      </c>
      <c r="C616" s="12" t="s">
        <v>1682</v>
      </c>
      <c r="D616" s="12" t="s">
        <v>907</v>
      </c>
    </row>
    <row r="617" spans="1:4" ht="14.5" customHeight="1" x14ac:dyDescent="0.3">
      <c r="A617" s="12" t="s">
        <v>747</v>
      </c>
      <c r="B617" s="12" t="s">
        <v>949</v>
      </c>
      <c r="C617" s="12" t="s">
        <v>1683</v>
      </c>
      <c r="D617" s="12" t="s">
        <v>907</v>
      </c>
    </row>
    <row r="618" spans="1:4" ht="14.5" customHeight="1" x14ac:dyDescent="0.3">
      <c r="A618" s="12" t="s">
        <v>748</v>
      </c>
      <c r="B618" s="12" t="s">
        <v>949</v>
      </c>
      <c r="C618" s="12" t="s">
        <v>1684</v>
      </c>
      <c r="D618" s="12" t="s">
        <v>907</v>
      </c>
    </row>
    <row r="619" spans="1:4" ht="14.5" customHeight="1" x14ac:dyDescent="0.3">
      <c r="A619" s="12" t="s">
        <v>749</v>
      </c>
      <c r="B619" s="12" t="s">
        <v>949</v>
      </c>
      <c r="C619" s="12" t="s">
        <v>1685</v>
      </c>
      <c r="D619" s="12" t="s">
        <v>907</v>
      </c>
    </row>
    <row r="620" spans="1:4" ht="14.5" customHeight="1" x14ac:dyDescent="0.3">
      <c r="A620" s="12" t="s">
        <v>750</v>
      </c>
      <c r="B620" s="12" t="s">
        <v>949</v>
      </c>
      <c r="C620" s="12" t="s">
        <v>1686</v>
      </c>
      <c r="D620" s="12" t="s">
        <v>907</v>
      </c>
    </row>
    <row r="621" spans="1:4" ht="14.5" customHeight="1" x14ac:dyDescent="0.3">
      <c r="A621" s="12" t="s">
        <v>751</v>
      </c>
      <c r="B621" s="12" t="s">
        <v>949</v>
      </c>
      <c r="C621" s="12" t="s">
        <v>1687</v>
      </c>
      <c r="D621" s="12" t="s">
        <v>907</v>
      </c>
    </row>
    <row r="622" spans="1:4" ht="14.5" customHeight="1" x14ac:dyDescent="0.3">
      <c r="A622" s="12" t="s">
        <v>749</v>
      </c>
      <c r="B622" s="12" t="s">
        <v>949</v>
      </c>
      <c r="C622" s="12" t="s">
        <v>1685</v>
      </c>
      <c r="D622" s="12" t="s">
        <v>907</v>
      </c>
    </row>
    <row r="623" spans="1:4" ht="14.5" customHeight="1" x14ac:dyDescent="0.3">
      <c r="A623" s="12" t="s">
        <v>752</v>
      </c>
      <c r="B623" s="12" t="s">
        <v>1087</v>
      </c>
      <c r="C623" s="12" t="s">
        <v>1688</v>
      </c>
      <c r="D623" s="12" t="s">
        <v>907</v>
      </c>
    </row>
    <row r="624" spans="1:4" ht="14.5" customHeight="1" x14ac:dyDescent="0.3">
      <c r="A624" s="12" t="s">
        <v>753</v>
      </c>
      <c r="B624" s="12" t="s">
        <v>1087</v>
      </c>
      <c r="C624" s="12" t="s">
        <v>1689</v>
      </c>
      <c r="D624" s="12" t="s">
        <v>907</v>
      </c>
    </row>
    <row r="625" spans="1:5" ht="14.5" customHeight="1" x14ac:dyDescent="0.3">
      <c r="A625" s="12" t="s">
        <v>754</v>
      </c>
      <c r="B625" s="12" t="s">
        <v>1087</v>
      </c>
      <c r="C625" s="12" t="s">
        <v>1690</v>
      </c>
      <c r="D625" s="12" t="s">
        <v>907</v>
      </c>
    </row>
    <row r="626" spans="1:5" ht="14.5" customHeight="1" x14ac:dyDescent="0.3">
      <c r="A626" s="12" t="s">
        <v>755</v>
      </c>
      <c r="B626" s="12" t="s">
        <v>1081</v>
      </c>
      <c r="C626" s="12" t="s">
        <v>1691</v>
      </c>
      <c r="D626" s="12" t="s">
        <v>907</v>
      </c>
    </row>
    <row r="627" spans="1:5" ht="14.5" customHeight="1" x14ac:dyDescent="0.3">
      <c r="A627" s="12" t="s">
        <v>756</v>
      </c>
      <c r="B627" s="12" t="s">
        <v>1081</v>
      </c>
      <c r="C627" s="12" t="s">
        <v>1692</v>
      </c>
      <c r="D627" s="12" t="s">
        <v>907</v>
      </c>
    </row>
    <row r="628" spans="1:5" ht="14.5" customHeight="1" x14ac:dyDescent="0.3">
      <c r="A628" s="12" t="s">
        <v>757</v>
      </c>
      <c r="B628" s="12" t="s">
        <v>1081</v>
      </c>
      <c r="C628" s="12" t="s">
        <v>1693</v>
      </c>
      <c r="D628" s="12" t="s">
        <v>907</v>
      </c>
    </row>
    <row r="629" spans="1:5" ht="14.5" customHeight="1" x14ac:dyDescent="0.3">
      <c r="A629" s="12" t="s">
        <v>758</v>
      </c>
      <c r="B629" s="12" t="s">
        <v>1694</v>
      </c>
      <c r="C629" s="12" t="s">
        <v>1695</v>
      </c>
      <c r="D629" s="12" t="s">
        <v>907</v>
      </c>
    </row>
    <row r="630" spans="1:5" ht="14.5" customHeight="1" x14ac:dyDescent="0.3">
      <c r="A630" s="12" t="s">
        <v>759</v>
      </c>
      <c r="B630" s="12" t="s">
        <v>1372</v>
      </c>
      <c r="C630" s="12" t="s">
        <v>1696</v>
      </c>
      <c r="D630" s="12" t="s">
        <v>1444</v>
      </c>
      <c r="E630" s="12" t="s">
        <v>907</v>
      </c>
    </row>
    <row r="631" spans="1:5" ht="14.5" customHeight="1" x14ac:dyDescent="0.3">
      <c r="A631" s="12" t="s">
        <v>760</v>
      </c>
      <c r="B631" s="12" t="s">
        <v>1372</v>
      </c>
      <c r="C631" s="12" t="s">
        <v>1697</v>
      </c>
      <c r="D631" s="12" t="s">
        <v>907</v>
      </c>
    </row>
    <row r="632" spans="1:5" ht="14.5" customHeight="1" x14ac:dyDescent="0.3">
      <c r="A632" s="12" t="s">
        <v>761</v>
      </c>
      <c r="B632" s="12" t="s">
        <v>1372</v>
      </c>
      <c r="C632" s="12" t="s">
        <v>1698</v>
      </c>
      <c r="D632" s="12" t="s">
        <v>907</v>
      </c>
    </row>
    <row r="633" spans="1:5" ht="14.5" customHeight="1" x14ac:dyDescent="0.3">
      <c r="A633" s="12" t="s">
        <v>762</v>
      </c>
      <c r="B633" s="12" t="s">
        <v>1372</v>
      </c>
      <c r="C633" s="12" t="s">
        <v>1699</v>
      </c>
      <c r="D633" s="12" t="s">
        <v>907</v>
      </c>
    </row>
    <row r="634" spans="1:5" ht="14.5" customHeight="1" x14ac:dyDescent="0.3">
      <c r="A634" s="12" t="s">
        <v>763</v>
      </c>
      <c r="B634" s="12" t="s">
        <v>1372</v>
      </c>
      <c r="C634" s="12" t="s">
        <v>1700</v>
      </c>
      <c r="D634" s="12" t="s">
        <v>907</v>
      </c>
    </row>
    <row r="635" spans="1:5" ht="14.5" customHeight="1" x14ac:dyDescent="0.3">
      <c r="A635" s="12" t="s">
        <v>764</v>
      </c>
      <c r="B635" s="12" t="s">
        <v>1701</v>
      </c>
      <c r="C635" s="12" t="s">
        <v>1702</v>
      </c>
      <c r="D635" s="12" t="s">
        <v>907</v>
      </c>
    </row>
    <row r="636" spans="1:5" ht="14.5" customHeight="1" x14ac:dyDescent="0.3">
      <c r="A636" s="12" t="s">
        <v>765</v>
      </c>
      <c r="B636" s="12" t="s">
        <v>1703</v>
      </c>
      <c r="C636" s="12" t="s">
        <v>1704</v>
      </c>
      <c r="D636" s="12" t="s">
        <v>907</v>
      </c>
    </row>
    <row r="637" spans="1:5" ht="14.5" customHeight="1" x14ac:dyDescent="0.3">
      <c r="A637" s="12" t="s">
        <v>766</v>
      </c>
      <c r="B637" s="12" t="s">
        <v>1705</v>
      </c>
      <c r="C637" s="12" t="s">
        <v>1706</v>
      </c>
      <c r="D637" s="12" t="s">
        <v>907</v>
      </c>
    </row>
    <row r="638" spans="1:5" ht="14.5" customHeight="1" x14ac:dyDescent="0.3">
      <c r="A638" s="12" t="s">
        <v>563</v>
      </c>
      <c r="B638" s="12" t="e">
        <v>#VALUE!</v>
      </c>
      <c r="C638" s="12" t="e">
        <v>#VALUE!</v>
      </c>
      <c r="D638" s="12" t="s">
        <v>956</v>
      </c>
    </row>
    <row r="639" spans="1:5" ht="14.5" customHeight="1" x14ac:dyDescent="0.3">
      <c r="A639" s="12" t="s">
        <v>767</v>
      </c>
      <c r="B639" s="12" t="s">
        <v>897</v>
      </c>
      <c r="C639" s="12" t="s">
        <v>1707</v>
      </c>
      <c r="D639" s="12" t="s">
        <v>1152</v>
      </c>
    </row>
    <row r="640" spans="1:5" ht="14.5" customHeight="1" x14ac:dyDescent="0.3">
      <c r="A640" s="12" t="s">
        <v>768</v>
      </c>
      <c r="B640" s="12" t="s">
        <v>1029</v>
      </c>
      <c r="C640" s="12" t="s">
        <v>1708</v>
      </c>
      <c r="D640" s="12" t="s">
        <v>907</v>
      </c>
    </row>
    <row r="641" spans="1:5" ht="14.5" customHeight="1" x14ac:dyDescent="0.3">
      <c r="A641" s="12" t="s">
        <v>769</v>
      </c>
      <c r="B641" s="12" t="s">
        <v>913</v>
      </c>
      <c r="C641" s="12" t="s">
        <v>1709</v>
      </c>
      <c r="D641" s="12" t="s">
        <v>907</v>
      </c>
    </row>
    <row r="642" spans="1:5" ht="14.5" customHeight="1" x14ac:dyDescent="0.3">
      <c r="A642" s="12" t="s">
        <v>770</v>
      </c>
      <c r="B642" s="12" t="s">
        <v>1044</v>
      </c>
      <c r="C642" s="12" t="s">
        <v>1710</v>
      </c>
      <c r="D642" s="12" t="s">
        <v>907</v>
      </c>
    </row>
    <row r="643" spans="1:5" ht="14.5" customHeight="1" x14ac:dyDescent="0.3">
      <c r="A643" s="12" t="s">
        <v>771</v>
      </c>
      <c r="B643" s="12" t="s">
        <v>1044</v>
      </c>
      <c r="C643" s="12" t="s">
        <v>1711</v>
      </c>
      <c r="D643" s="12" t="s">
        <v>907</v>
      </c>
    </row>
    <row r="644" spans="1:5" ht="14.5" customHeight="1" x14ac:dyDescent="0.3">
      <c r="A644" s="12" t="s">
        <v>772</v>
      </c>
      <c r="B644" s="12" t="s">
        <v>926</v>
      </c>
      <c r="C644" s="12" t="s">
        <v>1712</v>
      </c>
      <c r="D644" s="12" t="s">
        <v>907</v>
      </c>
    </row>
    <row r="645" spans="1:5" ht="14.5" customHeight="1" x14ac:dyDescent="0.3">
      <c r="A645" s="12" t="s">
        <v>773</v>
      </c>
      <c r="B645" s="12" t="s">
        <v>926</v>
      </c>
      <c r="C645" s="12" t="s">
        <v>1713</v>
      </c>
      <c r="D645" s="12" t="s">
        <v>907</v>
      </c>
    </row>
    <row r="646" spans="1:5" ht="14.5" customHeight="1" x14ac:dyDescent="0.3">
      <c r="A646" s="12" t="s">
        <v>774</v>
      </c>
      <c r="B646" s="12" t="s">
        <v>935</v>
      </c>
      <c r="C646" s="12" t="s">
        <v>1714</v>
      </c>
      <c r="D646" s="12" t="s">
        <v>907</v>
      </c>
    </row>
    <row r="647" spans="1:5" ht="14.5" customHeight="1" x14ac:dyDescent="0.3">
      <c r="A647" s="12" t="s">
        <v>775</v>
      </c>
      <c r="B647" s="12" t="s">
        <v>935</v>
      </c>
      <c r="C647" s="12" t="s">
        <v>1715</v>
      </c>
      <c r="D647" s="12" t="s">
        <v>907</v>
      </c>
    </row>
    <row r="648" spans="1:5" ht="14.5" customHeight="1" x14ac:dyDescent="0.3">
      <c r="A648" s="12" t="s">
        <v>776</v>
      </c>
      <c r="B648" s="12" t="s">
        <v>937</v>
      </c>
      <c r="C648" s="12" t="s">
        <v>1716</v>
      </c>
      <c r="D648" s="12" t="s">
        <v>907</v>
      </c>
    </row>
    <row r="649" spans="1:5" ht="14.5" customHeight="1" x14ac:dyDescent="0.3">
      <c r="A649" s="12" t="s">
        <v>777</v>
      </c>
      <c r="B649" s="12" t="s">
        <v>1296</v>
      </c>
      <c r="C649" s="12" t="s">
        <v>1717</v>
      </c>
      <c r="D649" s="12" t="s">
        <v>907</v>
      </c>
    </row>
    <row r="650" spans="1:5" ht="14.5" customHeight="1" x14ac:dyDescent="0.3">
      <c r="A650" s="12" t="s">
        <v>778</v>
      </c>
      <c r="B650" s="12" t="s">
        <v>1296</v>
      </c>
      <c r="C650" s="12" t="s">
        <v>1718</v>
      </c>
      <c r="D650" s="12" t="s">
        <v>907</v>
      </c>
    </row>
    <row r="651" spans="1:5" ht="14.5" customHeight="1" x14ac:dyDescent="0.3">
      <c r="A651" s="12" t="s">
        <v>779</v>
      </c>
      <c r="B651" s="12" t="s">
        <v>1296</v>
      </c>
      <c r="C651" s="12" t="s">
        <v>1719</v>
      </c>
      <c r="D651" s="12" t="s">
        <v>907</v>
      </c>
    </row>
    <row r="652" spans="1:5" ht="14.5" customHeight="1" x14ac:dyDescent="0.3">
      <c r="A652" s="12" t="s">
        <v>780</v>
      </c>
      <c r="B652" s="12" t="s">
        <v>1050</v>
      </c>
      <c r="C652" s="12" t="s">
        <v>1721</v>
      </c>
      <c r="D652" s="12" t="s">
        <v>1720</v>
      </c>
    </row>
    <row r="653" spans="1:5" ht="14.5" customHeight="1" x14ac:dyDescent="0.3">
      <c r="A653" s="12" t="s">
        <v>781</v>
      </c>
      <c r="B653" s="12" t="s">
        <v>1050</v>
      </c>
      <c r="C653" s="12" t="s">
        <v>1722</v>
      </c>
      <c r="D653" s="12" t="s">
        <v>1054</v>
      </c>
      <c r="E653" s="12" t="s">
        <v>1149</v>
      </c>
    </row>
    <row r="654" spans="1:5" ht="14.5" customHeight="1" x14ac:dyDescent="0.3">
      <c r="A654" s="12" t="s">
        <v>782</v>
      </c>
      <c r="B654" s="12" t="s">
        <v>1050</v>
      </c>
      <c r="C654" s="12" t="s">
        <v>1723</v>
      </c>
      <c r="D654" s="12" t="s">
        <v>907</v>
      </c>
    </row>
    <row r="655" spans="1:5" ht="14.5" customHeight="1" x14ac:dyDescent="0.3">
      <c r="A655" s="12" t="s">
        <v>783</v>
      </c>
      <c r="B655" s="12" t="s">
        <v>942</v>
      </c>
      <c r="C655" s="12" t="s">
        <v>1724</v>
      </c>
      <c r="D655" s="12" t="s">
        <v>907</v>
      </c>
    </row>
    <row r="656" spans="1:5" ht="14.5" customHeight="1" x14ac:dyDescent="0.3">
      <c r="A656" s="12" t="s">
        <v>784</v>
      </c>
      <c r="B656" s="12" t="s">
        <v>946</v>
      </c>
      <c r="C656" s="12" t="s">
        <v>1725</v>
      </c>
      <c r="D656" s="12" t="s">
        <v>907</v>
      </c>
    </row>
    <row r="657" spans="1:6" ht="14.5" customHeight="1" x14ac:dyDescent="0.3">
      <c r="A657" s="12" t="s">
        <v>785</v>
      </c>
      <c r="B657" s="12" t="s">
        <v>946</v>
      </c>
      <c r="C657" s="12" t="s">
        <v>1726</v>
      </c>
      <c r="D657" s="12" t="s">
        <v>907</v>
      </c>
    </row>
    <row r="658" spans="1:6" ht="14.5" customHeight="1" x14ac:dyDescent="0.3">
      <c r="A658" s="12" t="s">
        <v>786</v>
      </c>
      <c r="B658" s="12" t="s">
        <v>954</v>
      </c>
      <c r="C658" s="12" t="e">
        <v>#VALUE!</v>
      </c>
      <c r="D658" s="12" t="s">
        <v>907</v>
      </c>
    </row>
    <row r="659" spans="1:6" ht="14.5" customHeight="1" x14ac:dyDescent="0.3">
      <c r="A659" s="12" t="s">
        <v>787</v>
      </c>
      <c r="B659" s="12" t="e">
        <v>#VALUE!</v>
      </c>
      <c r="C659" s="12" t="e">
        <v>#VALUE!</v>
      </c>
      <c r="D659" s="12" t="s">
        <v>956</v>
      </c>
    </row>
    <row r="660" spans="1:6" ht="14.5" customHeight="1" x14ac:dyDescent="0.3">
      <c r="A660" s="12" t="s">
        <v>788</v>
      </c>
      <c r="B660" s="12" t="e">
        <v>#VALUE!</v>
      </c>
      <c r="C660" s="12" t="e">
        <v>#VALUE!</v>
      </c>
      <c r="D660" s="12" t="s">
        <v>956</v>
      </c>
    </row>
    <row r="661" spans="1:6" ht="14.5" customHeight="1" x14ac:dyDescent="0.3">
      <c r="A661" s="12" t="s">
        <v>789</v>
      </c>
      <c r="B661" s="12" t="s">
        <v>902</v>
      </c>
      <c r="C661" s="12" t="s">
        <v>1727</v>
      </c>
      <c r="D661" s="12" t="s">
        <v>1109</v>
      </c>
      <c r="E661" s="12" t="s">
        <v>907</v>
      </c>
    </row>
    <row r="662" spans="1:6" ht="14.5" customHeight="1" x14ac:dyDescent="0.3">
      <c r="A662" s="12" t="s">
        <v>790</v>
      </c>
      <c r="B662" s="12" t="s">
        <v>897</v>
      </c>
      <c r="C662" s="12" t="s">
        <v>1728</v>
      </c>
      <c r="D662" s="12" t="s">
        <v>1177</v>
      </c>
      <c r="E662" s="12" t="s">
        <v>907</v>
      </c>
    </row>
    <row r="663" spans="1:6" ht="14.5" customHeight="1" x14ac:dyDescent="0.3">
      <c r="A663" s="12" t="s">
        <v>791</v>
      </c>
      <c r="B663" s="12" t="s">
        <v>902</v>
      </c>
      <c r="C663" s="12" t="s">
        <v>1179</v>
      </c>
      <c r="D663" s="12" t="s">
        <v>1180</v>
      </c>
      <c r="E663" s="12" t="s">
        <v>907</v>
      </c>
    </row>
    <row r="664" spans="1:6" ht="14.5" customHeight="1" x14ac:dyDescent="0.3">
      <c r="A664" s="12" t="s">
        <v>792</v>
      </c>
      <c r="B664" s="12" t="s">
        <v>902</v>
      </c>
      <c r="C664" s="12" t="s">
        <v>1729</v>
      </c>
      <c r="D664" s="12" t="s">
        <v>1177</v>
      </c>
      <c r="E664" s="12" t="s">
        <v>907</v>
      </c>
    </row>
    <row r="665" spans="1:6" ht="14.5" customHeight="1" x14ac:dyDescent="0.3">
      <c r="A665" s="12" t="s">
        <v>793</v>
      </c>
      <c r="B665" s="12" t="s">
        <v>902</v>
      </c>
      <c r="C665" s="12" t="s">
        <v>1730</v>
      </c>
      <c r="D665" s="12" t="s">
        <v>1177</v>
      </c>
      <c r="E665" s="12" t="s">
        <v>907</v>
      </c>
    </row>
    <row r="666" spans="1:6" ht="14.5" customHeight="1" x14ac:dyDescent="0.3">
      <c r="A666" s="12" t="s">
        <v>794</v>
      </c>
      <c r="B666" s="12" t="s">
        <v>902</v>
      </c>
      <c r="C666" s="12" t="s">
        <v>1731</v>
      </c>
      <c r="D666" s="12" t="s">
        <v>1096</v>
      </c>
      <c r="E666" s="12" t="s">
        <v>961</v>
      </c>
      <c r="F666" s="12" t="s">
        <v>1028</v>
      </c>
    </row>
    <row r="667" spans="1:6" ht="14.5" customHeight="1" x14ac:dyDescent="0.3">
      <c r="A667" s="12" t="s">
        <v>795</v>
      </c>
      <c r="B667" s="12" t="s">
        <v>902</v>
      </c>
      <c r="C667" s="12" t="s">
        <v>1732</v>
      </c>
      <c r="D667" s="12" t="s">
        <v>1733</v>
      </c>
      <c r="E667" s="12" t="s">
        <v>907</v>
      </c>
    </row>
    <row r="668" spans="1:6" ht="14.5" customHeight="1" x14ac:dyDescent="0.3">
      <c r="A668" s="12" t="s">
        <v>796</v>
      </c>
      <c r="B668" s="12" t="s">
        <v>902</v>
      </c>
      <c r="C668" s="12" t="s">
        <v>1734</v>
      </c>
      <c r="D668" s="12" t="s">
        <v>1733</v>
      </c>
      <c r="E668" s="12" t="s">
        <v>907</v>
      </c>
    </row>
    <row r="669" spans="1:6" ht="14.5" customHeight="1" x14ac:dyDescent="0.3">
      <c r="A669" s="12" t="s">
        <v>797</v>
      </c>
      <c r="B669" s="12" t="s">
        <v>902</v>
      </c>
      <c r="C669" s="12" t="s">
        <v>1735</v>
      </c>
      <c r="D669" s="12" t="s">
        <v>1733</v>
      </c>
      <c r="E669" s="12" t="s">
        <v>907</v>
      </c>
    </row>
    <row r="670" spans="1:6" ht="14.5" customHeight="1" x14ac:dyDescent="0.3">
      <c r="A670" s="12" t="s">
        <v>798</v>
      </c>
      <c r="B670" s="12" t="s">
        <v>902</v>
      </c>
      <c r="C670" s="12" t="s">
        <v>1736</v>
      </c>
      <c r="D670" s="12" t="s">
        <v>1733</v>
      </c>
      <c r="E670" s="12" t="s">
        <v>907</v>
      </c>
    </row>
    <row r="671" spans="1:6" ht="14.5" customHeight="1" x14ac:dyDescent="0.3">
      <c r="A671" s="12" t="s">
        <v>799</v>
      </c>
      <c r="B671" s="12" t="s">
        <v>902</v>
      </c>
      <c r="C671" s="12" t="s">
        <v>1737</v>
      </c>
      <c r="D671" s="12" t="s">
        <v>1109</v>
      </c>
      <c r="E671" s="12" t="s">
        <v>907</v>
      </c>
    </row>
    <row r="672" spans="1:6" ht="14.5" customHeight="1" x14ac:dyDescent="0.3">
      <c r="A672" s="12" t="s">
        <v>800</v>
      </c>
      <c r="B672" s="12" t="s">
        <v>908</v>
      </c>
      <c r="C672" s="12" t="s">
        <v>1738</v>
      </c>
      <c r="D672" s="12" t="s">
        <v>1113</v>
      </c>
      <c r="E672" s="12" t="s">
        <v>907</v>
      </c>
    </row>
    <row r="673" spans="1:5" ht="14.5" customHeight="1" x14ac:dyDescent="0.3">
      <c r="A673" s="12" t="s">
        <v>801</v>
      </c>
      <c r="B673" s="12" t="s">
        <v>908</v>
      </c>
      <c r="C673" s="12" t="s">
        <v>1739</v>
      </c>
      <c r="D673" s="12" t="s">
        <v>1010</v>
      </c>
      <c r="E673" s="12" t="s">
        <v>907</v>
      </c>
    </row>
    <row r="674" spans="1:5" ht="14.5" customHeight="1" x14ac:dyDescent="0.3">
      <c r="A674" s="12" t="s">
        <v>802</v>
      </c>
      <c r="B674" s="12" t="s">
        <v>908</v>
      </c>
      <c r="C674" s="12" t="s">
        <v>1740</v>
      </c>
      <c r="D674" s="12" t="s">
        <v>1010</v>
      </c>
      <c r="E674" s="12" t="s">
        <v>907</v>
      </c>
    </row>
    <row r="675" spans="1:5" ht="14.5" customHeight="1" x14ac:dyDescent="0.3">
      <c r="A675" s="12" t="s">
        <v>674</v>
      </c>
      <c r="B675" s="12" t="s">
        <v>913</v>
      </c>
      <c r="C675" s="12" t="s">
        <v>1610</v>
      </c>
      <c r="D675" s="12" t="s">
        <v>907</v>
      </c>
    </row>
    <row r="676" spans="1:5" ht="14.5" customHeight="1" x14ac:dyDescent="0.3">
      <c r="A676" s="12" t="s">
        <v>803</v>
      </c>
      <c r="B676" s="12" t="s">
        <v>1044</v>
      </c>
      <c r="C676" s="12" t="s">
        <v>1741</v>
      </c>
      <c r="D676" s="12" t="s">
        <v>1742</v>
      </c>
      <c r="E676" s="12" t="s">
        <v>907</v>
      </c>
    </row>
    <row r="677" spans="1:5" ht="14.5" customHeight="1" x14ac:dyDescent="0.3">
      <c r="A677" s="12" t="s">
        <v>804</v>
      </c>
      <c r="B677" s="12" t="s">
        <v>1044</v>
      </c>
      <c r="C677" s="12" t="s">
        <v>1743</v>
      </c>
      <c r="D677" s="12" t="s">
        <v>1742</v>
      </c>
      <c r="E677" s="12" t="s">
        <v>907</v>
      </c>
    </row>
    <row r="678" spans="1:5" ht="14.5" customHeight="1" x14ac:dyDescent="0.3">
      <c r="A678" s="12" t="s">
        <v>805</v>
      </c>
      <c r="B678" s="12" t="s">
        <v>926</v>
      </c>
      <c r="C678" s="12" t="s">
        <v>1744</v>
      </c>
      <c r="D678" s="12" t="s">
        <v>1742</v>
      </c>
      <c r="E678" s="12" t="s">
        <v>907</v>
      </c>
    </row>
    <row r="679" spans="1:5" ht="14.5" customHeight="1" x14ac:dyDescent="0.3">
      <c r="A679" s="12" t="s">
        <v>806</v>
      </c>
      <c r="B679" s="12" t="s">
        <v>926</v>
      </c>
      <c r="C679" s="12" t="s">
        <v>1745</v>
      </c>
      <c r="D679" s="12" t="s">
        <v>907</v>
      </c>
    </row>
    <row r="680" spans="1:5" ht="14.5" customHeight="1" x14ac:dyDescent="0.3">
      <c r="A680" s="12" t="s">
        <v>807</v>
      </c>
      <c r="B680" s="12" t="s">
        <v>926</v>
      </c>
      <c r="C680" s="12" t="s">
        <v>1746</v>
      </c>
      <c r="D680" s="12" t="s">
        <v>1742</v>
      </c>
      <c r="E680" s="12" t="s">
        <v>907</v>
      </c>
    </row>
    <row r="681" spans="1:5" ht="14.5" customHeight="1" x14ac:dyDescent="0.3">
      <c r="A681" s="12" t="s">
        <v>808</v>
      </c>
      <c r="B681" s="12" t="s">
        <v>929</v>
      </c>
      <c r="C681" s="12" t="s">
        <v>1747</v>
      </c>
      <c r="D681" s="12" t="s">
        <v>907</v>
      </c>
    </row>
    <row r="682" spans="1:5" ht="14.5" customHeight="1" x14ac:dyDescent="0.3">
      <c r="A682" s="12" t="s">
        <v>809</v>
      </c>
      <c r="B682" s="12" t="s">
        <v>1296</v>
      </c>
      <c r="C682" s="12" t="s">
        <v>1748</v>
      </c>
      <c r="D682" s="12" t="s">
        <v>907</v>
      </c>
    </row>
    <row r="683" spans="1:5" ht="14.5" customHeight="1" x14ac:dyDescent="0.3">
      <c r="A683" s="12" t="s">
        <v>810</v>
      </c>
      <c r="B683" s="12" t="s">
        <v>1296</v>
      </c>
      <c r="C683" s="12" t="s">
        <v>1749</v>
      </c>
      <c r="D683" s="12" t="s">
        <v>907</v>
      </c>
    </row>
    <row r="684" spans="1:5" ht="14.5" customHeight="1" x14ac:dyDescent="0.3">
      <c r="A684" s="12" t="s">
        <v>811</v>
      </c>
      <c r="B684" s="12" t="s">
        <v>1296</v>
      </c>
      <c r="C684" s="12" t="s">
        <v>1750</v>
      </c>
      <c r="D684" s="12" t="s">
        <v>907</v>
      </c>
    </row>
    <row r="685" spans="1:5" ht="14.5" customHeight="1" x14ac:dyDescent="0.3">
      <c r="A685" s="12" t="s">
        <v>812</v>
      </c>
      <c r="B685" s="12" t="s">
        <v>1050</v>
      </c>
      <c r="C685" s="12" t="s">
        <v>1751</v>
      </c>
      <c r="D685" s="12" t="s">
        <v>907</v>
      </c>
    </row>
    <row r="686" spans="1:5" ht="14.5" customHeight="1" x14ac:dyDescent="0.3">
      <c r="A686" s="12" t="s">
        <v>813</v>
      </c>
      <c r="B686" s="12" t="s">
        <v>1050</v>
      </c>
      <c r="C686" s="12" t="s">
        <v>1752</v>
      </c>
      <c r="D686" s="12" t="s">
        <v>907</v>
      </c>
    </row>
    <row r="687" spans="1:5" ht="14.5" customHeight="1" x14ac:dyDescent="0.3">
      <c r="A687" s="12" t="s">
        <v>814</v>
      </c>
      <c r="B687" s="12" t="s">
        <v>942</v>
      </c>
      <c r="C687" s="12" t="s">
        <v>1753</v>
      </c>
      <c r="D687" s="12" t="s">
        <v>907</v>
      </c>
    </row>
    <row r="688" spans="1:5" ht="14.5" customHeight="1" x14ac:dyDescent="0.3">
      <c r="A688" s="12" t="s">
        <v>815</v>
      </c>
      <c r="B688" s="12" t="s">
        <v>942</v>
      </c>
      <c r="C688" s="12" t="s">
        <v>1754</v>
      </c>
      <c r="D688" s="12" t="s">
        <v>907</v>
      </c>
    </row>
    <row r="689" spans="1:5" ht="14.5" customHeight="1" x14ac:dyDescent="0.3">
      <c r="A689" s="12" t="s">
        <v>816</v>
      </c>
      <c r="B689" s="12" t="s">
        <v>944</v>
      </c>
      <c r="C689" s="12" t="s">
        <v>1755</v>
      </c>
      <c r="D689" s="12" t="s">
        <v>907</v>
      </c>
    </row>
    <row r="690" spans="1:5" ht="14.5" customHeight="1" x14ac:dyDescent="0.3">
      <c r="A690" s="12" t="s">
        <v>817</v>
      </c>
      <c r="B690" s="12" t="s">
        <v>944</v>
      </c>
      <c r="C690" s="12" t="s">
        <v>1612</v>
      </c>
      <c r="D690" s="12" t="s">
        <v>907</v>
      </c>
    </row>
    <row r="691" spans="1:5" ht="14.5" customHeight="1" x14ac:dyDescent="0.3">
      <c r="A691" s="12" t="s">
        <v>818</v>
      </c>
      <c r="B691" s="12" t="s">
        <v>944</v>
      </c>
      <c r="C691" s="12" t="s">
        <v>1756</v>
      </c>
      <c r="D691" s="12" t="s">
        <v>907</v>
      </c>
    </row>
    <row r="692" spans="1:5" ht="14.5" customHeight="1" x14ac:dyDescent="0.3">
      <c r="A692" s="12" t="s">
        <v>819</v>
      </c>
      <c r="B692" s="12" t="s">
        <v>944</v>
      </c>
      <c r="C692" s="12" t="s">
        <v>1757</v>
      </c>
      <c r="D692" s="12" t="s">
        <v>1054</v>
      </c>
      <c r="E692" s="12" t="s">
        <v>1758</v>
      </c>
    </row>
    <row r="693" spans="1:5" ht="14.5" customHeight="1" x14ac:dyDescent="0.3">
      <c r="A693" s="12" t="s">
        <v>820</v>
      </c>
      <c r="B693" s="12" t="s">
        <v>946</v>
      </c>
      <c r="C693" s="12" t="s">
        <v>1759</v>
      </c>
      <c r="D693" s="12" t="s">
        <v>1444</v>
      </c>
      <c r="E693" s="12" t="s">
        <v>907</v>
      </c>
    </row>
    <row r="694" spans="1:5" ht="14.5" customHeight="1" x14ac:dyDescent="0.3">
      <c r="A694" s="12" t="s">
        <v>821</v>
      </c>
      <c r="B694" s="12" t="s">
        <v>949</v>
      </c>
      <c r="C694" s="12" t="s">
        <v>1760</v>
      </c>
      <c r="D694" s="12" t="s">
        <v>1166</v>
      </c>
      <c r="E694" s="12" t="s">
        <v>907</v>
      </c>
    </row>
    <row r="695" spans="1:5" ht="14.5" customHeight="1" x14ac:dyDescent="0.3">
      <c r="A695" s="12" t="s">
        <v>822</v>
      </c>
      <c r="B695" s="12" t="s">
        <v>949</v>
      </c>
      <c r="C695" s="12" t="s">
        <v>1761</v>
      </c>
      <c r="D695" s="12" t="s">
        <v>1054</v>
      </c>
      <c r="E695" s="12" t="s">
        <v>1055</v>
      </c>
    </row>
    <row r="696" spans="1:5" ht="14.5" customHeight="1" x14ac:dyDescent="0.3">
      <c r="A696" s="12" t="s">
        <v>823</v>
      </c>
      <c r="B696" s="12" t="s">
        <v>949</v>
      </c>
      <c r="C696" s="12" t="s">
        <v>1762</v>
      </c>
      <c r="D696" s="12" t="s">
        <v>907</v>
      </c>
    </row>
    <row r="697" spans="1:5" ht="14.5" customHeight="1" x14ac:dyDescent="0.3">
      <c r="A697" s="12" t="s">
        <v>824</v>
      </c>
      <c r="B697" s="12" t="s">
        <v>954</v>
      </c>
      <c r="C697" s="12" t="s">
        <v>1763</v>
      </c>
      <c r="D697" s="12" t="s">
        <v>907</v>
      </c>
    </row>
    <row r="698" spans="1:5" ht="14.5" customHeight="1" x14ac:dyDescent="0.3">
      <c r="A698" s="12" t="s">
        <v>825</v>
      </c>
      <c r="B698" s="12" t="s">
        <v>1081</v>
      </c>
      <c r="C698" s="12" t="s">
        <v>1764</v>
      </c>
      <c r="D698" s="12" t="s">
        <v>907</v>
      </c>
    </row>
    <row r="699" spans="1:5" ht="14.5" customHeight="1" x14ac:dyDescent="0.3">
      <c r="A699" s="12" t="s">
        <v>826</v>
      </c>
      <c r="B699" s="12" t="s">
        <v>1081</v>
      </c>
      <c r="C699" s="12" t="s">
        <v>1765</v>
      </c>
      <c r="D699" s="12" t="s">
        <v>907</v>
      </c>
    </row>
    <row r="700" spans="1:5" ht="14.5" customHeight="1" x14ac:dyDescent="0.3">
      <c r="A700" s="12" t="s">
        <v>827</v>
      </c>
      <c r="B700" s="12" t="s">
        <v>1694</v>
      </c>
      <c r="C700" s="12" t="s">
        <v>1766</v>
      </c>
      <c r="D700" s="12" t="s">
        <v>907</v>
      </c>
    </row>
    <row r="701" spans="1:5" ht="14.5" customHeight="1" x14ac:dyDescent="0.3">
      <c r="A701" s="12" t="s">
        <v>828</v>
      </c>
      <c r="B701" s="12" t="s">
        <v>1694</v>
      </c>
      <c r="C701" s="12" t="s">
        <v>1767</v>
      </c>
      <c r="D701" s="12" t="s">
        <v>907</v>
      </c>
    </row>
    <row r="702" spans="1:5" ht="14.5" customHeight="1" x14ac:dyDescent="0.3">
      <c r="A702" s="12" t="s">
        <v>829</v>
      </c>
      <c r="B702" s="12" t="s">
        <v>1694</v>
      </c>
      <c r="C702" s="12" t="s">
        <v>1768</v>
      </c>
      <c r="D702" s="12" t="s">
        <v>907</v>
      </c>
    </row>
    <row r="703" spans="1:5" ht="14.5" customHeight="1" x14ac:dyDescent="0.3">
      <c r="A703" s="12" t="s">
        <v>830</v>
      </c>
      <c r="B703" s="12" t="s">
        <v>1372</v>
      </c>
      <c r="C703" s="12" t="s">
        <v>1769</v>
      </c>
      <c r="D703" s="12" t="s">
        <v>907</v>
      </c>
    </row>
    <row r="704" spans="1:5" ht="14.5" customHeight="1" x14ac:dyDescent="0.3">
      <c r="A704" s="12" t="s">
        <v>831</v>
      </c>
      <c r="B704" s="12" t="s">
        <v>1703</v>
      </c>
      <c r="C704" s="12" t="s">
        <v>1770</v>
      </c>
      <c r="D704" s="12" t="s">
        <v>907</v>
      </c>
    </row>
    <row r="705" spans="1:4" ht="14.5" customHeight="1" x14ac:dyDescent="0.3">
      <c r="A705" s="12" t="s">
        <v>832</v>
      </c>
      <c r="B705" s="12" t="s">
        <v>1092</v>
      </c>
      <c r="C705" s="12" t="s">
        <v>1771</v>
      </c>
      <c r="D705" s="12" t="s">
        <v>907</v>
      </c>
    </row>
    <row r="706" spans="1:4" ht="14.5" customHeight="1" x14ac:dyDescent="0.3">
      <c r="A706" s="12" t="s">
        <v>833</v>
      </c>
      <c r="B706" s="12" t="e">
        <v>#VALUE!</v>
      </c>
      <c r="C706" s="12" t="e">
        <v>#VALUE!</v>
      </c>
      <c r="D706" s="12" t="s">
        <v>956</v>
      </c>
    </row>
    <row r="707" spans="1:4" ht="14.5" customHeight="1" x14ac:dyDescent="0.3">
      <c r="A707" s="12" t="s">
        <v>834</v>
      </c>
      <c r="B707" s="12" t="s">
        <v>902</v>
      </c>
      <c r="C707" s="12" t="s">
        <v>1772</v>
      </c>
      <c r="D707" s="12" t="s">
        <v>907</v>
      </c>
    </row>
    <row r="708" spans="1:4" ht="14.5" customHeight="1" x14ac:dyDescent="0.3">
      <c r="A708" s="12" t="s">
        <v>835</v>
      </c>
      <c r="B708" s="12" t="s">
        <v>902</v>
      </c>
      <c r="C708" s="12" t="s">
        <v>1773</v>
      </c>
      <c r="D708" s="12" t="s">
        <v>907</v>
      </c>
    </row>
    <row r="709" spans="1:4" ht="14.5" customHeight="1" x14ac:dyDescent="0.3">
      <c r="A709" s="12" t="s">
        <v>836</v>
      </c>
      <c r="B709" s="12" t="s">
        <v>1296</v>
      </c>
      <c r="C709" s="12" t="s">
        <v>1774</v>
      </c>
      <c r="D709" s="12" t="s">
        <v>907</v>
      </c>
    </row>
    <row r="710" spans="1:4" ht="14.5" customHeight="1" x14ac:dyDescent="0.3">
      <c r="A710" s="12" t="s">
        <v>837</v>
      </c>
      <c r="B710" s="12" t="s">
        <v>1296</v>
      </c>
      <c r="C710" s="12" t="s">
        <v>1775</v>
      </c>
      <c r="D710" s="12" t="s">
        <v>907</v>
      </c>
    </row>
    <row r="711" spans="1:4" ht="14.5" customHeight="1" x14ac:dyDescent="0.3">
      <c r="A711" s="12" t="s">
        <v>838</v>
      </c>
      <c r="B711" s="12" t="s">
        <v>1050</v>
      </c>
      <c r="C711" s="12" t="s">
        <v>1776</v>
      </c>
      <c r="D711" s="12" t="s">
        <v>907</v>
      </c>
    </row>
    <row r="712" spans="1:4" ht="14.5" customHeight="1" x14ac:dyDescent="0.3">
      <c r="A712" s="12" t="s">
        <v>839</v>
      </c>
      <c r="B712" s="12" t="s">
        <v>942</v>
      </c>
      <c r="C712" s="12" t="s">
        <v>1777</v>
      </c>
      <c r="D712" s="12" t="s">
        <v>907</v>
      </c>
    </row>
    <row r="713" spans="1:4" ht="14.5" customHeight="1" x14ac:dyDescent="0.3">
      <c r="A713" s="12" t="s">
        <v>840</v>
      </c>
      <c r="B713" s="12" t="s">
        <v>944</v>
      </c>
      <c r="C713" s="12" t="s">
        <v>1778</v>
      </c>
      <c r="D713" s="12" t="s">
        <v>907</v>
      </c>
    </row>
    <row r="714" spans="1:4" ht="14.5" customHeight="1" x14ac:dyDescent="0.3">
      <c r="A714" s="12" t="s">
        <v>841</v>
      </c>
      <c r="B714" s="12" t="s">
        <v>949</v>
      </c>
      <c r="C714" s="12" t="s">
        <v>1686</v>
      </c>
      <c r="D714" s="12" t="s">
        <v>907</v>
      </c>
    </row>
    <row r="715" spans="1:4" ht="14.5" customHeight="1" x14ac:dyDescent="0.3">
      <c r="A715" s="12" t="s">
        <v>842</v>
      </c>
      <c r="B715" s="12" t="s">
        <v>954</v>
      </c>
      <c r="C715" s="12" t="e">
        <v>#VALUE!</v>
      </c>
      <c r="D715" s="12" t="s">
        <v>907</v>
      </c>
    </row>
    <row r="716" spans="1:4" ht="14.5" customHeight="1" x14ac:dyDescent="0.3">
      <c r="A716" s="12" t="s">
        <v>843</v>
      </c>
      <c r="B716" s="12" t="s">
        <v>954</v>
      </c>
      <c r="C716" s="12" t="e">
        <v>#VALUE!</v>
      </c>
      <c r="D716" s="12" t="s">
        <v>907</v>
      </c>
    </row>
    <row r="717" spans="1:4" ht="14.5" customHeight="1" x14ac:dyDescent="0.3">
      <c r="A717" s="12" t="s">
        <v>844</v>
      </c>
      <c r="B717" s="12" t="s">
        <v>1076</v>
      </c>
      <c r="C717" s="12" t="s">
        <v>1779</v>
      </c>
      <c r="D717" s="12" t="s">
        <v>907</v>
      </c>
    </row>
    <row r="718" spans="1:4" ht="14.5" customHeight="1" x14ac:dyDescent="0.3">
      <c r="A718" s="12" t="s">
        <v>845</v>
      </c>
      <c r="B718" s="12" t="s">
        <v>1087</v>
      </c>
      <c r="C718" s="12" t="s">
        <v>1367</v>
      </c>
      <c r="D718" s="12" t="s">
        <v>907</v>
      </c>
    </row>
    <row r="719" spans="1:4" ht="14.5" customHeight="1" x14ac:dyDescent="0.3">
      <c r="A719" s="12" t="s">
        <v>846</v>
      </c>
      <c r="B719" s="12" t="e">
        <v>#VALUE!</v>
      </c>
      <c r="C719" s="12" t="e">
        <v>#VALUE!</v>
      </c>
      <c r="D719" s="12" t="s">
        <v>956</v>
      </c>
    </row>
    <row r="720" spans="1:4" ht="14.5" customHeight="1" x14ac:dyDescent="0.3">
      <c r="A720" s="12" t="s">
        <v>847</v>
      </c>
      <c r="B720" s="12" t="s">
        <v>977</v>
      </c>
      <c r="C720" s="12" t="s">
        <v>1780</v>
      </c>
      <c r="D720" s="12" t="s">
        <v>907</v>
      </c>
    </row>
    <row r="721" spans="1:4" ht="14.5" customHeight="1" x14ac:dyDescent="0.3">
      <c r="A721" s="12" t="s">
        <v>848</v>
      </c>
      <c r="B721" s="12" t="s">
        <v>977</v>
      </c>
      <c r="C721" s="12" t="s">
        <v>1781</v>
      </c>
      <c r="D721" s="12" t="s">
        <v>907</v>
      </c>
    </row>
    <row r="722" spans="1:4" ht="14.5" customHeight="1" x14ac:dyDescent="0.3">
      <c r="A722" s="12" t="s">
        <v>849</v>
      </c>
      <c r="B722" s="12" t="s">
        <v>977</v>
      </c>
      <c r="C722" s="12" t="s">
        <v>1782</v>
      </c>
      <c r="D722" s="12" t="s">
        <v>907</v>
      </c>
    </row>
    <row r="723" spans="1:4" ht="14.5" customHeight="1" x14ac:dyDescent="0.3">
      <c r="A723" s="12" t="s">
        <v>850</v>
      </c>
      <c r="B723" s="12" t="s">
        <v>977</v>
      </c>
      <c r="C723" s="12" t="s">
        <v>1783</v>
      </c>
      <c r="D723" s="12" t="s">
        <v>907</v>
      </c>
    </row>
    <row r="724" spans="1:4" ht="14.5" customHeight="1" x14ac:dyDescent="0.3">
      <c r="A724" s="12" t="s">
        <v>851</v>
      </c>
      <c r="B724" s="12" t="s">
        <v>977</v>
      </c>
      <c r="C724" s="12" t="s">
        <v>1784</v>
      </c>
      <c r="D724" s="12" t="s">
        <v>907</v>
      </c>
    </row>
    <row r="725" spans="1:4" ht="14.5" customHeight="1" x14ac:dyDescent="0.3">
      <c r="A725" s="12" t="s">
        <v>852</v>
      </c>
      <c r="B725" s="12" t="s">
        <v>1029</v>
      </c>
      <c r="C725" s="12" t="s">
        <v>1785</v>
      </c>
      <c r="D725" s="12" t="s">
        <v>907</v>
      </c>
    </row>
    <row r="726" spans="1:4" ht="14.5" customHeight="1" x14ac:dyDescent="0.3">
      <c r="A726" s="12" t="s">
        <v>853</v>
      </c>
      <c r="B726" s="12" t="s">
        <v>1029</v>
      </c>
      <c r="C726" s="12" t="s">
        <v>1786</v>
      </c>
      <c r="D726" s="12" t="s">
        <v>907</v>
      </c>
    </row>
    <row r="727" spans="1:4" ht="14.5" customHeight="1" x14ac:dyDescent="0.3">
      <c r="A727" s="12" t="s">
        <v>854</v>
      </c>
      <c r="B727" s="12" t="s">
        <v>1029</v>
      </c>
      <c r="C727" s="12" t="s">
        <v>1787</v>
      </c>
      <c r="D727" s="12" t="s">
        <v>907</v>
      </c>
    </row>
    <row r="728" spans="1:4" ht="14.5" customHeight="1" x14ac:dyDescent="0.3">
      <c r="A728" s="12" t="s">
        <v>855</v>
      </c>
      <c r="B728" s="12" t="s">
        <v>1029</v>
      </c>
      <c r="C728" s="12" t="s">
        <v>1788</v>
      </c>
      <c r="D728" s="12" t="s">
        <v>907</v>
      </c>
    </row>
    <row r="729" spans="1:4" ht="14.5" customHeight="1" x14ac:dyDescent="0.3">
      <c r="A729" s="12" t="s">
        <v>856</v>
      </c>
      <c r="B729" s="12" t="s">
        <v>1029</v>
      </c>
      <c r="C729" s="12" t="s">
        <v>1789</v>
      </c>
      <c r="D729" s="12" t="s">
        <v>907</v>
      </c>
    </row>
    <row r="730" spans="1:4" ht="14.5" customHeight="1" x14ac:dyDescent="0.3">
      <c r="A730" s="12" t="s">
        <v>857</v>
      </c>
      <c r="B730" s="12" t="s">
        <v>1029</v>
      </c>
      <c r="C730" s="12" t="s">
        <v>1790</v>
      </c>
      <c r="D730" s="12" t="s">
        <v>907</v>
      </c>
    </row>
    <row r="731" spans="1:4" ht="14.5" customHeight="1" x14ac:dyDescent="0.3">
      <c r="A731" s="12" t="s">
        <v>858</v>
      </c>
      <c r="B731" s="12" t="s">
        <v>1029</v>
      </c>
      <c r="C731" s="12" t="s">
        <v>1791</v>
      </c>
      <c r="D731" s="12" t="s">
        <v>907</v>
      </c>
    </row>
    <row r="732" spans="1:4" ht="14.5" customHeight="1" x14ac:dyDescent="0.3">
      <c r="A732" s="12" t="s">
        <v>859</v>
      </c>
      <c r="B732" s="12" t="s">
        <v>1029</v>
      </c>
      <c r="C732" s="12" t="s">
        <v>1792</v>
      </c>
      <c r="D732" s="12" t="s">
        <v>907</v>
      </c>
    </row>
    <row r="733" spans="1:4" ht="14.5" customHeight="1" x14ac:dyDescent="0.3">
      <c r="A733" s="12" t="s">
        <v>860</v>
      </c>
      <c r="B733" s="12" t="s">
        <v>1029</v>
      </c>
      <c r="C733" s="12" t="s">
        <v>1793</v>
      </c>
      <c r="D733" s="12" t="s">
        <v>907</v>
      </c>
    </row>
    <row r="734" spans="1:4" ht="14.5" customHeight="1" x14ac:dyDescent="0.3">
      <c r="A734" s="12" t="s">
        <v>861</v>
      </c>
      <c r="B734" s="12" t="s">
        <v>913</v>
      </c>
      <c r="C734" s="12" t="s">
        <v>1794</v>
      </c>
      <c r="D734" s="12" t="s">
        <v>907</v>
      </c>
    </row>
    <row r="735" spans="1:4" ht="14.5" customHeight="1" x14ac:dyDescent="0.3">
      <c r="A735" s="12" t="s">
        <v>862</v>
      </c>
      <c r="B735" s="12" t="s">
        <v>1050</v>
      </c>
      <c r="C735" s="12" t="s">
        <v>1795</v>
      </c>
      <c r="D735" s="12" t="s">
        <v>907</v>
      </c>
    </row>
    <row r="736" spans="1:4" ht="14.5" customHeight="1" x14ac:dyDescent="0.3">
      <c r="A736" s="12" t="s">
        <v>863</v>
      </c>
      <c r="B736" s="12" t="s">
        <v>942</v>
      </c>
      <c r="C736" s="12" t="s">
        <v>1796</v>
      </c>
      <c r="D736" s="12" t="s">
        <v>907</v>
      </c>
    </row>
    <row r="737" spans="1:6" ht="14.5" customHeight="1" x14ac:dyDescent="0.3">
      <c r="A737" s="12" t="s">
        <v>864</v>
      </c>
      <c r="B737" s="12" t="s">
        <v>942</v>
      </c>
      <c r="C737" s="12" t="s">
        <v>1797</v>
      </c>
      <c r="D737" s="12" t="s">
        <v>907</v>
      </c>
    </row>
    <row r="738" spans="1:6" ht="14.5" customHeight="1" x14ac:dyDescent="0.3">
      <c r="A738" s="12" t="s">
        <v>865</v>
      </c>
      <c r="B738" s="12" t="s">
        <v>942</v>
      </c>
      <c r="C738" s="12" t="s">
        <v>1798</v>
      </c>
      <c r="D738" s="12" t="s">
        <v>907</v>
      </c>
    </row>
    <row r="739" spans="1:6" ht="14.5" customHeight="1" x14ac:dyDescent="0.3">
      <c r="A739" s="12" t="s">
        <v>866</v>
      </c>
      <c r="B739" s="12" t="s">
        <v>944</v>
      </c>
      <c r="C739" s="12" t="s">
        <v>1799</v>
      </c>
      <c r="D739" s="12" t="s">
        <v>907</v>
      </c>
    </row>
    <row r="740" spans="1:6" ht="14.5" customHeight="1" x14ac:dyDescent="0.3">
      <c r="A740" s="12" t="s">
        <v>867</v>
      </c>
      <c r="B740" s="12" t="s">
        <v>946</v>
      </c>
      <c r="C740" s="12" t="s">
        <v>1800</v>
      </c>
      <c r="D740" s="12" t="s">
        <v>907</v>
      </c>
    </row>
    <row r="741" spans="1:6" ht="14.5" customHeight="1" x14ac:dyDescent="0.3">
      <c r="A741" s="12" t="s">
        <v>868</v>
      </c>
      <c r="B741" s="12" t="s">
        <v>946</v>
      </c>
      <c r="C741" s="12" t="s">
        <v>1801</v>
      </c>
      <c r="D741" s="12" t="s">
        <v>907</v>
      </c>
    </row>
    <row r="742" spans="1:6" ht="14.5" customHeight="1" x14ac:dyDescent="0.3">
      <c r="A742" s="12" t="s">
        <v>869</v>
      </c>
      <c r="B742" s="12" t="s">
        <v>946</v>
      </c>
      <c r="C742" s="12" t="s">
        <v>1802</v>
      </c>
      <c r="D742" s="12" t="s">
        <v>1166</v>
      </c>
      <c r="E742" s="12" t="s">
        <v>1054</v>
      </c>
      <c r="F742" s="12" t="s">
        <v>1758</v>
      </c>
    </row>
    <row r="743" spans="1:6" ht="14.5" customHeight="1" x14ac:dyDescent="0.3">
      <c r="A743" s="12" t="s">
        <v>870</v>
      </c>
      <c r="B743" s="12" t="s">
        <v>946</v>
      </c>
      <c r="C743" s="12" t="s">
        <v>1803</v>
      </c>
      <c r="D743" s="12" t="s">
        <v>907</v>
      </c>
    </row>
    <row r="744" spans="1:6" ht="14.5" customHeight="1" x14ac:dyDescent="0.3">
      <c r="A744" s="12" t="s">
        <v>871</v>
      </c>
      <c r="B744" s="12" t="s">
        <v>946</v>
      </c>
      <c r="C744" s="12" t="s">
        <v>1804</v>
      </c>
      <c r="D744" s="12" t="s">
        <v>907</v>
      </c>
    </row>
    <row r="745" spans="1:6" ht="14.5" customHeight="1" x14ac:dyDescent="0.3">
      <c r="A745" s="12" t="s">
        <v>872</v>
      </c>
      <c r="B745" s="12" t="s">
        <v>946</v>
      </c>
      <c r="C745" s="12" t="s">
        <v>1805</v>
      </c>
      <c r="D745" s="12" t="s">
        <v>907</v>
      </c>
    </row>
    <row r="746" spans="1:6" ht="14.5" customHeight="1" x14ac:dyDescent="0.3">
      <c r="A746" s="12" t="s">
        <v>873</v>
      </c>
      <c r="B746" s="12" t="s">
        <v>949</v>
      </c>
      <c r="C746" s="12" t="s">
        <v>1806</v>
      </c>
      <c r="D746" s="12" t="s">
        <v>907</v>
      </c>
    </row>
    <row r="747" spans="1:6" ht="14.5" customHeight="1" x14ac:dyDescent="0.3">
      <c r="A747" s="12" t="s">
        <v>874</v>
      </c>
      <c r="B747" s="12" t="s">
        <v>1076</v>
      </c>
      <c r="C747" s="12" t="s">
        <v>1807</v>
      </c>
      <c r="D747" s="12" t="s">
        <v>907</v>
      </c>
    </row>
    <row r="748" spans="1:6" ht="14.5" customHeight="1" x14ac:dyDescent="0.3">
      <c r="A748" s="12" t="s">
        <v>875</v>
      </c>
      <c r="B748" s="12" t="s">
        <v>1087</v>
      </c>
      <c r="C748" s="12" t="s">
        <v>1808</v>
      </c>
      <c r="D748" s="12" t="s">
        <v>907</v>
      </c>
    </row>
    <row r="749" spans="1:6" ht="14.5" customHeight="1" x14ac:dyDescent="0.3">
      <c r="A749" s="12" t="s">
        <v>876</v>
      </c>
      <c r="B749" s="12" t="s">
        <v>1087</v>
      </c>
      <c r="C749" s="12" t="s">
        <v>1809</v>
      </c>
      <c r="D749" s="12" t="s">
        <v>907</v>
      </c>
    </row>
    <row r="750" spans="1:6" ht="14.5" customHeight="1" x14ac:dyDescent="0.3">
      <c r="A750" s="12" t="s">
        <v>877</v>
      </c>
      <c r="B750" s="12" t="s">
        <v>1087</v>
      </c>
      <c r="C750" s="12" t="s">
        <v>1810</v>
      </c>
      <c r="D750" s="12" t="s">
        <v>907</v>
      </c>
    </row>
    <row r="751" spans="1:6" ht="14.5" customHeight="1" x14ac:dyDescent="0.3">
      <c r="A751" s="12" t="s">
        <v>878</v>
      </c>
      <c r="B751" s="12" t="s">
        <v>1087</v>
      </c>
      <c r="C751" s="12" t="s">
        <v>1811</v>
      </c>
      <c r="D751" s="12" t="s">
        <v>907</v>
      </c>
    </row>
    <row r="752" spans="1:6" ht="14.5" customHeight="1" x14ac:dyDescent="0.3">
      <c r="A752" s="12" t="s">
        <v>879</v>
      </c>
      <c r="B752" s="12" t="s">
        <v>1087</v>
      </c>
      <c r="C752" s="12" t="s">
        <v>1812</v>
      </c>
      <c r="D752" s="12" t="s">
        <v>907</v>
      </c>
    </row>
    <row r="753" spans="1:4" ht="14.5" customHeight="1" x14ac:dyDescent="0.3">
      <c r="A753" s="12" t="s">
        <v>880</v>
      </c>
      <c r="B753" s="12" t="s">
        <v>1081</v>
      </c>
      <c r="C753" s="12" t="s">
        <v>1813</v>
      </c>
      <c r="D753" s="12" t="s">
        <v>907</v>
      </c>
    </row>
    <row r="754" spans="1:4" ht="14.5" customHeight="1" x14ac:dyDescent="0.3">
      <c r="A754" s="12" t="s">
        <v>881</v>
      </c>
      <c r="B754" s="12" t="s">
        <v>1081</v>
      </c>
      <c r="C754" s="12" t="s">
        <v>1814</v>
      </c>
      <c r="D754" s="12" t="s">
        <v>907</v>
      </c>
    </row>
    <row r="755" spans="1:4" ht="14.5" customHeight="1" x14ac:dyDescent="0.3">
      <c r="A755" s="12" t="s">
        <v>882</v>
      </c>
      <c r="B755" s="12" t="s">
        <v>1694</v>
      </c>
      <c r="C755" s="12" t="s">
        <v>1815</v>
      </c>
      <c r="D755" s="12" t="s">
        <v>907</v>
      </c>
    </row>
    <row r="756" spans="1:4" ht="14.5" customHeight="1" x14ac:dyDescent="0.3">
      <c r="A756" s="12" t="s">
        <v>883</v>
      </c>
      <c r="B756" s="12" t="s">
        <v>1694</v>
      </c>
      <c r="C756" s="12" t="s">
        <v>1816</v>
      </c>
      <c r="D756" s="12" t="s">
        <v>907</v>
      </c>
    </row>
    <row r="757" spans="1:4" ht="14.5" customHeight="1" x14ac:dyDescent="0.3">
      <c r="A757" s="12" t="s">
        <v>884</v>
      </c>
      <c r="B757" s="12" t="s">
        <v>1694</v>
      </c>
      <c r="C757" s="12" t="s">
        <v>1817</v>
      </c>
      <c r="D757" s="12" t="s">
        <v>907</v>
      </c>
    </row>
    <row r="758" spans="1:4" ht="14.5" customHeight="1" x14ac:dyDescent="0.3">
      <c r="A758" s="12" t="s">
        <v>885</v>
      </c>
      <c r="B758" s="12" t="s">
        <v>1694</v>
      </c>
      <c r="C758" s="12" t="s">
        <v>1818</v>
      </c>
      <c r="D758" s="12" t="s">
        <v>907</v>
      </c>
    </row>
    <row r="759" spans="1:4" ht="14.5" customHeight="1" x14ac:dyDescent="0.3">
      <c r="A759" s="12" t="s">
        <v>886</v>
      </c>
      <c r="B759" s="12" t="s">
        <v>1694</v>
      </c>
      <c r="C759" s="12" t="s">
        <v>1819</v>
      </c>
      <c r="D759" s="12" t="s">
        <v>907</v>
      </c>
    </row>
    <row r="760" spans="1:4" ht="14.5" customHeight="1" x14ac:dyDescent="0.3">
      <c r="A760" s="12" t="s">
        <v>887</v>
      </c>
      <c r="B760" s="12" t="s">
        <v>1372</v>
      </c>
      <c r="C760" s="12" t="s">
        <v>1820</v>
      </c>
      <c r="D760" s="12" t="s">
        <v>907</v>
      </c>
    </row>
    <row r="761" spans="1:4" ht="14.5" customHeight="1" x14ac:dyDescent="0.3">
      <c r="A761" s="12" t="s">
        <v>888</v>
      </c>
      <c r="B761" s="12" t="s">
        <v>1372</v>
      </c>
      <c r="C761" s="12" t="s">
        <v>1821</v>
      </c>
      <c r="D761" s="12" t="s">
        <v>907</v>
      </c>
    </row>
    <row r="762" spans="1:4" ht="14.5" customHeight="1" x14ac:dyDescent="0.3">
      <c r="A762" s="12" t="s">
        <v>889</v>
      </c>
      <c r="B762" s="12" t="s">
        <v>1372</v>
      </c>
      <c r="C762" s="12" t="s">
        <v>1822</v>
      </c>
      <c r="D762" s="12" t="s">
        <v>907</v>
      </c>
    </row>
    <row r="763" spans="1:4" ht="14.5" customHeight="1" x14ac:dyDescent="0.3">
      <c r="A763" s="12" t="s">
        <v>890</v>
      </c>
      <c r="B763" s="12" t="s">
        <v>1372</v>
      </c>
      <c r="C763" s="12" t="s">
        <v>1823</v>
      </c>
      <c r="D763" s="12" t="s">
        <v>907</v>
      </c>
    </row>
    <row r="764" spans="1:4" ht="14.5" customHeight="1" x14ac:dyDescent="0.3">
      <c r="A764" s="12" t="s">
        <v>891</v>
      </c>
      <c r="B764" s="12" t="s">
        <v>1372</v>
      </c>
      <c r="C764" s="12" t="s">
        <v>1824</v>
      </c>
      <c r="D764" s="12" t="s">
        <v>907</v>
      </c>
    </row>
    <row r="765" spans="1:4" ht="14.5" customHeight="1" x14ac:dyDescent="0.3">
      <c r="A765" s="12" t="s">
        <v>892</v>
      </c>
      <c r="B765" s="12" t="s">
        <v>1090</v>
      </c>
      <c r="C765" s="12" t="s">
        <v>1825</v>
      </c>
      <c r="D765" s="12" t="s">
        <v>907</v>
      </c>
    </row>
    <row r="766" spans="1:4" ht="14.5" customHeight="1" x14ac:dyDescent="0.3">
      <c r="A766" s="12" t="s">
        <v>893</v>
      </c>
      <c r="B766" s="12" t="s">
        <v>1826</v>
      </c>
      <c r="C766" s="12" t="s">
        <v>1827</v>
      </c>
      <c r="D766" s="12" t="s">
        <v>907</v>
      </c>
    </row>
    <row r="767" spans="1:4" ht="14.5" customHeight="1" x14ac:dyDescent="0.3">
      <c r="A767" s="12" t="s">
        <v>894</v>
      </c>
      <c r="B767" s="12" t="s">
        <v>1826</v>
      </c>
      <c r="C767" s="12" t="s">
        <v>1828</v>
      </c>
      <c r="D767" s="12" t="s">
        <v>907</v>
      </c>
    </row>
    <row r="768" spans="1:4" ht="14.5" customHeight="1" x14ac:dyDescent="0.3">
      <c r="A768" s="12" t="s">
        <v>895</v>
      </c>
      <c r="B768" s="12" t="s">
        <v>1826</v>
      </c>
      <c r="C768" s="12" t="s">
        <v>1829</v>
      </c>
      <c r="D768" s="12" t="s">
        <v>907</v>
      </c>
    </row>
    <row r="769" spans="1:6" ht="14.5" customHeight="1" x14ac:dyDescent="0.3">
      <c r="A769" s="12" t="s">
        <v>896</v>
      </c>
      <c r="B769" s="12" t="s">
        <v>1830</v>
      </c>
      <c r="C769" s="12" t="s">
        <v>1831</v>
      </c>
      <c r="D769" s="12" t="s">
        <v>907</v>
      </c>
    </row>
    <row r="770" spans="1:6" ht="14.5" customHeight="1" x14ac:dyDescent="0.3">
      <c r="A770" s="12" t="s">
        <v>2</v>
      </c>
      <c r="B770" s="12" t="e">
        <v>#VALUE!</v>
      </c>
      <c r="C770" s="12" t="e">
        <v>#VALUE!</v>
      </c>
      <c r="D770" s="12" t="s">
        <v>956</v>
      </c>
    </row>
    <row r="771" spans="1:6" ht="14.5" customHeight="1" x14ac:dyDescent="0.3">
      <c r="A771" s="12" t="s">
        <v>3</v>
      </c>
      <c r="B771" s="12" t="e">
        <v>#VALUE!</v>
      </c>
      <c r="C771" s="12" t="e">
        <v>#VALUE!</v>
      </c>
      <c r="D771" s="12" t="s">
        <v>956</v>
      </c>
    </row>
    <row r="772" spans="1:6" ht="14.5" customHeight="1" x14ac:dyDescent="0.3">
      <c r="A772" s="12" t="s">
        <v>4</v>
      </c>
      <c r="B772" s="12" t="s">
        <v>897</v>
      </c>
      <c r="C772" s="12" t="s">
        <v>1832</v>
      </c>
      <c r="D772" s="12" t="s">
        <v>1206</v>
      </c>
      <c r="E772" s="12" t="s">
        <v>907</v>
      </c>
    </row>
    <row r="773" spans="1:6" ht="14.5" customHeight="1" x14ac:dyDescent="0.3">
      <c r="A773" s="12" t="s">
        <v>5</v>
      </c>
      <c r="B773" s="12" t="s">
        <v>897</v>
      </c>
      <c r="C773" s="12" t="s">
        <v>1833</v>
      </c>
      <c r="D773" s="12" t="s">
        <v>1027</v>
      </c>
      <c r="E773" s="12" t="s">
        <v>961</v>
      </c>
      <c r="F773" s="12" t="s">
        <v>1028</v>
      </c>
    </row>
    <row r="774" spans="1:6" ht="14.5" customHeight="1" x14ac:dyDescent="0.3">
      <c r="A774" s="12" t="s">
        <v>6</v>
      </c>
      <c r="B774" s="12" t="s">
        <v>902</v>
      </c>
      <c r="C774" s="12" t="s">
        <v>1834</v>
      </c>
      <c r="D774" s="12" t="s">
        <v>904</v>
      </c>
      <c r="E774" s="12" t="s">
        <v>907</v>
      </c>
    </row>
    <row r="775" spans="1:6" ht="14.5" customHeight="1" x14ac:dyDescent="0.3">
      <c r="A775" s="12" t="s">
        <v>7</v>
      </c>
      <c r="B775" s="12" t="s">
        <v>902</v>
      </c>
      <c r="C775" s="12" t="s">
        <v>1835</v>
      </c>
      <c r="D775" s="12" t="s">
        <v>1545</v>
      </c>
      <c r="E775" s="12" t="s">
        <v>911</v>
      </c>
    </row>
    <row r="776" spans="1:6" ht="14.5" customHeight="1" x14ac:dyDescent="0.3">
      <c r="A776" s="12" t="s">
        <v>8</v>
      </c>
      <c r="B776" s="12" t="s">
        <v>902</v>
      </c>
      <c r="C776" s="12" t="s">
        <v>1836</v>
      </c>
      <c r="D776" s="12" t="s">
        <v>1837</v>
      </c>
      <c r="E776" s="12" t="s">
        <v>911</v>
      </c>
    </row>
    <row r="777" spans="1:6" ht="14.5" customHeight="1" x14ac:dyDescent="0.3">
      <c r="A777" s="12" t="s">
        <v>9</v>
      </c>
      <c r="B777" s="12" t="s">
        <v>902</v>
      </c>
      <c r="C777" s="12" t="s">
        <v>1838</v>
      </c>
      <c r="D777" s="12" t="s">
        <v>1099</v>
      </c>
      <c r="E777" s="12" t="s">
        <v>907</v>
      </c>
    </row>
    <row r="778" spans="1:6" ht="14.5" customHeight="1" x14ac:dyDescent="0.3">
      <c r="A778" s="12" t="s">
        <v>10</v>
      </c>
      <c r="B778" s="12" t="s">
        <v>902</v>
      </c>
      <c r="C778" s="12" t="s">
        <v>1839</v>
      </c>
      <c r="D778" s="12" t="s">
        <v>1027</v>
      </c>
      <c r="E778" s="12" t="s">
        <v>961</v>
      </c>
      <c r="F778" s="12" t="s">
        <v>1028</v>
      </c>
    </row>
    <row r="779" spans="1:6" ht="14.5" customHeight="1" x14ac:dyDescent="0.3">
      <c r="A779" s="12" t="s">
        <v>12</v>
      </c>
      <c r="B779" s="12" t="s">
        <v>902</v>
      </c>
      <c r="C779" s="12" t="s">
        <v>1840</v>
      </c>
      <c r="D779" s="12" t="s">
        <v>968</v>
      </c>
      <c r="E779" s="12" t="s">
        <v>911</v>
      </c>
    </row>
    <row r="780" spans="1:6" ht="14.5" customHeight="1" x14ac:dyDescent="0.3">
      <c r="A780" s="12" t="s">
        <v>13</v>
      </c>
      <c r="B780" s="12" t="s">
        <v>902</v>
      </c>
      <c r="C780" s="12" t="s">
        <v>1841</v>
      </c>
      <c r="D780" s="12" t="s">
        <v>968</v>
      </c>
      <c r="E780" s="12" t="s">
        <v>911</v>
      </c>
    </row>
    <row r="781" spans="1:6" ht="14.5" customHeight="1" x14ac:dyDescent="0.3">
      <c r="A781" s="12" t="s">
        <v>14</v>
      </c>
      <c r="B781" s="12" t="s">
        <v>902</v>
      </c>
      <c r="C781" s="12" t="s">
        <v>1842</v>
      </c>
      <c r="D781" s="12" t="s">
        <v>1027</v>
      </c>
      <c r="E781" s="12" t="s">
        <v>961</v>
      </c>
      <c r="F781" s="12" t="s">
        <v>1028</v>
      </c>
    </row>
    <row r="782" spans="1:6" ht="14.5" customHeight="1" x14ac:dyDescent="0.3">
      <c r="A782" s="12" t="s">
        <v>15</v>
      </c>
      <c r="B782" s="12" t="s">
        <v>897</v>
      </c>
      <c r="C782" s="12" t="s">
        <v>1843</v>
      </c>
      <c r="D782" s="12" t="s">
        <v>1844</v>
      </c>
      <c r="E782" s="12" t="s">
        <v>1845</v>
      </c>
    </row>
    <row r="783" spans="1:6" ht="14.5" customHeight="1" x14ac:dyDescent="0.3">
      <c r="A783" s="12" t="s">
        <v>16</v>
      </c>
      <c r="B783" s="12" t="s">
        <v>902</v>
      </c>
      <c r="C783" s="12" t="s">
        <v>1846</v>
      </c>
      <c r="D783" s="12" t="s">
        <v>1844</v>
      </c>
      <c r="E783" s="12" t="s">
        <v>1845</v>
      </c>
    </row>
    <row r="784" spans="1:6" ht="14.5" customHeight="1" x14ac:dyDescent="0.3">
      <c r="A784" s="12" t="s">
        <v>18</v>
      </c>
      <c r="B784" s="12" t="s">
        <v>902</v>
      </c>
      <c r="C784" s="12" t="s">
        <v>1847</v>
      </c>
      <c r="D784" s="12" t="s">
        <v>904</v>
      </c>
      <c r="E784" s="12" t="s">
        <v>907</v>
      </c>
    </row>
    <row r="785" spans="1:13" ht="14.5" customHeight="1" x14ac:dyDescent="0.3">
      <c r="A785" s="12" t="s">
        <v>19</v>
      </c>
      <c r="B785" s="12" t="s">
        <v>902</v>
      </c>
      <c r="C785" s="12" t="s">
        <v>1848</v>
      </c>
      <c r="D785" s="12" t="s">
        <v>1054</v>
      </c>
      <c r="E785" s="12" t="s">
        <v>1849</v>
      </c>
      <c r="F785" s="12" t="s">
        <v>962</v>
      </c>
    </row>
    <row r="786" spans="1:13" ht="14.5" customHeight="1" x14ac:dyDescent="0.3">
      <c r="A786" s="12" t="s">
        <v>21</v>
      </c>
      <c r="B786" s="12" t="s">
        <v>902</v>
      </c>
      <c r="C786" s="12" t="s">
        <v>1850</v>
      </c>
      <c r="D786" s="12" t="s">
        <v>1851</v>
      </c>
      <c r="E786" s="12" t="s">
        <v>911</v>
      </c>
    </row>
    <row r="787" spans="1:13" ht="14.5" customHeight="1" x14ac:dyDescent="0.3">
      <c r="A787" s="12" t="s">
        <v>23</v>
      </c>
      <c r="B787" s="12" t="s">
        <v>902</v>
      </c>
      <c r="C787" s="12" t="s">
        <v>1852</v>
      </c>
      <c r="D787" s="12" t="s">
        <v>1206</v>
      </c>
      <c r="E787" s="12" t="s">
        <v>907</v>
      </c>
    </row>
    <row r="788" spans="1:13" ht="14.5" customHeight="1" x14ac:dyDescent="0.3">
      <c r="A788" s="12" t="s">
        <v>25</v>
      </c>
      <c r="B788" s="12" t="s">
        <v>908</v>
      </c>
      <c r="C788" s="12" t="s">
        <v>1853</v>
      </c>
      <c r="D788" s="12" t="s">
        <v>904</v>
      </c>
      <c r="E788" s="12" t="s">
        <v>907</v>
      </c>
    </row>
    <row r="789" spans="1:13" ht="14.5" customHeight="1" x14ac:dyDescent="0.3">
      <c r="A789" s="12" t="s">
        <v>26</v>
      </c>
      <c r="B789" s="12" t="s">
        <v>908</v>
      </c>
      <c r="C789" s="12" t="s">
        <v>1854</v>
      </c>
      <c r="D789" s="12" t="s">
        <v>904</v>
      </c>
      <c r="E789" s="12" t="s">
        <v>907</v>
      </c>
    </row>
    <row r="790" spans="1:13" ht="14.5" customHeight="1" x14ac:dyDescent="0.3">
      <c r="A790" s="12" t="s">
        <v>29</v>
      </c>
      <c r="B790" s="12" t="s">
        <v>908</v>
      </c>
      <c r="C790" s="12" t="s">
        <v>1855</v>
      </c>
      <c r="D790" s="12" t="s">
        <v>904</v>
      </c>
      <c r="E790" s="12" t="s">
        <v>907</v>
      </c>
    </row>
    <row r="791" spans="1:13" ht="14.5" customHeight="1" x14ac:dyDescent="0.3">
      <c r="A791" s="12" t="s">
        <v>31</v>
      </c>
      <c r="B791" s="12" t="s">
        <v>908</v>
      </c>
      <c r="C791" s="12" t="s">
        <v>1856</v>
      </c>
      <c r="D791" s="12" t="s">
        <v>968</v>
      </c>
      <c r="E791" s="12" t="s">
        <v>911</v>
      </c>
    </row>
    <row r="792" spans="1:13" ht="14.5" customHeight="1" x14ac:dyDescent="0.3">
      <c r="A792" s="12" t="s">
        <v>32</v>
      </c>
      <c r="B792" s="12" t="s">
        <v>908</v>
      </c>
      <c r="C792" s="12" t="s">
        <v>1857</v>
      </c>
      <c r="D792" s="12" t="s">
        <v>1206</v>
      </c>
      <c r="E792" s="12" t="s">
        <v>907</v>
      </c>
    </row>
    <row r="793" spans="1:13" ht="14.5" customHeight="1" x14ac:dyDescent="0.3">
      <c r="A793" s="12" t="s">
        <v>33</v>
      </c>
      <c r="B793" s="12" t="s">
        <v>908</v>
      </c>
      <c r="C793" s="12" t="s">
        <v>1858</v>
      </c>
      <c r="D793" s="12" t="s">
        <v>904</v>
      </c>
      <c r="E793" s="12" t="s">
        <v>972</v>
      </c>
      <c r="F793" s="12" t="s">
        <v>973</v>
      </c>
      <c r="G793" s="12" t="s">
        <v>907</v>
      </c>
    </row>
    <row r="794" spans="1:13" ht="14.5" customHeight="1" x14ac:dyDescent="0.3">
      <c r="A794" s="12" t="s">
        <v>34</v>
      </c>
      <c r="B794" s="12" t="s">
        <v>908</v>
      </c>
      <c r="C794" s="12" t="s">
        <v>1859</v>
      </c>
      <c r="D794" s="12" t="s">
        <v>1860</v>
      </c>
      <c r="E794" s="12" t="s">
        <v>1861</v>
      </c>
      <c r="F794" s="12" t="s">
        <v>961</v>
      </c>
      <c r="G794" s="12" t="s">
        <v>1862</v>
      </c>
      <c r="H794" s="12" t="s">
        <v>1863</v>
      </c>
      <c r="I794" s="12" t="s">
        <v>1864</v>
      </c>
      <c r="J794" s="12" t="s">
        <v>1865</v>
      </c>
      <c r="K794" s="12" t="s">
        <v>1866</v>
      </c>
      <c r="L794" s="12" t="s">
        <v>1867</v>
      </c>
      <c r="M794" s="12" t="s">
        <v>1868</v>
      </c>
    </row>
    <row r="795" spans="1:13" ht="14.5" customHeight="1" x14ac:dyDescent="0.3">
      <c r="A795" s="12" t="s">
        <v>35</v>
      </c>
      <c r="B795" s="12" t="s">
        <v>908</v>
      </c>
      <c r="C795" s="12" t="s">
        <v>1869</v>
      </c>
      <c r="D795" s="12" t="s">
        <v>981</v>
      </c>
      <c r="E795" s="12" t="s">
        <v>911</v>
      </c>
    </row>
    <row r="796" spans="1:13" ht="14.5" customHeight="1" x14ac:dyDescent="0.3">
      <c r="A796" s="12" t="s">
        <v>36</v>
      </c>
      <c r="B796" s="12" t="s">
        <v>908</v>
      </c>
      <c r="C796" s="12" t="s">
        <v>1870</v>
      </c>
      <c r="D796" s="12" t="s">
        <v>1871</v>
      </c>
      <c r="E796" s="12" t="s">
        <v>911</v>
      </c>
      <c r="F796" s="12" t="s">
        <v>1872</v>
      </c>
    </row>
    <row r="797" spans="1:13" ht="14.5" customHeight="1" x14ac:dyDescent="0.3">
      <c r="A797" s="12" t="s">
        <v>38</v>
      </c>
      <c r="B797" s="12" t="s">
        <v>908</v>
      </c>
      <c r="C797" s="12" t="s">
        <v>1873</v>
      </c>
      <c r="D797" s="12" t="s">
        <v>981</v>
      </c>
      <c r="E797" s="12" t="s">
        <v>911</v>
      </c>
    </row>
    <row r="798" spans="1:13" ht="14.5" customHeight="1" x14ac:dyDescent="0.3">
      <c r="A798" s="12" t="s">
        <v>39</v>
      </c>
      <c r="B798" s="12" t="s">
        <v>977</v>
      </c>
      <c r="C798" s="12" t="s">
        <v>1874</v>
      </c>
      <c r="D798" s="12" t="s">
        <v>1572</v>
      </c>
      <c r="E798" s="12" t="s">
        <v>907</v>
      </c>
    </row>
    <row r="799" spans="1:13" ht="14.5" customHeight="1" x14ac:dyDescent="0.3">
      <c r="A799" s="12" t="s">
        <v>40</v>
      </c>
      <c r="B799" s="12" t="s">
        <v>977</v>
      </c>
      <c r="C799" s="12" t="s">
        <v>1875</v>
      </c>
      <c r="D799" s="12" t="s">
        <v>1572</v>
      </c>
      <c r="E799" s="12" t="s">
        <v>907</v>
      </c>
    </row>
    <row r="800" spans="1:13" ht="14.5" customHeight="1" x14ac:dyDescent="0.3">
      <c r="A800" s="12" t="s">
        <v>41</v>
      </c>
      <c r="B800" s="12" t="s">
        <v>977</v>
      </c>
      <c r="C800" s="12" t="s">
        <v>1876</v>
      </c>
      <c r="D800" s="12" t="s">
        <v>981</v>
      </c>
      <c r="E800" s="12" t="s">
        <v>911</v>
      </c>
    </row>
    <row r="801" spans="1:7" ht="14.5" customHeight="1" x14ac:dyDescent="0.3">
      <c r="A801" s="12" t="s">
        <v>42</v>
      </c>
      <c r="B801" s="12" t="s">
        <v>977</v>
      </c>
      <c r="C801" s="12" t="s">
        <v>1877</v>
      </c>
      <c r="D801" s="12" t="s">
        <v>981</v>
      </c>
      <c r="E801" s="12" t="s">
        <v>911</v>
      </c>
    </row>
    <row r="802" spans="1:7" ht="14.5" customHeight="1" x14ac:dyDescent="0.3">
      <c r="A802" s="12" t="s">
        <v>43</v>
      </c>
      <c r="B802" s="12" t="s">
        <v>1019</v>
      </c>
      <c r="C802" s="12" t="s">
        <v>1878</v>
      </c>
      <c r="D802" s="12" t="s">
        <v>1012</v>
      </c>
      <c r="E802" s="12" t="s">
        <v>907</v>
      </c>
    </row>
    <row r="803" spans="1:7" ht="14.5" customHeight="1" x14ac:dyDescent="0.3">
      <c r="A803" s="12" t="s">
        <v>44</v>
      </c>
      <c r="B803" s="12" t="s">
        <v>1019</v>
      </c>
      <c r="C803" s="12" t="s">
        <v>1879</v>
      </c>
      <c r="D803" s="12" t="s">
        <v>1880</v>
      </c>
      <c r="E803" s="12" t="s">
        <v>1881</v>
      </c>
      <c r="F803" s="12" t="s">
        <v>1225</v>
      </c>
    </row>
    <row r="804" spans="1:7" ht="14.5" customHeight="1" x14ac:dyDescent="0.3">
      <c r="A804" s="12" t="s">
        <v>45</v>
      </c>
      <c r="B804" s="12" t="s">
        <v>1029</v>
      </c>
      <c r="C804" s="12" t="s">
        <v>1882</v>
      </c>
      <c r="D804" s="12" t="s">
        <v>1302</v>
      </c>
      <c r="E804" s="12" t="s">
        <v>911</v>
      </c>
      <c r="F804" s="12" t="s">
        <v>1883</v>
      </c>
    </row>
    <row r="805" spans="1:7" ht="14.5" customHeight="1" x14ac:dyDescent="0.3">
      <c r="A805" s="12" t="s">
        <v>47</v>
      </c>
      <c r="B805" s="12" t="s">
        <v>1029</v>
      </c>
      <c r="C805" s="12" t="s">
        <v>1884</v>
      </c>
      <c r="D805" s="12" t="s">
        <v>1265</v>
      </c>
      <c r="E805" s="12" t="s">
        <v>961</v>
      </c>
      <c r="F805" s="12" t="s">
        <v>1885</v>
      </c>
      <c r="G805" s="12" t="s">
        <v>1886</v>
      </c>
    </row>
    <row r="806" spans="1:7" ht="14.5" customHeight="1" x14ac:dyDescent="0.3">
      <c r="A806" s="12" t="s">
        <v>48</v>
      </c>
      <c r="B806" s="12" t="s">
        <v>1029</v>
      </c>
      <c r="C806" s="12" t="s">
        <v>1887</v>
      </c>
      <c r="D806" s="12" t="s">
        <v>915</v>
      </c>
      <c r="E806" s="12" t="s">
        <v>911</v>
      </c>
      <c r="F806" s="12" t="s">
        <v>1885</v>
      </c>
    </row>
    <row r="807" spans="1:7" ht="14.5" customHeight="1" x14ac:dyDescent="0.3">
      <c r="A807" s="12" t="s">
        <v>49</v>
      </c>
      <c r="B807" s="12" t="s">
        <v>1029</v>
      </c>
      <c r="C807" s="12" t="s">
        <v>1888</v>
      </c>
      <c r="D807" s="12" t="s">
        <v>1880</v>
      </c>
      <c r="E807" s="12" t="s">
        <v>1889</v>
      </c>
      <c r="F807" s="12" t="s">
        <v>907</v>
      </c>
    </row>
    <row r="808" spans="1:7" ht="14.5" customHeight="1" x14ac:dyDescent="0.3">
      <c r="A808" s="12" t="s">
        <v>50</v>
      </c>
      <c r="B808" s="12" t="s">
        <v>913</v>
      </c>
      <c r="C808" s="12" t="s">
        <v>1890</v>
      </c>
      <c r="D808" s="12" t="s">
        <v>910</v>
      </c>
      <c r="E808" s="12" t="s">
        <v>911</v>
      </c>
    </row>
    <row r="809" spans="1:7" ht="14.5" customHeight="1" x14ac:dyDescent="0.3">
      <c r="A809" s="12" t="s">
        <v>51</v>
      </c>
      <c r="B809" s="12" t="s">
        <v>913</v>
      </c>
      <c r="C809" s="12" t="s">
        <v>1891</v>
      </c>
      <c r="D809" s="12" t="s">
        <v>931</v>
      </c>
      <c r="E809" s="12" t="s">
        <v>1216</v>
      </c>
      <c r="F809" s="12" t="s">
        <v>911</v>
      </c>
    </row>
    <row r="810" spans="1:7" ht="14.5" customHeight="1" x14ac:dyDescent="0.3">
      <c r="A810" s="12" t="s">
        <v>52</v>
      </c>
      <c r="B810" s="12" t="s">
        <v>913</v>
      </c>
      <c r="C810" s="12" t="s">
        <v>1892</v>
      </c>
      <c r="D810" s="12" t="s">
        <v>931</v>
      </c>
      <c r="E810" s="12" t="s">
        <v>1216</v>
      </c>
      <c r="F810" s="12" t="s">
        <v>911</v>
      </c>
    </row>
    <row r="811" spans="1:7" ht="14.5" customHeight="1" x14ac:dyDescent="0.3">
      <c r="A811" s="12" t="s">
        <v>53</v>
      </c>
      <c r="B811" s="12" t="s">
        <v>913</v>
      </c>
      <c r="C811" s="12" t="s">
        <v>1890</v>
      </c>
      <c r="D811" s="12" t="s">
        <v>910</v>
      </c>
      <c r="E811" s="12" t="s">
        <v>911</v>
      </c>
    </row>
    <row r="812" spans="1:7" ht="14.5" customHeight="1" x14ac:dyDescent="0.3">
      <c r="A812" s="12" t="s">
        <v>54</v>
      </c>
      <c r="B812" s="12" t="s">
        <v>926</v>
      </c>
      <c r="C812" s="12" t="s">
        <v>1893</v>
      </c>
      <c r="D812" s="12" t="s">
        <v>917</v>
      </c>
      <c r="E812" s="12" t="s">
        <v>907</v>
      </c>
    </row>
    <row r="813" spans="1:7" ht="14.5" customHeight="1" x14ac:dyDescent="0.3">
      <c r="A813" s="12" t="s">
        <v>55</v>
      </c>
      <c r="B813" s="12" t="s">
        <v>926</v>
      </c>
      <c r="C813" s="12" t="s">
        <v>1894</v>
      </c>
      <c r="D813" s="12" t="s">
        <v>921</v>
      </c>
      <c r="E813" s="12" t="s">
        <v>907</v>
      </c>
    </row>
    <row r="814" spans="1:7" ht="14.5" customHeight="1" x14ac:dyDescent="0.3">
      <c r="A814" s="12" t="s">
        <v>56</v>
      </c>
      <c r="B814" s="12" t="s">
        <v>926</v>
      </c>
      <c r="C814" s="12" t="s">
        <v>1895</v>
      </c>
      <c r="D814" s="12" t="s">
        <v>907</v>
      </c>
    </row>
    <row r="815" spans="1:7" ht="14.5" customHeight="1" x14ac:dyDescent="0.3">
      <c r="A815" s="12" t="s">
        <v>58</v>
      </c>
      <c r="B815" s="12" t="s">
        <v>926</v>
      </c>
      <c r="C815" s="12" t="s">
        <v>918</v>
      </c>
      <c r="D815" s="12" t="s">
        <v>919</v>
      </c>
      <c r="E815" s="12" t="s">
        <v>907</v>
      </c>
    </row>
    <row r="816" spans="1:7" ht="14.5" customHeight="1" x14ac:dyDescent="0.3">
      <c r="A816" s="12" t="s">
        <v>59</v>
      </c>
      <c r="B816" s="12" t="s">
        <v>926</v>
      </c>
      <c r="C816" s="12" t="s">
        <v>1896</v>
      </c>
      <c r="D816" s="12" t="s">
        <v>1256</v>
      </c>
      <c r="E816" s="12" t="s">
        <v>911</v>
      </c>
    </row>
    <row r="817" spans="1:6" ht="14.5" customHeight="1" x14ac:dyDescent="0.3">
      <c r="A817" s="12" t="s">
        <v>60</v>
      </c>
      <c r="B817" s="12" t="s">
        <v>926</v>
      </c>
      <c r="C817" s="12" t="s">
        <v>1897</v>
      </c>
      <c r="D817" s="12" t="s">
        <v>1880</v>
      </c>
      <c r="E817" s="12" t="s">
        <v>1898</v>
      </c>
      <c r="F817" s="12" t="s">
        <v>911</v>
      </c>
    </row>
    <row r="818" spans="1:6" ht="14.5" customHeight="1" x14ac:dyDescent="0.3">
      <c r="A818" s="12" t="s">
        <v>61</v>
      </c>
      <c r="B818" s="12" t="s">
        <v>929</v>
      </c>
      <c r="C818" s="12" t="s">
        <v>916</v>
      </c>
      <c r="D818" s="12" t="s">
        <v>917</v>
      </c>
      <c r="E818" s="12" t="s">
        <v>907</v>
      </c>
    </row>
    <row r="819" spans="1:6" ht="14.5" customHeight="1" x14ac:dyDescent="0.3">
      <c r="A819" s="12" t="s">
        <v>62</v>
      </c>
      <c r="B819" s="12" t="s">
        <v>929</v>
      </c>
      <c r="C819" s="12" t="s">
        <v>1899</v>
      </c>
      <c r="D819" s="12" t="s">
        <v>917</v>
      </c>
      <c r="E819" s="12" t="s">
        <v>925</v>
      </c>
    </row>
    <row r="820" spans="1:6" ht="14.5" customHeight="1" x14ac:dyDescent="0.3">
      <c r="A820" s="12" t="s">
        <v>63</v>
      </c>
      <c r="B820" s="12" t="s">
        <v>929</v>
      </c>
      <c r="C820" s="12" t="s">
        <v>1900</v>
      </c>
      <c r="D820" s="12" t="s">
        <v>915</v>
      </c>
      <c r="E820" s="12" t="s">
        <v>907</v>
      </c>
    </row>
    <row r="821" spans="1:6" ht="14.5" customHeight="1" x14ac:dyDescent="0.3">
      <c r="A821" s="12" t="s">
        <v>64</v>
      </c>
      <c r="B821" s="12" t="s">
        <v>929</v>
      </c>
      <c r="C821" s="12" t="s">
        <v>1901</v>
      </c>
      <c r="D821" s="12" t="s">
        <v>915</v>
      </c>
      <c r="E821" s="12" t="s">
        <v>907</v>
      </c>
    </row>
    <row r="822" spans="1:6" ht="14.5" customHeight="1" x14ac:dyDescent="0.3">
      <c r="A822" s="12" t="s">
        <v>65</v>
      </c>
      <c r="B822" s="12" t="s">
        <v>935</v>
      </c>
      <c r="C822" s="12" t="s">
        <v>1902</v>
      </c>
      <c r="D822" s="12" t="s">
        <v>915</v>
      </c>
      <c r="E822" s="12" t="s">
        <v>907</v>
      </c>
    </row>
    <row r="823" spans="1:6" ht="14.5" customHeight="1" x14ac:dyDescent="0.3">
      <c r="A823" s="12" t="s">
        <v>66</v>
      </c>
      <c r="B823" s="12" t="s">
        <v>937</v>
      </c>
      <c r="C823" s="12" t="s">
        <v>1903</v>
      </c>
      <c r="D823" s="12" t="s">
        <v>1302</v>
      </c>
      <c r="E823" s="12" t="s">
        <v>907</v>
      </c>
    </row>
    <row r="824" spans="1:6" ht="14.5" customHeight="1" x14ac:dyDescent="0.3">
      <c r="A824" s="12" t="s">
        <v>67</v>
      </c>
      <c r="B824" s="12" t="s">
        <v>949</v>
      </c>
      <c r="C824" s="12" t="s">
        <v>1904</v>
      </c>
      <c r="D824" s="12" t="s">
        <v>907</v>
      </c>
    </row>
    <row r="825" spans="1:6" ht="14.5" customHeight="1" x14ac:dyDescent="0.3">
      <c r="A825" s="12" t="s">
        <v>69</v>
      </c>
      <c r="B825" s="12" t="s">
        <v>1087</v>
      </c>
      <c r="C825" s="12" t="s">
        <v>1370</v>
      </c>
      <c r="D825" s="12" t="s">
        <v>907</v>
      </c>
    </row>
    <row r="826" spans="1:6" ht="14.5" customHeight="1" x14ac:dyDescent="0.3">
      <c r="A826" s="12" t="s">
        <v>70</v>
      </c>
      <c r="B826" s="12" t="e">
        <v>#VALUE!</v>
      </c>
      <c r="C826" s="12" t="e">
        <v>#VALUE!</v>
      </c>
      <c r="D826" s="12" t="s">
        <v>956</v>
      </c>
    </row>
    <row r="827" spans="1:6" ht="14.5" customHeight="1" x14ac:dyDescent="0.3">
      <c r="A827" s="12" t="s">
        <v>71</v>
      </c>
      <c r="B827" s="12" t="s">
        <v>902</v>
      </c>
      <c r="C827" s="12" t="s">
        <v>1905</v>
      </c>
      <c r="D827" s="12" t="s">
        <v>1906</v>
      </c>
      <c r="E827" s="12" t="s">
        <v>907</v>
      </c>
    </row>
    <row r="828" spans="1:6" ht="14.5" customHeight="1" x14ac:dyDescent="0.3">
      <c r="A828" s="12" t="s">
        <v>72</v>
      </c>
      <c r="B828" s="12" t="s">
        <v>902</v>
      </c>
      <c r="C828" s="12" t="s">
        <v>1907</v>
      </c>
      <c r="D828" s="12" t="s">
        <v>1027</v>
      </c>
      <c r="E828" s="12" t="s">
        <v>961</v>
      </c>
      <c r="F828" s="12" t="s">
        <v>1028</v>
      </c>
    </row>
    <row r="829" spans="1:6" ht="14.5" customHeight="1" x14ac:dyDescent="0.3">
      <c r="A829" s="12" t="s">
        <v>73</v>
      </c>
      <c r="B829" s="12" t="s">
        <v>902</v>
      </c>
      <c r="C829" s="12" t="s">
        <v>959</v>
      </c>
      <c r="D829" s="12" t="s">
        <v>1054</v>
      </c>
      <c r="E829" s="12" t="s">
        <v>1908</v>
      </c>
    </row>
    <row r="830" spans="1:6" ht="14.5" customHeight="1" x14ac:dyDescent="0.3">
      <c r="A830" s="12" t="s">
        <v>74</v>
      </c>
      <c r="B830" s="12" t="s">
        <v>902</v>
      </c>
      <c r="C830" s="12" t="s">
        <v>1909</v>
      </c>
      <c r="D830" s="12" t="s">
        <v>1910</v>
      </c>
      <c r="E830" s="12" t="s">
        <v>907</v>
      </c>
    </row>
    <row r="831" spans="1:6" ht="14.5" customHeight="1" x14ac:dyDescent="0.3">
      <c r="A831" s="12" t="s">
        <v>75</v>
      </c>
      <c r="B831" s="12" t="s">
        <v>902</v>
      </c>
      <c r="C831" s="12" t="s">
        <v>1911</v>
      </c>
      <c r="D831" s="12" t="s">
        <v>904</v>
      </c>
      <c r="E831" s="12" t="s">
        <v>907</v>
      </c>
    </row>
    <row r="832" spans="1:6" ht="14.5" customHeight="1" x14ac:dyDescent="0.3">
      <c r="A832" s="12" t="s">
        <v>76</v>
      </c>
      <c r="B832" s="12" t="s">
        <v>902</v>
      </c>
      <c r="C832" s="12" t="s">
        <v>1912</v>
      </c>
      <c r="D832" s="12" t="s">
        <v>904</v>
      </c>
      <c r="E832" s="12" t="s">
        <v>907</v>
      </c>
    </row>
    <row r="833" spans="1:5" ht="14.5" customHeight="1" x14ac:dyDescent="0.3">
      <c r="A833" s="12" t="s">
        <v>77</v>
      </c>
      <c r="B833" s="12" t="s">
        <v>902</v>
      </c>
      <c r="C833" s="12" t="s">
        <v>1913</v>
      </c>
      <c r="D833" s="12" t="s">
        <v>904</v>
      </c>
      <c r="E833" s="12" t="s">
        <v>907</v>
      </c>
    </row>
    <row r="834" spans="1:5" ht="14.5" customHeight="1" x14ac:dyDescent="0.3">
      <c r="A834" s="12" t="s">
        <v>78</v>
      </c>
      <c r="B834" s="12" t="s">
        <v>902</v>
      </c>
      <c r="C834" s="12" t="s">
        <v>1914</v>
      </c>
      <c r="D834" s="12" t="s">
        <v>1915</v>
      </c>
      <c r="E834" s="12" t="s">
        <v>907</v>
      </c>
    </row>
    <row r="835" spans="1:5" ht="14.5" customHeight="1" x14ac:dyDescent="0.3">
      <c r="A835" s="12" t="s">
        <v>80</v>
      </c>
      <c r="B835" s="12" t="s">
        <v>908</v>
      </c>
      <c r="C835" s="12" t="s">
        <v>1916</v>
      </c>
      <c r="D835" s="12" t="s">
        <v>1010</v>
      </c>
      <c r="E835" s="12" t="s">
        <v>907</v>
      </c>
    </row>
    <row r="836" spans="1:5" ht="14.5" customHeight="1" x14ac:dyDescent="0.3">
      <c r="A836" s="12" t="s">
        <v>81</v>
      </c>
      <c r="B836" s="12" t="s">
        <v>908</v>
      </c>
      <c r="C836" s="12" t="s">
        <v>1917</v>
      </c>
      <c r="D836" s="12" t="s">
        <v>1542</v>
      </c>
      <c r="E836" s="12" t="s">
        <v>907</v>
      </c>
    </row>
    <row r="837" spans="1:5" ht="14.5" customHeight="1" x14ac:dyDescent="0.3">
      <c r="A837" s="12" t="s">
        <v>82</v>
      </c>
      <c r="B837" s="12" t="s">
        <v>908</v>
      </c>
      <c r="C837" s="12" t="s">
        <v>1918</v>
      </c>
      <c r="D837" s="12" t="s">
        <v>1010</v>
      </c>
      <c r="E837" s="12" t="s">
        <v>907</v>
      </c>
    </row>
    <row r="838" spans="1:5" ht="14.5" customHeight="1" x14ac:dyDescent="0.3">
      <c r="A838" s="12" t="s">
        <v>83</v>
      </c>
      <c r="B838" s="12" t="s">
        <v>977</v>
      </c>
      <c r="C838" s="12" t="s">
        <v>1919</v>
      </c>
      <c r="D838" s="12" t="s">
        <v>1054</v>
      </c>
      <c r="E838" s="12" t="s">
        <v>1121</v>
      </c>
    </row>
    <row r="839" spans="1:5" ht="14.5" customHeight="1" x14ac:dyDescent="0.3">
      <c r="A839" s="12" t="s">
        <v>84</v>
      </c>
      <c r="B839" s="12" t="s">
        <v>977</v>
      </c>
      <c r="C839" s="12" t="s">
        <v>1423</v>
      </c>
      <c r="D839" s="12" t="s">
        <v>1054</v>
      </c>
      <c r="E839" s="12" t="s">
        <v>1424</v>
      </c>
    </row>
    <row r="840" spans="1:5" ht="14.5" customHeight="1" x14ac:dyDescent="0.3">
      <c r="A840" s="12" t="s">
        <v>85</v>
      </c>
      <c r="B840" s="12" t="s">
        <v>977</v>
      </c>
      <c r="C840" s="12" t="s">
        <v>1920</v>
      </c>
      <c r="D840" s="12" t="s">
        <v>1054</v>
      </c>
      <c r="E840" s="12" t="s">
        <v>1427</v>
      </c>
    </row>
    <row r="841" spans="1:5" ht="14.5" customHeight="1" x14ac:dyDescent="0.3">
      <c r="A841" s="12" t="s">
        <v>86</v>
      </c>
      <c r="B841" s="12" t="s">
        <v>1019</v>
      </c>
      <c r="C841" s="12" t="s">
        <v>1921</v>
      </c>
      <c r="D841" s="12" t="s">
        <v>1010</v>
      </c>
      <c r="E841" s="12" t="s">
        <v>907</v>
      </c>
    </row>
    <row r="842" spans="1:5" ht="14.5" customHeight="1" x14ac:dyDescent="0.3">
      <c r="A842" s="12" t="s">
        <v>87</v>
      </c>
      <c r="B842" s="12" t="s">
        <v>913</v>
      </c>
      <c r="C842" s="12" t="s">
        <v>1922</v>
      </c>
      <c r="D842" s="12" t="s">
        <v>1054</v>
      </c>
      <c r="E842" s="12" t="s">
        <v>1618</v>
      </c>
    </row>
    <row r="843" spans="1:5" ht="14.5" customHeight="1" x14ac:dyDescent="0.3">
      <c r="A843" s="12" t="s">
        <v>88</v>
      </c>
      <c r="B843" s="12" t="s">
        <v>913</v>
      </c>
      <c r="C843" s="12" t="s">
        <v>1923</v>
      </c>
      <c r="D843" s="12" t="s">
        <v>1054</v>
      </c>
      <c r="E843" s="12" t="s">
        <v>1618</v>
      </c>
    </row>
    <row r="844" spans="1:5" ht="14.5" customHeight="1" x14ac:dyDescent="0.3">
      <c r="A844" s="12" t="s">
        <v>89</v>
      </c>
      <c r="B844" s="12" t="s">
        <v>1044</v>
      </c>
      <c r="C844" s="12" t="s">
        <v>1432</v>
      </c>
      <c r="D844" s="12" t="s">
        <v>1433</v>
      </c>
      <c r="E844" s="12" t="s">
        <v>907</v>
      </c>
    </row>
    <row r="845" spans="1:5" ht="14.5" customHeight="1" x14ac:dyDescent="0.3">
      <c r="A845" s="12" t="s">
        <v>90</v>
      </c>
      <c r="B845" s="12" t="s">
        <v>929</v>
      </c>
      <c r="C845" s="12" t="s">
        <v>1924</v>
      </c>
      <c r="D845" s="12" t="s">
        <v>1925</v>
      </c>
      <c r="E845" s="12" t="s">
        <v>907</v>
      </c>
    </row>
    <row r="846" spans="1:5" ht="14.5" customHeight="1" x14ac:dyDescent="0.3">
      <c r="A846" s="12" t="s">
        <v>91</v>
      </c>
      <c r="B846" s="12" t="s">
        <v>929</v>
      </c>
      <c r="C846" s="12" t="s">
        <v>1926</v>
      </c>
      <c r="D846" s="12" t="s">
        <v>917</v>
      </c>
      <c r="E846" s="12" t="s">
        <v>907</v>
      </c>
    </row>
    <row r="847" spans="1:5" ht="14.5" customHeight="1" x14ac:dyDescent="0.3">
      <c r="A847" s="12" t="s">
        <v>93</v>
      </c>
      <c r="B847" s="12" t="s">
        <v>935</v>
      </c>
      <c r="C847" s="12" t="s">
        <v>1927</v>
      </c>
      <c r="D847" s="12" t="s">
        <v>1928</v>
      </c>
      <c r="E847" s="12" t="s">
        <v>911</v>
      </c>
    </row>
    <row r="848" spans="1:5" ht="14.5" customHeight="1" x14ac:dyDescent="0.3">
      <c r="A848" s="12" t="s">
        <v>94</v>
      </c>
      <c r="B848" s="12" t="s">
        <v>929</v>
      </c>
      <c r="C848" s="12" t="s">
        <v>1929</v>
      </c>
      <c r="D848" s="12" t="s">
        <v>1930</v>
      </c>
      <c r="E848" s="12" t="s">
        <v>907</v>
      </c>
    </row>
    <row r="849" spans="1:16" ht="14.5" customHeight="1" x14ac:dyDescent="0.3">
      <c r="A849" s="12" t="s">
        <v>95</v>
      </c>
      <c r="B849" s="12" t="s">
        <v>935</v>
      </c>
      <c r="C849" s="12" t="s">
        <v>1931</v>
      </c>
      <c r="D849" s="12" t="s">
        <v>915</v>
      </c>
      <c r="E849" s="12" t="s">
        <v>907</v>
      </c>
    </row>
    <row r="850" spans="1:16" ht="14.5" customHeight="1" x14ac:dyDescent="0.3">
      <c r="A850" s="12" t="s">
        <v>96</v>
      </c>
      <c r="B850" s="12" t="s">
        <v>1296</v>
      </c>
      <c r="C850" s="12" t="s">
        <v>1932</v>
      </c>
      <c r="D850" s="12" t="s">
        <v>1933</v>
      </c>
      <c r="E850" s="12" t="s">
        <v>1934</v>
      </c>
      <c r="F850" s="12" t="s">
        <v>1935</v>
      </c>
      <c r="G850" s="12" t="s">
        <v>1503</v>
      </c>
      <c r="H850" s="12" t="s">
        <v>1936</v>
      </c>
      <c r="I850" s="12" t="s">
        <v>1937</v>
      </c>
      <c r="J850" s="12" t="s">
        <v>1938</v>
      </c>
      <c r="K850" s="12" t="s">
        <v>1939</v>
      </c>
      <c r="L850" s="12" t="s">
        <v>1940</v>
      </c>
      <c r="M850" s="12" t="s">
        <v>1941</v>
      </c>
      <c r="N850" s="12" t="s">
        <v>1942</v>
      </c>
      <c r="O850" s="12" t="s">
        <v>961</v>
      </c>
      <c r="P850" s="12" t="s">
        <v>1943</v>
      </c>
    </row>
    <row r="851" spans="1:16" ht="14.5" customHeight="1" x14ac:dyDescent="0.3">
      <c r="A851" s="12" t="s">
        <v>97</v>
      </c>
      <c r="B851" s="12" t="s">
        <v>937</v>
      </c>
      <c r="C851" s="12" t="s">
        <v>1944</v>
      </c>
      <c r="D851" s="12" t="s">
        <v>1302</v>
      </c>
      <c r="E851" s="12" t="s">
        <v>907</v>
      </c>
    </row>
    <row r="852" spans="1:16" ht="14.5" customHeight="1" x14ac:dyDescent="0.3">
      <c r="A852" s="12" t="s">
        <v>98</v>
      </c>
      <c r="B852" s="12" t="s">
        <v>937</v>
      </c>
      <c r="C852" s="12" t="s">
        <v>1945</v>
      </c>
      <c r="D852" s="12" t="s">
        <v>1293</v>
      </c>
      <c r="E852" s="12" t="s">
        <v>907</v>
      </c>
    </row>
    <row r="853" spans="1:16" ht="14.5" customHeight="1" x14ac:dyDescent="0.3">
      <c r="A853" s="12" t="s">
        <v>99</v>
      </c>
      <c r="B853" s="12" t="s">
        <v>937</v>
      </c>
      <c r="C853" s="12" t="s">
        <v>1946</v>
      </c>
      <c r="D853" s="12" t="s">
        <v>1054</v>
      </c>
      <c r="E853" s="12" t="s">
        <v>1947</v>
      </c>
      <c r="F853" s="12" t="s">
        <v>1948</v>
      </c>
    </row>
    <row r="854" spans="1:16" ht="14.5" customHeight="1" x14ac:dyDescent="0.3">
      <c r="A854" s="12" t="s">
        <v>100</v>
      </c>
      <c r="B854" s="12" t="s">
        <v>1048</v>
      </c>
      <c r="C854" s="12" t="s">
        <v>1949</v>
      </c>
      <c r="D854" s="12" t="s">
        <v>917</v>
      </c>
      <c r="E854" s="12" t="s">
        <v>907</v>
      </c>
    </row>
    <row r="855" spans="1:16" ht="14.5" customHeight="1" x14ac:dyDescent="0.3">
      <c r="A855" s="12" t="s">
        <v>101</v>
      </c>
      <c r="B855" s="12" t="s">
        <v>1048</v>
      </c>
      <c r="C855" s="12" t="s">
        <v>1950</v>
      </c>
      <c r="D855" s="12" t="s">
        <v>1054</v>
      </c>
      <c r="E855" s="12" t="s">
        <v>1951</v>
      </c>
    </row>
    <row r="856" spans="1:16" ht="14.5" customHeight="1" x14ac:dyDescent="0.3">
      <c r="A856" s="12" t="s">
        <v>103</v>
      </c>
      <c r="B856" s="12" t="s">
        <v>1296</v>
      </c>
      <c r="C856" s="12" t="s">
        <v>1952</v>
      </c>
      <c r="D856" s="12" t="s">
        <v>951</v>
      </c>
      <c r="E856" s="12" t="s">
        <v>1054</v>
      </c>
      <c r="F856" s="12" t="s">
        <v>1055</v>
      </c>
    </row>
    <row r="857" spans="1:16" ht="14.5" customHeight="1" x14ac:dyDescent="0.3">
      <c r="A857" s="12" t="s">
        <v>104</v>
      </c>
      <c r="B857" s="12" t="s">
        <v>1296</v>
      </c>
      <c r="C857" s="12" t="s">
        <v>1953</v>
      </c>
      <c r="D857" s="12" t="s">
        <v>951</v>
      </c>
      <c r="E857" s="12" t="s">
        <v>1054</v>
      </c>
      <c r="F857" s="12" t="s">
        <v>1055</v>
      </c>
    </row>
    <row r="858" spans="1:16" ht="14.5" customHeight="1" x14ac:dyDescent="0.3">
      <c r="A858" s="12" t="s">
        <v>105</v>
      </c>
      <c r="B858" s="12" t="s">
        <v>1296</v>
      </c>
      <c r="C858" s="12" t="s">
        <v>1954</v>
      </c>
      <c r="D858" s="12" t="s">
        <v>1955</v>
      </c>
      <c r="E858" s="12" t="s">
        <v>907</v>
      </c>
    </row>
    <row r="859" spans="1:16" ht="14.5" customHeight="1" x14ac:dyDescent="0.3">
      <c r="A859" s="12" t="s">
        <v>106</v>
      </c>
      <c r="B859" s="12" t="s">
        <v>1296</v>
      </c>
      <c r="C859" s="12" t="s">
        <v>1956</v>
      </c>
      <c r="D859" s="12" t="s">
        <v>1293</v>
      </c>
      <c r="E859" s="12" t="s">
        <v>1315</v>
      </c>
      <c r="F859" s="12" t="s">
        <v>907</v>
      </c>
    </row>
    <row r="860" spans="1:16" ht="14.5" customHeight="1" x14ac:dyDescent="0.3">
      <c r="A860" s="12" t="s">
        <v>107</v>
      </c>
      <c r="B860" s="12" t="s">
        <v>1296</v>
      </c>
      <c r="C860" s="12" t="e">
        <v>#VALUE!</v>
      </c>
      <c r="D860" s="12" t="s">
        <v>1293</v>
      </c>
      <c r="E860" s="12" t="s">
        <v>907</v>
      </c>
    </row>
    <row r="861" spans="1:16" ht="14.5" customHeight="1" x14ac:dyDescent="0.3">
      <c r="A861" s="12" t="s">
        <v>108</v>
      </c>
      <c r="B861" s="12" t="s">
        <v>942</v>
      </c>
      <c r="C861" s="12" t="s">
        <v>1957</v>
      </c>
      <c r="D861" s="12" t="s">
        <v>951</v>
      </c>
      <c r="E861" s="12" t="s">
        <v>907</v>
      </c>
    </row>
    <row r="862" spans="1:16" ht="14.5" customHeight="1" x14ac:dyDescent="0.3">
      <c r="A862" s="12" t="s">
        <v>109</v>
      </c>
      <c r="B862" s="12" t="s">
        <v>942</v>
      </c>
      <c r="C862" s="12" t="s">
        <v>1958</v>
      </c>
      <c r="D862" s="12" t="s">
        <v>1959</v>
      </c>
      <c r="E862" s="12" t="s">
        <v>907</v>
      </c>
    </row>
    <row r="863" spans="1:16" ht="14.5" customHeight="1" x14ac:dyDescent="0.3">
      <c r="A863" s="12" t="s">
        <v>110</v>
      </c>
      <c r="B863" s="12" t="s">
        <v>944</v>
      </c>
      <c r="C863" s="12" t="s">
        <v>1960</v>
      </c>
      <c r="D863" s="12" t="s">
        <v>907</v>
      </c>
    </row>
    <row r="864" spans="1:16" ht="14.5" customHeight="1" x14ac:dyDescent="0.3">
      <c r="A864" s="12" t="s">
        <v>112</v>
      </c>
      <c r="B864" s="12" t="s">
        <v>944</v>
      </c>
      <c r="C864" s="12" t="s">
        <v>1961</v>
      </c>
      <c r="D864" s="12" t="s">
        <v>1962</v>
      </c>
      <c r="E864" s="12" t="s">
        <v>907</v>
      </c>
    </row>
    <row r="865" spans="1:5" ht="14.5" customHeight="1" x14ac:dyDescent="0.3">
      <c r="A865" s="12" t="s">
        <v>113</v>
      </c>
      <c r="B865" s="12" t="s">
        <v>944</v>
      </c>
      <c r="C865" s="12" t="s">
        <v>1963</v>
      </c>
      <c r="D865" s="12" t="s">
        <v>951</v>
      </c>
      <c r="E865" s="12" t="s">
        <v>907</v>
      </c>
    </row>
    <row r="866" spans="1:5" ht="14.5" customHeight="1" x14ac:dyDescent="0.3">
      <c r="A866" s="12" t="s">
        <v>114</v>
      </c>
      <c r="B866" s="12" t="s">
        <v>944</v>
      </c>
      <c r="C866" s="12" t="s">
        <v>1964</v>
      </c>
      <c r="D866" s="12" t="s">
        <v>1965</v>
      </c>
      <c r="E866" s="12" t="s">
        <v>907</v>
      </c>
    </row>
    <row r="867" spans="1:5" ht="14.5" customHeight="1" x14ac:dyDescent="0.3">
      <c r="A867" s="12" t="s">
        <v>115</v>
      </c>
      <c r="B867" s="12" t="s">
        <v>944</v>
      </c>
      <c r="C867" s="12" t="s">
        <v>1966</v>
      </c>
      <c r="D867" s="12" t="s">
        <v>951</v>
      </c>
      <c r="E867" s="12" t="s">
        <v>907</v>
      </c>
    </row>
    <row r="868" spans="1:5" ht="14.5" customHeight="1" x14ac:dyDescent="0.3">
      <c r="A868" s="12" t="s">
        <v>116</v>
      </c>
      <c r="B868" s="12" t="s">
        <v>944</v>
      </c>
      <c r="C868" s="12" t="s">
        <v>1967</v>
      </c>
      <c r="D868" s="12" t="s">
        <v>907</v>
      </c>
    </row>
    <row r="869" spans="1:5" ht="14.5" customHeight="1" x14ac:dyDescent="0.3">
      <c r="A869" s="12" t="s">
        <v>117</v>
      </c>
      <c r="B869" s="12" t="s">
        <v>946</v>
      </c>
      <c r="C869" s="12" t="s">
        <v>1968</v>
      </c>
      <c r="D869" s="12" t="s">
        <v>907</v>
      </c>
    </row>
    <row r="870" spans="1:5" ht="14.5" customHeight="1" x14ac:dyDescent="0.3">
      <c r="A870" s="12" t="s">
        <v>118</v>
      </c>
      <c r="B870" s="12" t="s">
        <v>954</v>
      </c>
      <c r="C870" s="12" t="s">
        <v>1969</v>
      </c>
      <c r="D870" s="12" t="s">
        <v>907</v>
      </c>
      <c r="E870" s="12" t="s">
        <v>941</v>
      </c>
    </row>
    <row r="871" spans="1:5" ht="14.5" customHeight="1" x14ac:dyDescent="0.3">
      <c r="A871" s="12" t="s">
        <v>119</v>
      </c>
      <c r="B871" s="12" t="s">
        <v>1076</v>
      </c>
      <c r="C871" s="12" t="s">
        <v>1970</v>
      </c>
      <c r="D871" s="12" t="s">
        <v>907</v>
      </c>
    </row>
    <row r="872" spans="1:5" ht="14.5" customHeight="1" x14ac:dyDescent="0.3">
      <c r="A872" s="12" t="s">
        <v>120</v>
      </c>
      <c r="B872" s="12" t="s">
        <v>1076</v>
      </c>
      <c r="C872" s="12" t="s">
        <v>1971</v>
      </c>
      <c r="D872" s="12" t="s">
        <v>907</v>
      </c>
    </row>
    <row r="873" spans="1:5" ht="14.5" customHeight="1" x14ac:dyDescent="0.3">
      <c r="A873" s="12" t="s">
        <v>121</v>
      </c>
      <c r="B873" s="12" t="s">
        <v>1087</v>
      </c>
      <c r="C873" s="12" t="s">
        <v>1972</v>
      </c>
      <c r="D873" s="12" t="s">
        <v>907</v>
      </c>
    </row>
    <row r="874" spans="1:5" ht="14.5" customHeight="1" x14ac:dyDescent="0.3">
      <c r="A874" s="12" t="s">
        <v>123</v>
      </c>
      <c r="B874" s="12" t="s">
        <v>1081</v>
      </c>
      <c r="C874" s="12" t="s">
        <v>1973</v>
      </c>
      <c r="D874" s="12" t="s">
        <v>907</v>
      </c>
    </row>
    <row r="875" spans="1:5" ht="14.5" customHeight="1" x14ac:dyDescent="0.3">
      <c r="A875" s="12" t="s">
        <v>124</v>
      </c>
      <c r="B875" s="12" t="e">
        <v>#VALUE!</v>
      </c>
      <c r="C875" s="12" t="e">
        <v>#VALUE!</v>
      </c>
      <c r="D875" s="12" t="s">
        <v>956</v>
      </c>
    </row>
    <row r="876" spans="1:5" ht="14.5" customHeight="1" x14ac:dyDescent="0.3">
      <c r="A876" s="12" t="s">
        <v>125</v>
      </c>
      <c r="B876" s="12" t="e">
        <v>#VALUE!</v>
      </c>
      <c r="C876" s="12" t="e">
        <v>#VALUE!</v>
      </c>
      <c r="D876" s="12" t="s">
        <v>956</v>
      </c>
    </row>
    <row r="877" spans="1:5" ht="14.5" customHeight="1" x14ac:dyDescent="0.3">
      <c r="A877" s="12" t="s">
        <v>126</v>
      </c>
      <c r="B877" s="12" t="s">
        <v>897</v>
      </c>
      <c r="C877" s="12" t="s">
        <v>1974</v>
      </c>
      <c r="D877" s="12" t="s">
        <v>904</v>
      </c>
      <c r="E877" s="12" t="s">
        <v>907</v>
      </c>
    </row>
    <row r="878" spans="1:5" ht="14.5" customHeight="1" x14ac:dyDescent="0.3">
      <c r="A878" s="12" t="s">
        <v>127</v>
      </c>
      <c r="B878" s="12" t="s">
        <v>902</v>
      </c>
      <c r="C878" s="12" t="s">
        <v>1975</v>
      </c>
      <c r="D878" s="12" t="s">
        <v>1014</v>
      </c>
      <c r="E878" s="12" t="s">
        <v>907</v>
      </c>
    </row>
    <row r="879" spans="1:5" ht="14.5" customHeight="1" x14ac:dyDescent="0.3">
      <c r="A879" s="12" t="s">
        <v>128</v>
      </c>
      <c r="B879" s="12" t="s">
        <v>908</v>
      </c>
      <c r="C879" s="12" t="s">
        <v>1976</v>
      </c>
      <c r="D879" s="12" t="s">
        <v>904</v>
      </c>
      <c r="E879" s="12" t="s">
        <v>907</v>
      </c>
    </row>
    <row r="880" spans="1:5" ht="14.5" customHeight="1" x14ac:dyDescent="0.3">
      <c r="A880" s="12" t="s">
        <v>129</v>
      </c>
      <c r="B880" s="12" t="s">
        <v>977</v>
      </c>
      <c r="C880" s="12" t="s">
        <v>1977</v>
      </c>
      <c r="D880" s="12" t="s">
        <v>1010</v>
      </c>
      <c r="E880" s="12" t="s">
        <v>907</v>
      </c>
    </row>
    <row r="881" spans="1:7" ht="14.5" customHeight="1" x14ac:dyDescent="0.3">
      <c r="A881" s="12" t="s">
        <v>130</v>
      </c>
      <c r="B881" s="12" t="s">
        <v>1029</v>
      </c>
      <c r="C881" s="12" t="s">
        <v>1978</v>
      </c>
      <c r="D881" s="12" t="s">
        <v>1037</v>
      </c>
      <c r="E881" s="12" t="s">
        <v>907</v>
      </c>
    </row>
    <row r="882" spans="1:7" ht="14.5" customHeight="1" x14ac:dyDescent="0.3">
      <c r="A882" s="12" t="s">
        <v>131</v>
      </c>
      <c r="B882" s="12" t="s">
        <v>1029</v>
      </c>
      <c r="C882" s="12" t="s">
        <v>1979</v>
      </c>
      <c r="D882" s="12" t="s">
        <v>1054</v>
      </c>
      <c r="E882" s="12" t="s">
        <v>1980</v>
      </c>
    </row>
    <row r="883" spans="1:7" ht="14.5" customHeight="1" x14ac:dyDescent="0.3">
      <c r="A883" s="12" t="s">
        <v>132</v>
      </c>
      <c r="B883" s="12" t="s">
        <v>913</v>
      </c>
      <c r="C883" s="12" t="s">
        <v>1981</v>
      </c>
      <c r="D883" s="12" t="s">
        <v>1925</v>
      </c>
      <c r="E883" s="12" t="s">
        <v>907</v>
      </c>
    </row>
    <row r="884" spans="1:7" ht="14.5" customHeight="1" x14ac:dyDescent="0.3">
      <c r="A884" s="12" t="s">
        <v>133</v>
      </c>
      <c r="B884" s="12" t="s">
        <v>926</v>
      </c>
      <c r="C884" s="12" t="s">
        <v>1983</v>
      </c>
      <c r="D884" s="12" t="s">
        <v>1982</v>
      </c>
    </row>
    <row r="885" spans="1:7" ht="14.5" customHeight="1" x14ac:dyDescent="0.3">
      <c r="A885" s="12" t="s">
        <v>135</v>
      </c>
      <c r="B885" s="12" t="s">
        <v>937</v>
      </c>
      <c r="C885" s="12" t="s">
        <v>1984</v>
      </c>
      <c r="D885" s="12" t="s">
        <v>907</v>
      </c>
    </row>
    <row r="886" spans="1:7" ht="14.5" customHeight="1" x14ac:dyDescent="0.3">
      <c r="A886" s="12" t="s">
        <v>137</v>
      </c>
      <c r="B886" s="12" t="s">
        <v>1296</v>
      </c>
      <c r="C886" s="12" t="s">
        <v>1985</v>
      </c>
      <c r="D886" s="12" t="s">
        <v>1986</v>
      </c>
      <c r="E886" s="12" t="s">
        <v>907</v>
      </c>
    </row>
    <row r="887" spans="1:7" ht="14.5" customHeight="1" x14ac:dyDescent="0.3">
      <c r="A887" s="12" t="s">
        <v>138</v>
      </c>
      <c r="B887" s="12" t="s">
        <v>1050</v>
      </c>
      <c r="C887" s="12" t="e">
        <v>#VALUE!</v>
      </c>
      <c r="D887" s="12" t="s">
        <v>907</v>
      </c>
    </row>
    <row r="888" spans="1:7" ht="14.5" customHeight="1" x14ac:dyDescent="0.3">
      <c r="A888" s="12" t="s">
        <v>139</v>
      </c>
      <c r="B888" s="12" t="s">
        <v>942</v>
      </c>
      <c r="C888" s="12" t="s">
        <v>1987</v>
      </c>
      <c r="D888" s="12" t="s">
        <v>1965</v>
      </c>
      <c r="E888" s="12" t="s">
        <v>1054</v>
      </c>
      <c r="F888" s="12" t="s">
        <v>951</v>
      </c>
      <c r="G888" s="12" t="s">
        <v>1988</v>
      </c>
    </row>
    <row r="889" spans="1:7" ht="14.5" customHeight="1" x14ac:dyDescent="0.3">
      <c r="A889" s="12" t="s">
        <v>140</v>
      </c>
      <c r="B889" s="12" t="s">
        <v>944</v>
      </c>
      <c r="C889" s="12" t="s">
        <v>1989</v>
      </c>
      <c r="D889" s="12" t="s">
        <v>1054</v>
      </c>
      <c r="E889" s="12" t="s">
        <v>1990</v>
      </c>
    </row>
    <row r="890" spans="1:7" ht="14.5" customHeight="1" x14ac:dyDescent="0.3">
      <c r="A890" s="12" t="s">
        <v>141</v>
      </c>
      <c r="B890" s="12" t="s">
        <v>944</v>
      </c>
      <c r="C890" s="12" t="s">
        <v>1991</v>
      </c>
      <c r="D890" s="12" t="s">
        <v>907</v>
      </c>
    </row>
    <row r="891" spans="1:7" ht="14.5" customHeight="1" x14ac:dyDescent="0.3">
      <c r="A891" s="12" t="s">
        <v>142</v>
      </c>
      <c r="B891" s="12" t="s">
        <v>946</v>
      </c>
      <c r="C891" s="12" t="s">
        <v>1987</v>
      </c>
      <c r="D891" s="12" t="s">
        <v>1992</v>
      </c>
      <c r="E891" s="12" t="s">
        <v>1054</v>
      </c>
      <c r="F891" s="12" t="s">
        <v>1069</v>
      </c>
    </row>
    <row r="892" spans="1:7" ht="14.5" customHeight="1" x14ac:dyDescent="0.3">
      <c r="A892" s="12" t="s">
        <v>143</v>
      </c>
      <c r="B892" s="12" t="e">
        <v>#VALUE!</v>
      </c>
      <c r="C892" s="12" t="e">
        <v>#VALUE!</v>
      </c>
      <c r="D892" s="12" t="s">
        <v>956</v>
      </c>
    </row>
    <row r="893" spans="1:7" ht="14.5" customHeight="1" x14ac:dyDescent="0.3">
      <c r="A893" s="12" t="s">
        <v>144</v>
      </c>
      <c r="B893" s="12" t="s">
        <v>1993</v>
      </c>
      <c r="C893" s="12" t="s">
        <v>1994</v>
      </c>
      <c r="D893" s="12" t="s">
        <v>1995</v>
      </c>
      <c r="E893" s="12" t="s">
        <v>961</v>
      </c>
      <c r="F893" s="12" t="s">
        <v>1996</v>
      </c>
    </row>
    <row r="894" spans="1:7" ht="14.5" customHeight="1" x14ac:dyDescent="0.3">
      <c r="A894" s="12" t="s">
        <v>145</v>
      </c>
      <c r="B894" s="12" t="s">
        <v>1993</v>
      </c>
      <c r="C894" s="12" t="s">
        <v>1056</v>
      </c>
      <c r="D894" s="12" t="s">
        <v>1054</v>
      </c>
      <c r="E894" s="12" t="s">
        <v>1061</v>
      </c>
    </row>
    <row r="895" spans="1:7" ht="14.5" customHeight="1" x14ac:dyDescent="0.3">
      <c r="A895" s="12" t="s">
        <v>146</v>
      </c>
      <c r="B895" s="12" t="s">
        <v>1997</v>
      </c>
      <c r="C895" s="12" t="s">
        <v>1998</v>
      </c>
      <c r="D895" s="12" t="s">
        <v>907</v>
      </c>
      <c r="E895" s="12" t="s">
        <v>1063</v>
      </c>
    </row>
    <row r="896" spans="1:7" ht="14.5" customHeight="1" x14ac:dyDescent="0.3">
      <c r="A896" s="12" t="s">
        <v>147</v>
      </c>
      <c r="B896" s="12" t="s">
        <v>1993</v>
      </c>
      <c r="C896" s="12" t="s">
        <v>1999</v>
      </c>
      <c r="D896" s="12" t="s">
        <v>907</v>
      </c>
    </row>
  </sheetData>
  <conditionalFormatting sqref="D1:D1048576">
    <cfRule type="containsText" dxfId="5" priority="1" operator="containsText" text="#VALUE!">
      <formula>NOT(ISERROR(SEARCH("#VALUE!",D1)))</formula>
    </cfRule>
    <cfRule type="containsErrors" dxfId="4" priority="2">
      <formula>ISERROR(D1)</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E388-319B-493B-A332-E1E493C42404}">
  <dimension ref="A1:H850"/>
  <sheetViews>
    <sheetView tabSelected="1" workbookViewId="0">
      <selection activeCell="I2" sqref="I2"/>
    </sheetView>
  </sheetViews>
  <sheetFormatPr defaultRowHeight="14" x14ac:dyDescent="0.3"/>
  <cols>
    <col min="2" max="2" width="6.08203125" style="18" customWidth="1"/>
    <col min="3" max="3" width="34.33203125" style="18" customWidth="1"/>
    <col min="4" max="4" width="12.08203125" style="22" customWidth="1"/>
    <col min="5" max="7" width="12.08203125" style="23" customWidth="1"/>
    <col min="8" max="8" width="8.6640625" style="24"/>
  </cols>
  <sheetData>
    <row r="1" spans="1:8" s="14" customFormat="1" ht="19.5" customHeight="1" x14ac:dyDescent="0.3">
      <c r="A1" s="26" t="s">
        <v>2007</v>
      </c>
      <c r="B1" s="17" t="s">
        <v>22</v>
      </c>
      <c r="C1" s="17" t="s">
        <v>30</v>
      </c>
      <c r="D1" s="19" t="s">
        <v>20</v>
      </c>
      <c r="E1" s="20"/>
      <c r="F1" s="20"/>
      <c r="G1" s="20"/>
      <c r="H1" s="21"/>
    </row>
    <row r="2" spans="1:8" x14ac:dyDescent="0.3">
      <c r="A2">
        <v>1</v>
      </c>
      <c r="B2" s="18" t="s">
        <v>897</v>
      </c>
      <c r="C2" s="18" t="s">
        <v>898</v>
      </c>
      <c r="D2" s="22" t="s">
        <v>899</v>
      </c>
      <c r="E2" s="23" t="s">
        <v>900</v>
      </c>
      <c r="F2" s="23" t="s">
        <v>901</v>
      </c>
    </row>
    <row r="3" spans="1:8" x14ac:dyDescent="0.3">
      <c r="A3">
        <v>2</v>
      </c>
      <c r="B3" s="18" t="s">
        <v>902</v>
      </c>
      <c r="C3" s="18" t="s">
        <v>903</v>
      </c>
      <c r="D3" s="22" t="s">
        <v>904</v>
      </c>
      <c r="E3" s="23" t="s">
        <v>905</v>
      </c>
      <c r="F3" s="23" t="s">
        <v>906</v>
      </c>
      <c r="G3" s="23" t="s">
        <v>907</v>
      </c>
    </row>
    <row r="4" spans="1:8" x14ac:dyDescent="0.3">
      <c r="A4">
        <v>3</v>
      </c>
      <c r="B4" s="18" t="s">
        <v>908</v>
      </c>
      <c r="C4" s="18" t="s">
        <v>909</v>
      </c>
      <c r="D4" s="22" t="s">
        <v>910</v>
      </c>
      <c r="E4" s="23" t="s">
        <v>911</v>
      </c>
    </row>
    <row r="5" spans="1:8" x14ac:dyDescent="0.3">
      <c r="A5">
        <v>4</v>
      </c>
      <c r="B5" s="18" t="s">
        <v>908</v>
      </c>
      <c r="C5" s="18" t="s">
        <v>912</v>
      </c>
      <c r="D5" s="22" t="s">
        <v>910</v>
      </c>
      <c r="E5" s="23" t="s">
        <v>911</v>
      </c>
    </row>
    <row r="6" spans="1:8" x14ac:dyDescent="0.3">
      <c r="A6">
        <v>5</v>
      </c>
      <c r="B6" s="18" t="s">
        <v>913</v>
      </c>
      <c r="C6" s="18" t="s">
        <v>914</v>
      </c>
      <c r="D6" s="22" t="s">
        <v>915</v>
      </c>
      <c r="E6" s="23" t="s">
        <v>911</v>
      </c>
    </row>
    <row r="7" spans="1:8" x14ac:dyDescent="0.3">
      <c r="A7">
        <v>6</v>
      </c>
      <c r="B7" s="18" t="s">
        <v>913</v>
      </c>
      <c r="C7" s="18" t="s">
        <v>916</v>
      </c>
      <c r="D7" s="22" t="s">
        <v>917</v>
      </c>
      <c r="E7" s="23" t="s">
        <v>911</v>
      </c>
    </row>
    <row r="8" spans="1:8" x14ac:dyDescent="0.3">
      <c r="A8">
        <v>7</v>
      </c>
      <c r="B8" s="18" t="s">
        <v>913</v>
      </c>
      <c r="C8" s="18" t="s">
        <v>918</v>
      </c>
      <c r="D8" s="22" t="s">
        <v>919</v>
      </c>
      <c r="E8" s="23" t="s">
        <v>911</v>
      </c>
    </row>
    <row r="9" spans="1:8" x14ac:dyDescent="0.3">
      <c r="A9">
        <v>8</v>
      </c>
      <c r="B9" s="18" t="s">
        <v>913</v>
      </c>
      <c r="C9" s="18" t="s">
        <v>920</v>
      </c>
      <c r="D9" s="22" t="s">
        <v>921</v>
      </c>
      <c r="E9" s="23" t="s">
        <v>922</v>
      </c>
      <c r="F9" s="23" t="s">
        <v>911</v>
      </c>
    </row>
    <row r="10" spans="1:8" x14ac:dyDescent="0.3">
      <c r="A10">
        <v>9</v>
      </c>
      <c r="B10" s="18" t="s">
        <v>913</v>
      </c>
      <c r="C10" s="18" t="s">
        <v>923</v>
      </c>
      <c r="D10" s="22" t="s">
        <v>924</v>
      </c>
      <c r="E10" s="23" t="s">
        <v>925</v>
      </c>
    </row>
    <row r="11" spans="1:8" x14ac:dyDescent="0.3">
      <c r="A11">
        <v>10</v>
      </c>
      <c r="B11" s="18" t="s">
        <v>926</v>
      </c>
      <c r="C11" s="18" t="s">
        <v>927</v>
      </c>
      <c r="D11" s="22" t="s">
        <v>921</v>
      </c>
      <c r="E11" s="23" t="s">
        <v>922</v>
      </c>
      <c r="F11" s="23" t="s">
        <v>911</v>
      </c>
    </row>
    <row r="12" spans="1:8" x14ac:dyDescent="0.3">
      <c r="A12">
        <v>11</v>
      </c>
      <c r="B12" s="18" t="s">
        <v>926</v>
      </c>
      <c r="C12" s="18" t="s">
        <v>923</v>
      </c>
      <c r="D12" s="22" t="s">
        <v>928</v>
      </c>
      <c r="E12" s="23" t="s">
        <v>911</v>
      </c>
    </row>
    <row r="13" spans="1:8" x14ac:dyDescent="0.3">
      <c r="A13">
        <v>12</v>
      </c>
      <c r="B13" s="18" t="s">
        <v>929</v>
      </c>
      <c r="C13" s="18" t="s">
        <v>930</v>
      </c>
      <c r="D13" s="22" t="s">
        <v>931</v>
      </c>
      <c r="E13" s="23" t="s">
        <v>932</v>
      </c>
      <c r="F13" s="23" t="s">
        <v>911</v>
      </c>
    </row>
    <row r="14" spans="1:8" x14ac:dyDescent="0.3">
      <c r="A14">
        <v>13</v>
      </c>
      <c r="B14" s="18" t="s">
        <v>929</v>
      </c>
      <c r="C14" s="18" t="s">
        <v>933</v>
      </c>
      <c r="D14" s="22" t="s">
        <v>934</v>
      </c>
      <c r="E14" s="23" t="s">
        <v>907</v>
      </c>
    </row>
    <row r="15" spans="1:8" x14ac:dyDescent="0.3">
      <c r="A15">
        <v>14</v>
      </c>
      <c r="B15" s="18" t="s">
        <v>935</v>
      </c>
      <c r="C15" s="18" t="s">
        <v>936</v>
      </c>
      <c r="D15" s="22" t="s">
        <v>921</v>
      </c>
      <c r="E15" s="23" t="s">
        <v>922</v>
      </c>
      <c r="F15" s="23" t="s">
        <v>911</v>
      </c>
    </row>
    <row r="16" spans="1:8" x14ac:dyDescent="0.3">
      <c r="A16">
        <v>15</v>
      </c>
      <c r="B16" s="18" t="s">
        <v>937</v>
      </c>
      <c r="C16" s="18" t="s">
        <v>938</v>
      </c>
      <c r="D16" s="22" t="s">
        <v>939</v>
      </c>
      <c r="E16" s="23" t="s">
        <v>940</v>
      </c>
      <c r="F16" s="23" t="s">
        <v>941</v>
      </c>
      <c r="G16" s="23" t="s">
        <v>911</v>
      </c>
    </row>
    <row r="17" spans="1:7" x14ac:dyDescent="0.3">
      <c r="A17">
        <v>16</v>
      </c>
      <c r="B17" s="18" t="s">
        <v>942</v>
      </c>
      <c r="C17" s="18" t="s">
        <v>943</v>
      </c>
      <c r="D17" s="22" t="s">
        <v>907</v>
      </c>
    </row>
    <row r="18" spans="1:7" x14ac:dyDescent="0.3">
      <c r="A18">
        <v>17</v>
      </c>
      <c r="B18" s="18" t="s">
        <v>944</v>
      </c>
      <c r="C18" s="18" t="s">
        <v>945</v>
      </c>
      <c r="D18" s="22" t="s">
        <v>907</v>
      </c>
    </row>
    <row r="19" spans="1:7" x14ac:dyDescent="0.3">
      <c r="A19">
        <v>18</v>
      </c>
      <c r="B19" s="18" t="s">
        <v>946</v>
      </c>
      <c r="C19" s="18" t="s">
        <v>947</v>
      </c>
      <c r="D19" s="22" t="s">
        <v>907</v>
      </c>
      <c r="E19" s="23" t="s">
        <v>948</v>
      </c>
    </row>
    <row r="20" spans="1:7" x14ac:dyDescent="0.3">
      <c r="A20">
        <v>19</v>
      </c>
      <c r="B20" s="18" t="s">
        <v>949</v>
      </c>
      <c r="C20" s="18" t="s">
        <v>950</v>
      </c>
      <c r="D20" s="22" t="s">
        <v>951</v>
      </c>
      <c r="E20" s="23" t="s">
        <v>911</v>
      </c>
      <c r="F20" s="23" t="s">
        <v>948</v>
      </c>
    </row>
    <row r="21" spans="1:7" x14ac:dyDescent="0.3">
      <c r="A21">
        <v>20</v>
      </c>
      <c r="B21" s="18" t="s">
        <v>949</v>
      </c>
      <c r="C21" s="18" t="s">
        <v>952</v>
      </c>
      <c r="D21" s="22" t="s">
        <v>907</v>
      </c>
    </row>
    <row r="22" spans="1:7" x14ac:dyDescent="0.3">
      <c r="A22">
        <v>21</v>
      </c>
      <c r="B22" s="18" t="s">
        <v>949</v>
      </c>
      <c r="C22" s="18" t="s">
        <v>953</v>
      </c>
      <c r="D22" s="22" t="s">
        <v>907</v>
      </c>
      <c r="E22" s="23" t="s">
        <v>941</v>
      </c>
    </row>
    <row r="23" spans="1:7" x14ac:dyDescent="0.3">
      <c r="A23">
        <v>22</v>
      </c>
      <c r="B23" s="18" t="s">
        <v>954</v>
      </c>
      <c r="C23" s="18" t="s">
        <v>955</v>
      </c>
      <c r="D23" s="22" t="s">
        <v>907</v>
      </c>
    </row>
    <row r="24" spans="1:7" x14ac:dyDescent="0.3">
      <c r="A24">
        <v>23</v>
      </c>
      <c r="B24" s="18" t="s">
        <v>902</v>
      </c>
      <c r="C24" s="18" t="s">
        <v>957</v>
      </c>
      <c r="D24" s="22" t="s">
        <v>958</v>
      </c>
      <c r="E24" s="23" t="s">
        <v>907</v>
      </c>
    </row>
    <row r="25" spans="1:7" x14ac:dyDescent="0.3">
      <c r="A25">
        <v>24</v>
      </c>
      <c r="B25" s="18" t="s">
        <v>902</v>
      </c>
      <c r="C25" s="18" t="s">
        <v>959</v>
      </c>
      <c r="D25" s="22" t="s">
        <v>960</v>
      </c>
      <c r="E25" s="23" t="s">
        <v>961</v>
      </c>
      <c r="F25" s="23" t="s">
        <v>962</v>
      </c>
    </row>
    <row r="26" spans="1:7" x14ac:dyDescent="0.3">
      <c r="A26">
        <v>25</v>
      </c>
      <c r="B26" s="18" t="s">
        <v>902</v>
      </c>
      <c r="C26" s="18" t="s">
        <v>963</v>
      </c>
      <c r="D26" s="22" t="s">
        <v>904</v>
      </c>
      <c r="E26" s="23" t="s">
        <v>907</v>
      </c>
    </row>
    <row r="27" spans="1:7" x14ac:dyDescent="0.3">
      <c r="A27">
        <v>26</v>
      </c>
      <c r="B27" s="18" t="s">
        <v>902</v>
      </c>
      <c r="C27" s="18" t="s">
        <v>964</v>
      </c>
      <c r="D27" s="22" t="s">
        <v>904</v>
      </c>
      <c r="E27" s="23" t="s">
        <v>907</v>
      </c>
    </row>
    <row r="28" spans="1:7" x14ac:dyDescent="0.3">
      <c r="A28">
        <v>27</v>
      </c>
      <c r="B28" s="18" t="s">
        <v>902</v>
      </c>
      <c r="C28" s="18" t="s">
        <v>965</v>
      </c>
      <c r="D28" s="22" t="s">
        <v>966</v>
      </c>
      <c r="E28" s="23" t="s">
        <v>907</v>
      </c>
    </row>
    <row r="29" spans="1:7" x14ac:dyDescent="0.3">
      <c r="A29">
        <v>28</v>
      </c>
      <c r="B29" s="18" t="s">
        <v>902</v>
      </c>
      <c r="C29" s="18" t="s">
        <v>967</v>
      </c>
      <c r="D29" s="22" t="s">
        <v>968</v>
      </c>
      <c r="E29" s="23" t="s">
        <v>911</v>
      </c>
    </row>
    <row r="30" spans="1:7" x14ac:dyDescent="0.3">
      <c r="A30">
        <v>29</v>
      </c>
      <c r="B30" s="18" t="s">
        <v>902</v>
      </c>
      <c r="C30" s="18" t="s">
        <v>969</v>
      </c>
      <c r="D30" s="22" t="s">
        <v>904</v>
      </c>
      <c r="E30" s="23" t="s">
        <v>907</v>
      </c>
    </row>
    <row r="31" spans="1:7" x14ac:dyDescent="0.3">
      <c r="A31">
        <v>30</v>
      </c>
      <c r="B31" s="18" t="s">
        <v>908</v>
      </c>
      <c r="C31" s="18" t="s">
        <v>970</v>
      </c>
      <c r="D31" s="22" t="s">
        <v>904</v>
      </c>
      <c r="E31" s="23" t="s">
        <v>907</v>
      </c>
    </row>
    <row r="32" spans="1:7" x14ac:dyDescent="0.3">
      <c r="A32">
        <v>31</v>
      </c>
      <c r="B32" s="18" t="s">
        <v>908</v>
      </c>
      <c r="C32" s="18" t="s">
        <v>971</v>
      </c>
      <c r="D32" s="22" t="s">
        <v>904</v>
      </c>
      <c r="E32" s="23" t="s">
        <v>972</v>
      </c>
      <c r="F32" s="23" t="s">
        <v>973</v>
      </c>
      <c r="G32" s="23" t="s">
        <v>911</v>
      </c>
    </row>
    <row r="33" spans="1:7" x14ac:dyDescent="0.3">
      <c r="A33">
        <v>32</v>
      </c>
      <c r="B33" s="18" t="s">
        <v>908</v>
      </c>
      <c r="C33" s="18" t="s">
        <v>974</v>
      </c>
      <c r="D33" s="22" t="s">
        <v>968</v>
      </c>
      <c r="E33" s="23" t="s">
        <v>975</v>
      </c>
      <c r="F33" s="23" t="s">
        <v>976</v>
      </c>
      <c r="G33" s="23" t="s">
        <v>911</v>
      </c>
    </row>
    <row r="34" spans="1:7" x14ac:dyDescent="0.3">
      <c r="A34">
        <v>33</v>
      </c>
      <c r="B34" s="18" t="s">
        <v>977</v>
      </c>
      <c r="C34" s="18" t="s">
        <v>978</v>
      </c>
      <c r="D34" s="22" t="s">
        <v>979</v>
      </c>
      <c r="E34" s="23" t="s">
        <v>907</v>
      </c>
    </row>
    <row r="35" spans="1:7" x14ac:dyDescent="0.3">
      <c r="A35">
        <v>34</v>
      </c>
      <c r="B35" s="18" t="s">
        <v>977</v>
      </c>
      <c r="C35" s="18" t="s">
        <v>980</v>
      </c>
      <c r="D35" s="22" t="s">
        <v>981</v>
      </c>
      <c r="E35" s="23" t="s">
        <v>911</v>
      </c>
    </row>
    <row r="36" spans="1:7" x14ac:dyDescent="0.3">
      <c r="A36">
        <v>35</v>
      </c>
      <c r="B36" s="18" t="s">
        <v>977</v>
      </c>
      <c r="C36" s="18" t="s">
        <v>982</v>
      </c>
      <c r="D36" s="22" t="s">
        <v>983</v>
      </c>
      <c r="E36" s="23" t="s">
        <v>911</v>
      </c>
    </row>
    <row r="37" spans="1:7" x14ac:dyDescent="0.3">
      <c r="A37">
        <v>36</v>
      </c>
      <c r="B37" s="18" t="s">
        <v>977</v>
      </c>
      <c r="C37" s="18" t="s">
        <v>984</v>
      </c>
      <c r="D37" s="22" t="s">
        <v>985</v>
      </c>
      <c r="E37" s="23" t="s">
        <v>911</v>
      </c>
      <c r="F37" s="23" t="s">
        <v>986</v>
      </c>
    </row>
    <row r="38" spans="1:7" x14ac:dyDescent="0.3">
      <c r="A38">
        <v>37</v>
      </c>
      <c r="B38" s="18" t="s">
        <v>977</v>
      </c>
      <c r="C38" s="18" t="s">
        <v>987</v>
      </c>
      <c r="D38" s="22" t="s">
        <v>988</v>
      </c>
      <c r="E38" s="23" t="s">
        <v>989</v>
      </c>
      <c r="F38" s="23" t="s">
        <v>907</v>
      </c>
    </row>
    <row r="39" spans="1:7" x14ac:dyDescent="0.3">
      <c r="A39">
        <v>38</v>
      </c>
      <c r="B39" s="18" t="s">
        <v>977</v>
      </c>
      <c r="C39" s="18" t="s">
        <v>990</v>
      </c>
      <c r="D39" s="22" t="s">
        <v>991</v>
      </c>
      <c r="E39" s="23" t="s">
        <v>961</v>
      </c>
      <c r="F39" s="23" t="s">
        <v>992</v>
      </c>
    </row>
    <row r="40" spans="1:7" x14ac:dyDescent="0.3">
      <c r="A40">
        <v>39</v>
      </c>
      <c r="B40" s="18" t="s">
        <v>977</v>
      </c>
      <c r="C40" s="18" t="s">
        <v>993</v>
      </c>
      <c r="D40" s="22" t="s">
        <v>994</v>
      </c>
      <c r="E40" s="23" t="s">
        <v>907</v>
      </c>
    </row>
    <row r="41" spans="1:7" x14ac:dyDescent="0.3">
      <c r="A41">
        <v>40</v>
      </c>
      <c r="B41" s="18" t="s">
        <v>977</v>
      </c>
      <c r="C41" s="18" t="s">
        <v>995</v>
      </c>
      <c r="D41" s="22" t="s">
        <v>996</v>
      </c>
      <c r="E41" s="23" t="s">
        <v>907</v>
      </c>
    </row>
    <row r="42" spans="1:7" x14ac:dyDescent="0.3">
      <c r="A42">
        <v>41</v>
      </c>
      <c r="B42" s="18" t="s">
        <v>977</v>
      </c>
      <c r="C42" s="18" t="s">
        <v>997</v>
      </c>
      <c r="D42" s="22" t="s">
        <v>998</v>
      </c>
      <c r="E42" s="23" t="s">
        <v>907</v>
      </c>
    </row>
    <row r="43" spans="1:7" x14ac:dyDescent="0.3">
      <c r="A43">
        <v>42</v>
      </c>
      <c r="B43" s="18" t="s">
        <v>977</v>
      </c>
      <c r="C43" s="18" t="s">
        <v>999</v>
      </c>
      <c r="D43" s="22" t="s">
        <v>1000</v>
      </c>
      <c r="E43" s="23" t="s">
        <v>907</v>
      </c>
    </row>
    <row r="44" spans="1:7" x14ac:dyDescent="0.3">
      <c r="A44">
        <v>43</v>
      </c>
      <c r="B44" s="18" t="s">
        <v>977</v>
      </c>
      <c r="C44" s="18" t="s">
        <v>1001</v>
      </c>
      <c r="D44" s="22" t="s">
        <v>1002</v>
      </c>
      <c r="E44" s="23" t="s">
        <v>907</v>
      </c>
    </row>
    <row r="45" spans="1:7" x14ac:dyDescent="0.3">
      <c r="A45">
        <v>44</v>
      </c>
      <c r="B45" s="18" t="s">
        <v>977</v>
      </c>
      <c r="C45" s="18" t="s">
        <v>1003</v>
      </c>
      <c r="D45" s="22" t="s">
        <v>1004</v>
      </c>
      <c r="E45" s="23" t="s">
        <v>907</v>
      </c>
    </row>
    <row r="46" spans="1:7" x14ac:dyDescent="0.3">
      <c r="A46">
        <v>45</v>
      </c>
      <c r="B46" s="18" t="s">
        <v>977</v>
      </c>
      <c r="C46" s="18" t="s">
        <v>1005</v>
      </c>
      <c r="D46" s="22" t="s">
        <v>1006</v>
      </c>
      <c r="E46" s="23" t="s">
        <v>907</v>
      </c>
    </row>
    <row r="47" spans="1:7" x14ac:dyDescent="0.3">
      <c r="A47">
        <v>46</v>
      </c>
      <c r="B47" s="18" t="s">
        <v>977</v>
      </c>
      <c r="C47" s="18" t="s">
        <v>1007</v>
      </c>
      <c r="D47" s="22" t="s">
        <v>979</v>
      </c>
      <c r="E47" s="23" t="s">
        <v>907</v>
      </c>
    </row>
    <row r="48" spans="1:7" x14ac:dyDescent="0.3">
      <c r="A48">
        <v>47</v>
      </c>
      <c r="B48" s="18" t="s">
        <v>977</v>
      </c>
      <c r="C48" s="18" t="s">
        <v>1008</v>
      </c>
      <c r="D48" s="22" t="s">
        <v>934</v>
      </c>
      <c r="E48" s="23" t="s">
        <v>907</v>
      </c>
    </row>
    <row r="49" spans="1:6" x14ac:dyDescent="0.3">
      <c r="A49">
        <v>48</v>
      </c>
      <c r="B49" s="18" t="s">
        <v>977</v>
      </c>
      <c r="C49" s="18" t="s">
        <v>1009</v>
      </c>
      <c r="D49" s="22" t="s">
        <v>1010</v>
      </c>
      <c r="E49" s="23" t="s">
        <v>907</v>
      </c>
    </row>
    <row r="50" spans="1:6" x14ac:dyDescent="0.3">
      <c r="A50">
        <v>49</v>
      </c>
      <c r="B50" s="18" t="s">
        <v>977</v>
      </c>
      <c r="C50" s="18" t="s">
        <v>1011</v>
      </c>
      <c r="D50" s="22" t="s">
        <v>1012</v>
      </c>
      <c r="E50" s="23" t="s">
        <v>907</v>
      </c>
    </row>
    <row r="51" spans="1:6" x14ac:dyDescent="0.3">
      <c r="A51">
        <v>50</v>
      </c>
      <c r="B51" s="18" t="s">
        <v>977</v>
      </c>
      <c r="C51" s="18" t="s">
        <v>1013</v>
      </c>
      <c r="D51" s="22" t="s">
        <v>1014</v>
      </c>
      <c r="E51" s="23" t="s">
        <v>907</v>
      </c>
    </row>
    <row r="52" spans="1:6" x14ac:dyDescent="0.3">
      <c r="A52">
        <v>51</v>
      </c>
      <c r="B52" s="18" t="s">
        <v>977</v>
      </c>
      <c r="C52" s="18" t="s">
        <v>1015</v>
      </c>
      <c r="D52" s="22" t="s">
        <v>1016</v>
      </c>
      <c r="E52" s="23" t="s">
        <v>907</v>
      </c>
    </row>
    <row r="53" spans="1:6" x14ac:dyDescent="0.3">
      <c r="A53">
        <v>52</v>
      </c>
      <c r="B53" s="18" t="s">
        <v>977</v>
      </c>
      <c r="C53" s="18" t="s">
        <v>1017</v>
      </c>
      <c r="D53" s="22" t="s">
        <v>907</v>
      </c>
    </row>
    <row r="54" spans="1:6" x14ac:dyDescent="0.3">
      <c r="A54">
        <v>53</v>
      </c>
      <c r="B54" s="18" t="s">
        <v>977</v>
      </c>
      <c r="C54" s="18" t="s">
        <v>1018</v>
      </c>
      <c r="D54" s="22" t="s">
        <v>979</v>
      </c>
      <c r="E54" s="23" t="s">
        <v>907</v>
      </c>
    </row>
    <row r="55" spans="1:6" x14ac:dyDescent="0.3">
      <c r="A55">
        <v>54</v>
      </c>
      <c r="B55" s="18" t="s">
        <v>1019</v>
      </c>
      <c r="C55" s="18" t="s">
        <v>1020</v>
      </c>
      <c r="D55" s="22" t="s">
        <v>996</v>
      </c>
      <c r="E55" s="23" t="s">
        <v>907</v>
      </c>
    </row>
    <row r="56" spans="1:6" x14ac:dyDescent="0.3">
      <c r="A56">
        <v>55</v>
      </c>
      <c r="B56" s="18" t="s">
        <v>1019</v>
      </c>
      <c r="C56" s="18" t="s">
        <v>1021</v>
      </c>
      <c r="D56" s="22" t="s">
        <v>1014</v>
      </c>
      <c r="E56" s="23" t="s">
        <v>907</v>
      </c>
    </row>
    <row r="57" spans="1:6" x14ac:dyDescent="0.3">
      <c r="A57">
        <v>56</v>
      </c>
      <c r="B57" s="18" t="s">
        <v>1019</v>
      </c>
      <c r="C57" s="18" t="s">
        <v>1022</v>
      </c>
      <c r="D57" s="22" t="s">
        <v>966</v>
      </c>
      <c r="E57" s="23" t="s">
        <v>961</v>
      </c>
      <c r="F57" s="23" t="s">
        <v>1023</v>
      </c>
    </row>
    <row r="58" spans="1:6" x14ac:dyDescent="0.3">
      <c r="A58">
        <v>57</v>
      </c>
      <c r="B58" s="18" t="s">
        <v>1019</v>
      </c>
      <c r="C58" s="18" t="s">
        <v>1024</v>
      </c>
      <c r="D58" s="22" t="s">
        <v>998</v>
      </c>
      <c r="E58" s="23" t="s">
        <v>907</v>
      </c>
    </row>
    <row r="59" spans="1:6" x14ac:dyDescent="0.3">
      <c r="A59">
        <v>58</v>
      </c>
      <c r="B59" s="18" t="s">
        <v>1019</v>
      </c>
      <c r="C59" s="18" t="s">
        <v>1025</v>
      </c>
      <c r="D59" s="22" t="s">
        <v>988</v>
      </c>
      <c r="E59" s="23" t="s">
        <v>989</v>
      </c>
      <c r="F59" s="23" t="s">
        <v>907</v>
      </c>
    </row>
    <row r="60" spans="1:6" x14ac:dyDescent="0.3">
      <c r="A60">
        <v>59</v>
      </c>
      <c r="B60" s="18" t="s">
        <v>1019</v>
      </c>
      <c r="C60" s="18" t="s">
        <v>1026</v>
      </c>
      <c r="D60" s="22" t="s">
        <v>1027</v>
      </c>
      <c r="E60" s="23" t="s">
        <v>961</v>
      </c>
      <c r="F60" s="23" t="s">
        <v>1028</v>
      </c>
    </row>
    <row r="61" spans="1:6" x14ac:dyDescent="0.3">
      <c r="A61">
        <v>60</v>
      </c>
      <c r="B61" s="18" t="s">
        <v>1029</v>
      </c>
      <c r="C61" s="18" t="s">
        <v>1030</v>
      </c>
      <c r="D61" s="22" t="s">
        <v>919</v>
      </c>
      <c r="E61" s="23" t="s">
        <v>907</v>
      </c>
    </row>
    <row r="62" spans="1:6" x14ac:dyDescent="0.3">
      <c r="A62">
        <v>61</v>
      </c>
      <c r="B62" s="18" t="s">
        <v>1029</v>
      </c>
      <c r="C62" s="18" t="s">
        <v>1031</v>
      </c>
      <c r="D62" s="22" t="s">
        <v>1032</v>
      </c>
      <c r="E62" s="23" t="s">
        <v>907</v>
      </c>
    </row>
    <row r="63" spans="1:6" x14ac:dyDescent="0.3">
      <c r="A63">
        <v>62</v>
      </c>
      <c r="B63" s="18" t="s">
        <v>1029</v>
      </c>
      <c r="C63" s="18" t="s">
        <v>1033</v>
      </c>
      <c r="D63" s="22" t="s">
        <v>1012</v>
      </c>
      <c r="E63" s="23" t="s">
        <v>907</v>
      </c>
    </row>
    <row r="64" spans="1:6" x14ac:dyDescent="0.3">
      <c r="A64">
        <v>63</v>
      </c>
      <c r="B64" s="18" t="s">
        <v>1029</v>
      </c>
      <c r="C64" s="18" t="s">
        <v>1034</v>
      </c>
      <c r="D64" s="22" t="s">
        <v>1035</v>
      </c>
      <c r="E64" s="23" t="s">
        <v>907</v>
      </c>
    </row>
    <row r="65" spans="1:6" x14ac:dyDescent="0.3">
      <c r="A65">
        <v>64</v>
      </c>
      <c r="B65" s="18" t="s">
        <v>1029</v>
      </c>
      <c r="C65" s="18" t="s">
        <v>1036</v>
      </c>
      <c r="D65" s="22" t="s">
        <v>1037</v>
      </c>
      <c r="E65" s="23" t="s">
        <v>907</v>
      </c>
    </row>
    <row r="66" spans="1:6" x14ac:dyDescent="0.3">
      <c r="A66">
        <v>65</v>
      </c>
      <c r="B66" s="18" t="s">
        <v>1029</v>
      </c>
      <c r="C66" s="18" t="s">
        <v>1038</v>
      </c>
      <c r="D66" s="22" t="s">
        <v>915</v>
      </c>
      <c r="E66" s="23" t="s">
        <v>907</v>
      </c>
    </row>
    <row r="67" spans="1:6" x14ac:dyDescent="0.3">
      <c r="A67">
        <v>66</v>
      </c>
      <c r="B67" s="18" t="s">
        <v>1029</v>
      </c>
      <c r="C67" s="18" t="s">
        <v>1039</v>
      </c>
      <c r="D67" s="22" t="s">
        <v>1040</v>
      </c>
      <c r="E67" s="23" t="s">
        <v>911</v>
      </c>
    </row>
    <row r="68" spans="1:6" x14ac:dyDescent="0.3">
      <c r="A68">
        <v>67</v>
      </c>
      <c r="B68" s="18" t="s">
        <v>1029</v>
      </c>
      <c r="C68" s="18" t="s">
        <v>1041</v>
      </c>
      <c r="D68" s="22" t="s">
        <v>1042</v>
      </c>
      <c r="E68" s="23" t="s">
        <v>907</v>
      </c>
    </row>
    <row r="69" spans="1:6" x14ac:dyDescent="0.3">
      <c r="A69">
        <v>68</v>
      </c>
      <c r="B69" s="18" t="s">
        <v>1029</v>
      </c>
      <c r="C69" s="18" t="s">
        <v>1043</v>
      </c>
      <c r="D69" s="22" t="s">
        <v>907</v>
      </c>
    </row>
    <row r="70" spans="1:6" x14ac:dyDescent="0.3">
      <c r="A70">
        <v>69</v>
      </c>
      <c r="B70" s="18" t="s">
        <v>1044</v>
      </c>
      <c r="C70" s="18" t="s">
        <v>1045</v>
      </c>
      <c r="D70" s="22" t="s">
        <v>907</v>
      </c>
    </row>
    <row r="71" spans="1:6" x14ac:dyDescent="0.3">
      <c r="A71">
        <v>70</v>
      </c>
      <c r="B71" s="18" t="s">
        <v>926</v>
      </c>
      <c r="C71" s="18" t="s">
        <v>1046</v>
      </c>
      <c r="D71" s="22" t="s">
        <v>907</v>
      </c>
    </row>
    <row r="72" spans="1:6" x14ac:dyDescent="0.3">
      <c r="A72">
        <v>71</v>
      </c>
      <c r="B72" s="18" t="s">
        <v>937</v>
      </c>
      <c r="C72" s="18" t="s">
        <v>1047</v>
      </c>
      <c r="D72" s="22" t="s">
        <v>915</v>
      </c>
      <c r="E72" s="23" t="s">
        <v>907</v>
      </c>
    </row>
    <row r="73" spans="1:6" x14ac:dyDescent="0.3">
      <c r="A73">
        <v>72</v>
      </c>
      <c r="B73" s="18" t="s">
        <v>1048</v>
      </c>
      <c r="C73" s="18" t="s">
        <v>1049</v>
      </c>
      <c r="D73" s="22" t="s">
        <v>907</v>
      </c>
    </row>
    <row r="74" spans="1:6" x14ac:dyDescent="0.3">
      <c r="A74">
        <v>73</v>
      </c>
      <c r="B74" s="18" t="s">
        <v>1050</v>
      </c>
      <c r="C74" s="18" t="s">
        <v>1051</v>
      </c>
      <c r="D74" s="22" t="s">
        <v>907</v>
      </c>
    </row>
    <row r="75" spans="1:6" x14ac:dyDescent="0.3">
      <c r="A75">
        <v>74</v>
      </c>
      <c r="B75" s="18" t="s">
        <v>944</v>
      </c>
      <c r="C75" s="18" t="s">
        <v>1052</v>
      </c>
      <c r="D75" s="22" t="s">
        <v>1053</v>
      </c>
      <c r="E75" s="23" t="s">
        <v>1054</v>
      </c>
      <c r="F75" s="23" t="s">
        <v>1055</v>
      </c>
    </row>
    <row r="76" spans="1:6" x14ac:dyDescent="0.3">
      <c r="A76">
        <v>75</v>
      </c>
      <c r="B76" s="18" t="s">
        <v>944</v>
      </c>
      <c r="C76" s="18" t="s">
        <v>1056</v>
      </c>
      <c r="D76" s="22" t="s">
        <v>951</v>
      </c>
      <c r="E76" s="23" t="s">
        <v>1054</v>
      </c>
      <c r="F76" s="23" t="s">
        <v>1055</v>
      </c>
    </row>
    <row r="77" spans="1:6" x14ac:dyDescent="0.3">
      <c r="A77">
        <v>76</v>
      </c>
      <c r="B77" s="18" t="s">
        <v>944</v>
      </c>
      <c r="C77" s="18" t="s">
        <v>1057</v>
      </c>
      <c r="D77" s="22" t="s">
        <v>1058</v>
      </c>
      <c r="E77" s="23" t="s">
        <v>1059</v>
      </c>
      <c r="F77" s="23" t="s">
        <v>907</v>
      </c>
    </row>
    <row r="78" spans="1:6" x14ac:dyDescent="0.3">
      <c r="A78">
        <v>77</v>
      </c>
      <c r="B78" s="18" t="s">
        <v>944</v>
      </c>
      <c r="C78" s="18" t="s">
        <v>1060</v>
      </c>
      <c r="D78" s="22" t="s">
        <v>1054</v>
      </c>
      <c r="E78" s="23" t="s">
        <v>1061</v>
      </c>
    </row>
    <row r="79" spans="1:6" x14ac:dyDescent="0.3">
      <c r="A79">
        <v>78</v>
      </c>
      <c r="B79" s="18" t="s">
        <v>944</v>
      </c>
      <c r="C79" s="18" t="s">
        <v>1062</v>
      </c>
      <c r="D79" s="22" t="s">
        <v>907</v>
      </c>
      <c r="E79" s="23" t="s">
        <v>1063</v>
      </c>
    </row>
    <row r="80" spans="1:6" x14ac:dyDescent="0.3">
      <c r="A80">
        <v>79</v>
      </c>
      <c r="B80" s="18" t="s">
        <v>944</v>
      </c>
      <c r="C80" s="18" t="s">
        <v>1064</v>
      </c>
      <c r="D80" s="22" t="s">
        <v>907</v>
      </c>
      <c r="E80" s="23" t="s">
        <v>1065</v>
      </c>
      <c r="F80" s="23" t="s">
        <v>1066</v>
      </c>
    </row>
    <row r="81" spans="1:6" x14ac:dyDescent="0.3">
      <c r="A81">
        <v>80</v>
      </c>
      <c r="B81" s="18" t="s">
        <v>944</v>
      </c>
      <c r="C81" s="18" t="s">
        <v>1067</v>
      </c>
      <c r="D81" s="22" t="s">
        <v>907</v>
      </c>
    </row>
    <row r="82" spans="1:6" x14ac:dyDescent="0.3">
      <c r="A82">
        <v>81</v>
      </c>
      <c r="B82" s="18" t="s">
        <v>944</v>
      </c>
      <c r="C82" s="18" t="s">
        <v>1068</v>
      </c>
      <c r="D82" s="22" t="s">
        <v>1069</v>
      </c>
      <c r="E82" s="23" t="s">
        <v>911</v>
      </c>
      <c r="F82" s="23" t="s">
        <v>948</v>
      </c>
    </row>
    <row r="83" spans="1:6" x14ac:dyDescent="0.3">
      <c r="A83">
        <v>82</v>
      </c>
      <c r="B83" s="18" t="s">
        <v>946</v>
      </c>
      <c r="C83" s="18" t="s">
        <v>1070</v>
      </c>
      <c r="D83" s="22" t="s">
        <v>907</v>
      </c>
    </row>
    <row r="84" spans="1:6" x14ac:dyDescent="0.3">
      <c r="A84">
        <v>83</v>
      </c>
      <c r="B84" s="18" t="s">
        <v>946</v>
      </c>
      <c r="C84" s="18" t="s">
        <v>1071</v>
      </c>
      <c r="D84" s="22" t="s">
        <v>1053</v>
      </c>
      <c r="E84" s="23" t="s">
        <v>1054</v>
      </c>
      <c r="F84" s="23" t="s">
        <v>1055</v>
      </c>
    </row>
    <row r="85" spans="1:6" x14ac:dyDescent="0.3">
      <c r="A85">
        <v>84</v>
      </c>
      <c r="B85" s="18" t="s">
        <v>946</v>
      </c>
      <c r="C85" s="18" t="s">
        <v>1072</v>
      </c>
      <c r="D85" s="22" t="s">
        <v>907</v>
      </c>
      <c r="E85" s="23" t="s">
        <v>941</v>
      </c>
    </row>
    <row r="86" spans="1:6" x14ac:dyDescent="0.3">
      <c r="A86">
        <v>85</v>
      </c>
      <c r="B86" s="18" t="s">
        <v>954</v>
      </c>
      <c r="C86" s="18" t="s">
        <v>1073</v>
      </c>
      <c r="D86" s="22" t="s">
        <v>1074</v>
      </c>
      <c r="E86" s="23" t="s">
        <v>1075</v>
      </c>
      <c r="F86" s="23" t="s">
        <v>907</v>
      </c>
    </row>
    <row r="87" spans="1:6" x14ac:dyDescent="0.3">
      <c r="A87">
        <v>86</v>
      </c>
      <c r="B87" s="18" t="s">
        <v>1076</v>
      </c>
      <c r="C87" s="18" t="s">
        <v>1077</v>
      </c>
      <c r="D87" s="22" t="s">
        <v>1054</v>
      </c>
      <c r="E87" s="23" t="s">
        <v>948</v>
      </c>
      <c r="F87" s="23" t="s">
        <v>1078</v>
      </c>
    </row>
    <row r="88" spans="1:6" x14ac:dyDescent="0.3">
      <c r="A88">
        <v>87</v>
      </c>
      <c r="B88" s="18" t="s">
        <v>1076</v>
      </c>
      <c r="C88" s="18" t="s">
        <v>1079</v>
      </c>
      <c r="D88" s="22" t="s">
        <v>1054</v>
      </c>
      <c r="E88" s="23" t="s">
        <v>941</v>
      </c>
      <c r="F88" s="23" t="s">
        <v>1080</v>
      </c>
    </row>
    <row r="89" spans="1:6" x14ac:dyDescent="0.3">
      <c r="A89">
        <v>88</v>
      </c>
      <c r="B89" s="18" t="s">
        <v>1081</v>
      </c>
      <c r="C89" s="18" t="s">
        <v>1082</v>
      </c>
      <c r="D89" s="22" t="s">
        <v>907</v>
      </c>
    </row>
    <row r="90" spans="1:6" x14ac:dyDescent="0.3">
      <c r="A90">
        <v>89</v>
      </c>
      <c r="B90" s="18" t="s">
        <v>935</v>
      </c>
      <c r="C90" s="18" t="s">
        <v>1083</v>
      </c>
      <c r="D90" s="22" t="s">
        <v>907</v>
      </c>
    </row>
    <row r="91" spans="1:6" x14ac:dyDescent="0.3">
      <c r="A91">
        <v>90</v>
      </c>
      <c r="B91" s="18" t="s">
        <v>935</v>
      </c>
      <c r="C91" s="18" t="s">
        <v>1084</v>
      </c>
      <c r="D91" s="22" t="s">
        <v>907</v>
      </c>
    </row>
    <row r="92" spans="1:6" x14ac:dyDescent="0.3">
      <c r="A92">
        <v>91</v>
      </c>
      <c r="B92" s="18" t="s">
        <v>1048</v>
      </c>
      <c r="C92" s="18" t="s">
        <v>1085</v>
      </c>
      <c r="D92" s="22" t="s">
        <v>907</v>
      </c>
    </row>
    <row r="93" spans="1:6" x14ac:dyDescent="0.3">
      <c r="A93">
        <v>92</v>
      </c>
      <c r="B93" s="18" t="s">
        <v>949</v>
      </c>
      <c r="C93" s="18" t="s">
        <v>1086</v>
      </c>
      <c r="D93" s="22" t="s">
        <v>907</v>
      </c>
    </row>
    <row r="94" spans="1:6" x14ac:dyDescent="0.3">
      <c r="A94">
        <v>93</v>
      </c>
      <c r="B94" s="18" t="s">
        <v>954</v>
      </c>
      <c r="C94" s="18" t="s">
        <v>1086</v>
      </c>
      <c r="D94" s="22" t="s">
        <v>907</v>
      </c>
    </row>
    <row r="95" spans="1:6" x14ac:dyDescent="0.3">
      <c r="A95">
        <v>94</v>
      </c>
      <c r="B95" s="18" t="s">
        <v>1087</v>
      </c>
      <c r="C95" s="18" t="s">
        <v>1088</v>
      </c>
      <c r="D95" s="22" t="s">
        <v>907</v>
      </c>
    </row>
    <row r="96" spans="1:6" x14ac:dyDescent="0.3">
      <c r="A96">
        <v>95</v>
      </c>
      <c r="B96" s="18" t="s">
        <v>1081</v>
      </c>
      <c r="C96" s="18" t="s">
        <v>1089</v>
      </c>
      <c r="D96" s="22" t="s">
        <v>907</v>
      </c>
    </row>
    <row r="97" spans="1:6" x14ac:dyDescent="0.3">
      <c r="A97">
        <v>96</v>
      </c>
      <c r="B97" s="18" t="s">
        <v>1090</v>
      </c>
      <c r="C97" s="18" t="s">
        <v>1091</v>
      </c>
      <c r="D97" s="22" t="s">
        <v>907</v>
      </c>
    </row>
    <row r="98" spans="1:6" x14ac:dyDescent="0.3">
      <c r="A98">
        <v>97</v>
      </c>
      <c r="B98" s="18" t="s">
        <v>1092</v>
      </c>
      <c r="C98" s="18" t="s">
        <v>1093</v>
      </c>
      <c r="D98" s="22" t="s">
        <v>1094</v>
      </c>
      <c r="E98" s="23" t="s">
        <v>907</v>
      </c>
    </row>
    <row r="99" spans="1:6" x14ac:dyDescent="0.3">
      <c r="A99">
        <v>98</v>
      </c>
      <c r="B99" s="18" t="s">
        <v>902</v>
      </c>
      <c r="C99" s="18" t="s">
        <v>1095</v>
      </c>
      <c r="D99" s="22" t="s">
        <v>1096</v>
      </c>
      <c r="E99" s="23" t="s">
        <v>961</v>
      </c>
      <c r="F99" s="23" t="s">
        <v>1028</v>
      </c>
    </row>
    <row r="100" spans="1:6" x14ac:dyDescent="0.3">
      <c r="A100">
        <v>99</v>
      </c>
      <c r="B100" s="18" t="s">
        <v>902</v>
      </c>
      <c r="C100" s="18" t="s">
        <v>1097</v>
      </c>
      <c r="D100" s="22" t="s">
        <v>1027</v>
      </c>
      <c r="E100" s="23" t="s">
        <v>961</v>
      </c>
      <c r="F100" s="23" t="s">
        <v>1028</v>
      </c>
    </row>
    <row r="101" spans="1:6" x14ac:dyDescent="0.3">
      <c r="A101">
        <v>100</v>
      </c>
      <c r="B101" s="18" t="s">
        <v>902</v>
      </c>
      <c r="C101" s="18" t="s">
        <v>1098</v>
      </c>
      <c r="D101" s="22" t="s">
        <v>1099</v>
      </c>
      <c r="E101" s="23" t="s">
        <v>907</v>
      </c>
    </row>
    <row r="102" spans="1:6" x14ac:dyDescent="0.3">
      <c r="A102">
        <v>101</v>
      </c>
      <c r="B102" s="18" t="s">
        <v>902</v>
      </c>
      <c r="C102" s="18" t="s">
        <v>1100</v>
      </c>
      <c r="D102" s="22" t="s">
        <v>1101</v>
      </c>
      <c r="E102" s="23" t="s">
        <v>907</v>
      </c>
    </row>
    <row r="103" spans="1:6" x14ac:dyDescent="0.3">
      <c r="A103">
        <v>102</v>
      </c>
      <c r="B103" s="18" t="s">
        <v>902</v>
      </c>
      <c r="C103" s="18" t="s">
        <v>1102</v>
      </c>
      <c r="D103" s="22" t="s">
        <v>1101</v>
      </c>
      <c r="E103" s="23" t="s">
        <v>907</v>
      </c>
    </row>
    <row r="104" spans="1:6" x14ac:dyDescent="0.3">
      <c r="A104">
        <v>103</v>
      </c>
      <c r="B104" s="18" t="s">
        <v>902</v>
      </c>
      <c r="C104" s="18" t="s">
        <v>1103</v>
      </c>
      <c r="D104" s="22" t="s">
        <v>1101</v>
      </c>
      <c r="E104" s="23" t="s">
        <v>907</v>
      </c>
    </row>
    <row r="105" spans="1:6" x14ac:dyDescent="0.3">
      <c r="A105">
        <v>104</v>
      </c>
      <c r="B105" s="18" t="s">
        <v>902</v>
      </c>
      <c r="C105" s="18" t="s">
        <v>1104</v>
      </c>
      <c r="D105" s="22" t="s">
        <v>1006</v>
      </c>
      <c r="E105" s="23" t="s">
        <v>907</v>
      </c>
    </row>
    <row r="106" spans="1:6" x14ac:dyDescent="0.3">
      <c r="A106">
        <v>105</v>
      </c>
      <c r="B106" s="18" t="s">
        <v>902</v>
      </c>
      <c r="C106" s="18" t="s">
        <v>1105</v>
      </c>
      <c r="D106" s="22" t="s">
        <v>1106</v>
      </c>
      <c r="E106" s="23" t="s">
        <v>907</v>
      </c>
    </row>
    <row r="107" spans="1:6" x14ac:dyDescent="0.3">
      <c r="A107">
        <v>106</v>
      </c>
      <c r="B107" s="18" t="s">
        <v>902</v>
      </c>
      <c r="C107" s="18" t="s">
        <v>1107</v>
      </c>
      <c r="D107" s="22" t="s">
        <v>1027</v>
      </c>
      <c r="E107" s="23" t="s">
        <v>961</v>
      </c>
      <c r="F107" s="23" t="s">
        <v>1028</v>
      </c>
    </row>
    <row r="108" spans="1:6" x14ac:dyDescent="0.3">
      <c r="A108">
        <v>107</v>
      </c>
      <c r="B108" s="18" t="s">
        <v>908</v>
      </c>
      <c r="C108" s="18" t="s">
        <v>1108</v>
      </c>
      <c r="D108" s="22" t="s">
        <v>1109</v>
      </c>
      <c r="E108" s="23" t="s">
        <v>907</v>
      </c>
    </row>
    <row r="109" spans="1:6" x14ac:dyDescent="0.3">
      <c r="A109">
        <v>108</v>
      </c>
      <c r="B109" s="18" t="s">
        <v>908</v>
      </c>
      <c r="C109" s="18" t="s">
        <v>1110</v>
      </c>
      <c r="D109" s="22" t="s">
        <v>1014</v>
      </c>
      <c r="E109" s="23" t="s">
        <v>907</v>
      </c>
    </row>
    <row r="110" spans="1:6" x14ac:dyDescent="0.3">
      <c r="A110">
        <v>109</v>
      </c>
      <c r="B110" s="18" t="s">
        <v>908</v>
      </c>
      <c r="C110" s="18" t="s">
        <v>1111</v>
      </c>
      <c r="D110" s="22" t="s">
        <v>998</v>
      </c>
      <c r="E110" s="23" t="s">
        <v>907</v>
      </c>
    </row>
    <row r="111" spans="1:6" x14ac:dyDescent="0.3">
      <c r="A111">
        <v>110</v>
      </c>
      <c r="B111" s="18" t="s">
        <v>908</v>
      </c>
      <c r="C111" s="18" t="s">
        <v>1112</v>
      </c>
      <c r="D111" s="22" t="s">
        <v>1113</v>
      </c>
      <c r="E111" s="23" t="s">
        <v>907</v>
      </c>
    </row>
    <row r="112" spans="1:6" x14ac:dyDescent="0.3">
      <c r="A112">
        <v>111</v>
      </c>
      <c r="B112" s="18" t="s">
        <v>908</v>
      </c>
      <c r="C112" s="18" t="s">
        <v>1114</v>
      </c>
      <c r="D112" s="22" t="s">
        <v>1010</v>
      </c>
      <c r="E112" s="23" t="s">
        <v>907</v>
      </c>
    </row>
    <row r="113" spans="1:6" x14ac:dyDescent="0.3">
      <c r="A113">
        <v>112</v>
      </c>
      <c r="B113" s="18" t="s">
        <v>908</v>
      </c>
      <c r="C113" s="18" t="s">
        <v>1115</v>
      </c>
      <c r="D113" s="22" t="s">
        <v>1027</v>
      </c>
      <c r="E113" s="23" t="s">
        <v>961</v>
      </c>
      <c r="F113" s="23" t="s">
        <v>1028</v>
      </c>
    </row>
    <row r="114" spans="1:6" x14ac:dyDescent="0.3">
      <c r="A114">
        <v>113</v>
      </c>
      <c r="B114" s="18" t="s">
        <v>908</v>
      </c>
      <c r="C114" s="18" t="s">
        <v>1116</v>
      </c>
      <c r="D114" s="22" t="s">
        <v>1010</v>
      </c>
      <c r="E114" s="23" t="s">
        <v>907</v>
      </c>
    </row>
    <row r="115" spans="1:6" x14ac:dyDescent="0.3">
      <c r="A115">
        <v>114</v>
      </c>
      <c r="B115" s="18" t="s">
        <v>908</v>
      </c>
      <c r="C115" s="18" t="s">
        <v>1117</v>
      </c>
      <c r="D115" s="22" t="s">
        <v>907</v>
      </c>
    </row>
    <row r="116" spans="1:6" x14ac:dyDescent="0.3">
      <c r="A116">
        <v>115</v>
      </c>
      <c r="B116" s="18" t="s">
        <v>908</v>
      </c>
      <c r="C116" s="18" t="s">
        <v>1118</v>
      </c>
      <c r="D116" s="22" t="s">
        <v>1010</v>
      </c>
      <c r="E116" s="23" t="s">
        <v>907</v>
      </c>
    </row>
    <row r="117" spans="1:6" x14ac:dyDescent="0.3">
      <c r="A117">
        <v>116</v>
      </c>
      <c r="B117" s="18" t="s">
        <v>908</v>
      </c>
      <c r="C117" s="18" t="s">
        <v>1119</v>
      </c>
      <c r="D117" s="22" t="s">
        <v>981</v>
      </c>
      <c r="E117" s="23" t="s">
        <v>911</v>
      </c>
    </row>
    <row r="118" spans="1:6" x14ac:dyDescent="0.3">
      <c r="A118">
        <v>117</v>
      </c>
      <c r="B118" s="18" t="s">
        <v>977</v>
      </c>
      <c r="C118" s="18" t="s">
        <v>1120</v>
      </c>
      <c r="D118" s="22" t="s">
        <v>1054</v>
      </c>
      <c r="E118" s="23" t="s">
        <v>1121</v>
      </c>
    </row>
    <row r="119" spans="1:6" x14ac:dyDescent="0.3">
      <c r="A119">
        <v>118</v>
      </c>
      <c r="B119" s="18" t="s">
        <v>977</v>
      </c>
      <c r="C119" s="18" t="s">
        <v>1122</v>
      </c>
      <c r="D119" s="22" t="s">
        <v>1014</v>
      </c>
      <c r="E119" s="23" t="s">
        <v>907</v>
      </c>
    </row>
    <row r="120" spans="1:6" x14ac:dyDescent="0.3">
      <c r="A120">
        <v>119</v>
      </c>
      <c r="B120" s="18" t="s">
        <v>977</v>
      </c>
      <c r="C120" s="18" t="s">
        <v>1123</v>
      </c>
      <c r="D120" s="22" t="s">
        <v>1002</v>
      </c>
      <c r="E120" s="23" t="s">
        <v>907</v>
      </c>
    </row>
    <row r="121" spans="1:6" x14ac:dyDescent="0.3">
      <c r="A121">
        <v>120</v>
      </c>
      <c r="B121" s="18" t="s">
        <v>977</v>
      </c>
      <c r="C121" s="18" t="s">
        <v>1125</v>
      </c>
      <c r="D121" s="22" t="s">
        <v>1124</v>
      </c>
    </row>
    <row r="122" spans="1:6" x14ac:dyDescent="0.3">
      <c r="A122">
        <v>121</v>
      </c>
      <c r="B122" s="18" t="s">
        <v>977</v>
      </c>
      <c r="C122" s="18" t="s">
        <v>1126</v>
      </c>
      <c r="D122" s="22" t="s">
        <v>934</v>
      </c>
      <c r="E122" s="23" t="s">
        <v>907</v>
      </c>
    </row>
    <row r="123" spans="1:6" x14ac:dyDescent="0.3">
      <c r="A123">
        <v>122</v>
      </c>
      <c r="B123" s="18" t="s">
        <v>977</v>
      </c>
      <c r="C123" s="18" t="s">
        <v>1127</v>
      </c>
      <c r="D123" s="22" t="s">
        <v>981</v>
      </c>
      <c r="E123" s="23" t="s">
        <v>911</v>
      </c>
    </row>
    <row r="124" spans="1:6" x14ac:dyDescent="0.3">
      <c r="A124">
        <v>123</v>
      </c>
      <c r="B124" s="18" t="s">
        <v>977</v>
      </c>
      <c r="C124" s="18" t="s">
        <v>1128</v>
      </c>
      <c r="D124" s="22" t="s">
        <v>1006</v>
      </c>
      <c r="E124" s="23" t="s">
        <v>1129</v>
      </c>
    </row>
    <row r="125" spans="1:6" x14ac:dyDescent="0.3">
      <c r="A125">
        <v>124</v>
      </c>
      <c r="B125" s="18" t="s">
        <v>977</v>
      </c>
      <c r="C125" s="18" t="s">
        <v>1130</v>
      </c>
      <c r="D125" s="22" t="s">
        <v>907</v>
      </c>
    </row>
    <row r="126" spans="1:6" x14ac:dyDescent="0.3">
      <c r="A126">
        <v>125</v>
      </c>
      <c r="B126" s="18" t="s">
        <v>977</v>
      </c>
      <c r="C126" s="18" t="s">
        <v>1131</v>
      </c>
      <c r="D126" s="22" t="s">
        <v>1132</v>
      </c>
      <c r="E126" s="23" t="s">
        <v>907</v>
      </c>
    </row>
    <row r="127" spans="1:6" x14ac:dyDescent="0.3">
      <c r="A127">
        <v>126</v>
      </c>
      <c r="B127" s="18" t="s">
        <v>977</v>
      </c>
      <c r="C127" s="18" t="s">
        <v>1133</v>
      </c>
      <c r="D127" s="22" t="s">
        <v>1134</v>
      </c>
      <c r="E127" s="23" t="s">
        <v>907</v>
      </c>
    </row>
    <row r="128" spans="1:6" x14ac:dyDescent="0.3">
      <c r="A128">
        <v>127</v>
      </c>
      <c r="B128" s="18" t="s">
        <v>1019</v>
      </c>
      <c r="C128" s="18" t="s">
        <v>1135</v>
      </c>
      <c r="D128" s="22" t="s">
        <v>1012</v>
      </c>
      <c r="E128" s="23" t="s">
        <v>907</v>
      </c>
    </row>
    <row r="129" spans="1:5" x14ac:dyDescent="0.3">
      <c r="A129">
        <v>128</v>
      </c>
      <c r="B129" s="18" t="s">
        <v>1019</v>
      </c>
      <c r="C129" s="18" t="s">
        <v>1136</v>
      </c>
      <c r="D129" s="22" t="s">
        <v>1132</v>
      </c>
      <c r="E129" s="23" t="s">
        <v>1129</v>
      </c>
    </row>
    <row r="130" spans="1:5" x14ac:dyDescent="0.3">
      <c r="A130">
        <v>129</v>
      </c>
      <c r="B130" s="18" t="s">
        <v>1029</v>
      </c>
      <c r="C130" s="18" t="s">
        <v>1137</v>
      </c>
      <c r="D130" s="22" t="s">
        <v>1012</v>
      </c>
      <c r="E130" s="23" t="s">
        <v>1129</v>
      </c>
    </row>
    <row r="131" spans="1:5" x14ac:dyDescent="0.3">
      <c r="A131">
        <v>130</v>
      </c>
      <c r="B131" s="18" t="s">
        <v>1029</v>
      </c>
      <c r="C131" s="18" t="s">
        <v>1139</v>
      </c>
      <c r="D131" s="22" t="s">
        <v>1138</v>
      </c>
    </row>
    <row r="132" spans="1:5" x14ac:dyDescent="0.3">
      <c r="A132">
        <v>131</v>
      </c>
      <c r="B132" s="18" t="s">
        <v>1029</v>
      </c>
      <c r="C132" s="18" t="s">
        <v>1140</v>
      </c>
      <c r="D132" s="22" t="s">
        <v>1035</v>
      </c>
      <c r="E132" s="23" t="s">
        <v>907</v>
      </c>
    </row>
    <row r="133" spans="1:5" x14ac:dyDescent="0.3">
      <c r="A133">
        <v>132</v>
      </c>
      <c r="B133" s="18" t="s">
        <v>1029</v>
      </c>
      <c r="C133" s="18" t="s">
        <v>1141</v>
      </c>
      <c r="D133" s="22" t="s">
        <v>1037</v>
      </c>
      <c r="E133" s="23" t="s">
        <v>907</v>
      </c>
    </row>
    <row r="134" spans="1:5" x14ac:dyDescent="0.3">
      <c r="A134">
        <v>133</v>
      </c>
      <c r="B134" s="18" t="s">
        <v>913</v>
      </c>
      <c r="C134" s="18" t="s">
        <v>1142</v>
      </c>
      <c r="D134" s="22" t="s">
        <v>1143</v>
      </c>
      <c r="E134" s="23" t="s">
        <v>907</v>
      </c>
    </row>
    <row r="135" spans="1:5" x14ac:dyDescent="0.3">
      <c r="A135">
        <v>134</v>
      </c>
      <c r="B135" s="18" t="s">
        <v>913</v>
      </c>
      <c r="C135" s="18" t="s">
        <v>1144</v>
      </c>
      <c r="D135" s="22" t="s">
        <v>1143</v>
      </c>
      <c r="E135" s="23" t="s">
        <v>907</v>
      </c>
    </row>
    <row r="136" spans="1:5" x14ac:dyDescent="0.3">
      <c r="A136">
        <v>135</v>
      </c>
      <c r="B136" s="18" t="s">
        <v>913</v>
      </c>
      <c r="C136" s="18" t="s">
        <v>1145</v>
      </c>
      <c r="D136" s="22" t="s">
        <v>1132</v>
      </c>
      <c r="E136" s="23" t="s">
        <v>907</v>
      </c>
    </row>
    <row r="137" spans="1:5" x14ac:dyDescent="0.3">
      <c r="A137">
        <v>136</v>
      </c>
      <c r="B137" s="18" t="s">
        <v>1044</v>
      </c>
      <c r="C137" s="18" t="s">
        <v>1146</v>
      </c>
      <c r="D137" s="22" t="s">
        <v>1012</v>
      </c>
      <c r="E137" s="23" t="s">
        <v>907</v>
      </c>
    </row>
    <row r="138" spans="1:5" x14ac:dyDescent="0.3">
      <c r="A138">
        <v>137</v>
      </c>
      <c r="B138" s="18" t="s">
        <v>1044</v>
      </c>
      <c r="C138" s="18" t="s">
        <v>916</v>
      </c>
      <c r="D138" s="22" t="s">
        <v>917</v>
      </c>
      <c r="E138" s="23" t="s">
        <v>907</v>
      </c>
    </row>
    <row r="139" spans="1:5" x14ac:dyDescent="0.3">
      <c r="A139">
        <v>138</v>
      </c>
      <c r="B139" s="18" t="s">
        <v>942</v>
      </c>
      <c r="C139" s="18" t="s">
        <v>1147</v>
      </c>
      <c r="D139" s="22" t="s">
        <v>951</v>
      </c>
      <c r="E139" s="23" t="s">
        <v>907</v>
      </c>
    </row>
    <row r="140" spans="1:5" x14ac:dyDescent="0.3">
      <c r="A140">
        <v>139</v>
      </c>
      <c r="B140" s="18" t="s">
        <v>942</v>
      </c>
      <c r="C140" s="18" t="s">
        <v>1148</v>
      </c>
      <c r="D140" s="22" t="s">
        <v>1149</v>
      </c>
      <c r="E140" s="23" t="s">
        <v>911</v>
      </c>
    </row>
    <row r="141" spans="1:5" x14ac:dyDescent="0.3">
      <c r="A141">
        <v>140</v>
      </c>
      <c r="B141" s="18" t="s">
        <v>944</v>
      </c>
      <c r="C141" s="18" t="s">
        <v>1150</v>
      </c>
      <c r="D141" s="22" t="s">
        <v>907</v>
      </c>
    </row>
    <row r="142" spans="1:5" x14ac:dyDescent="0.3">
      <c r="A142">
        <v>141</v>
      </c>
      <c r="B142" s="18" t="s">
        <v>954</v>
      </c>
      <c r="C142" s="18" t="s">
        <v>1151</v>
      </c>
      <c r="D142" s="22" t="s">
        <v>907</v>
      </c>
      <c r="E142" s="23" t="s">
        <v>941</v>
      </c>
    </row>
    <row r="143" spans="1:5" x14ac:dyDescent="0.3">
      <c r="A143">
        <v>142</v>
      </c>
      <c r="B143" s="18" t="s">
        <v>1076</v>
      </c>
      <c r="C143" s="18" t="s">
        <v>1153</v>
      </c>
      <c r="D143" s="22" t="s">
        <v>1152</v>
      </c>
    </row>
    <row r="144" spans="1:5" x14ac:dyDescent="0.3">
      <c r="A144">
        <v>143</v>
      </c>
      <c r="B144" s="18" t="s">
        <v>1076</v>
      </c>
      <c r="C144" s="18" t="s">
        <v>1154</v>
      </c>
      <c r="D144" s="22" t="s">
        <v>1152</v>
      </c>
    </row>
    <row r="145" spans="1:7" x14ac:dyDescent="0.3">
      <c r="A145">
        <v>144</v>
      </c>
      <c r="B145" s="18" t="s">
        <v>902</v>
      </c>
      <c r="C145" s="18" t="s">
        <v>1155</v>
      </c>
      <c r="D145" s="22" t="s">
        <v>1101</v>
      </c>
      <c r="E145" s="23" t="s">
        <v>907</v>
      </c>
    </row>
    <row r="146" spans="1:7" x14ac:dyDescent="0.3">
      <c r="A146">
        <v>145</v>
      </c>
      <c r="B146" s="18" t="s">
        <v>937</v>
      </c>
      <c r="C146" s="18" t="s">
        <v>1156</v>
      </c>
      <c r="D146" s="22" t="s">
        <v>1101</v>
      </c>
      <c r="E146" s="23" t="s">
        <v>907</v>
      </c>
    </row>
    <row r="147" spans="1:7" x14ac:dyDescent="0.3">
      <c r="A147">
        <v>146</v>
      </c>
      <c r="B147" s="18" t="s">
        <v>902</v>
      </c>
      <c r="C147" s="18" t="s">
        <v>1157</v>
      </c>
      <c r="D147" s="22" t="s">
        <v>907</v>
      </c>
    </row>
    <row r="148" spans="1:7" x14ac:dyDescent="0.3">
      <c r="A148">
        <v>147</v>
      </c>
      <c r="B148" s="18" t="s">
        <v>908</v>
      </c>
      <c r="C148" s="18" t="s">
        <v>1158</v>
      </c>
      <c r="D148" s="22" t="s">
        <v>907</v>
      </c>
    </row>
    <row r="149" spans="1:7" x14ac:dyDescent="0.3">
      <c r="A149">
        <v>148</v>
      </c>
      <c r="B149" s="18" t="s">
        <v>1159</v>
      </c>
      <c r="C149" s="18" t="s">
        <v>1160</v>
      </c>
      <c r="D149" s="22" t="s">
        <v>907</v>
      </c>
    </row>
    <row r="150" spans="1:7" x14ac:dyDescent="0.3">
      <c r="A150">
        <v>149</v>
      </c>
      <c r="B150" s="18" t="s">
        <v>1162</v>
      </c>
      <c r="C150" s="18" t="s">
        <v>1163</v>
      </c>
      <c r="D150" s="22" t="s">
        <v>1161</v>
      </c>
    </row>
    <row r="151" spans="1:7" x14ac:dyDescent="0.3">
      <c r="A151">
        <v>150</v>
      </c>
      <c r="B151" s="18" t="s">
        <v>1050</v>
      </c>
      <c r="C151" s="18" t="s">
        <v>1164</v>
      </c>
      <c r="D151" s="22" t="s">
        <v>907</v>
      </c>
    </row>
    <row r="152" spans="1:7" x14ac:dyDescent="0.3">
      <c r="A152">
        <v>151</v>
      </c>
      <c r="B152" s="18" t="s">
        <v>946</v>
      </c>
      <c r="C152" s="18" t="s">
        <v>1165</v>
      </c>
      <c r="D152" s="22" t="s">
        <v>1054</v>
      </c>
      <c r="E152" s="23" t="s">
        <v>1166</v>
      </c>
      <c r="F152" s="23" t="s">
        <v>1167</v>
      </c>
      <c r="G152" s="23" t="s">
        <v>1168</v>
      </c>
    </row>
    <row r="153" spans="1:7" x14ac:dyDescent="0.3">
      <c r="A153">
        <v>152</v>
      </c>
      <c r="B153" s="18" t="s">
        <v>902</v>
      </c>
      <c r="C153" s="18" t="s">
        <v>1169</v>
      </c>
      <c r="D153" s="22" t="s">
        <v>907</v>
      </c>
    </row>
    <row r="154" spans="1:7" x14ac:dyDescent="0.3">
      <c r="A154">
        <v>153</v>
      </c>
      <c r="B154" s="18" t="s">
        <v>1029</v>
      </c>
      <c r="C154" s="18" t="s">
        <v>1170</v>
      </c>
      <c r="D154" s="22" t="s">
        <v>907</v>
      </c>
    </row>
    <row r="155" spans="1:7" x14ac:dyDescent="0.3">
      <c r="A155">
        <v>154</v>
      </c>
      <c r="B155" s="18" t="s">
        <v>1029</v>
      </c>
      <c r="C155" s="18" t="s">
        <v>1171</v>
      </c>
      <c r="D155" s="22" t="s">
        <v>907</v>
      </c>
    </row>
    <row r="156" spans="1:7" x14ac:dyDescent="0.3">
      <c r="A156">
        <v>155</v>
      </c>
      <c r="B156" s="18" t="s">
        <v>1029</v>
      </c>
      <c r="C156" s="18" t="s">
        <v>1172</v>
      </c>
      <c r="D156" s="22" t="s">
        <v>907</v>
      </c>
    </row>
    <row r="157" spans="1:7" x14ac:dyDescent="0.3">
      <c r="A157">
        <v>156</v>
      </c>
      <c r="B157" s="18" t="s">
        <v>1044</v>
      </c>
      <c r="C157" s="18" t="s">
        <v>1173</v>
      </c>
      <c r="D157" s="22" t="s">
        <v>907</v>
      </c>
    </row>
    <row r="158" spans="1:7" x14ac:dyDescent="0.3">
      <c r="A158">
        <v>157</v>
      </c>
      <c r="B158" s="18" t="s">
        <v>902</v>
      </c>
      <c r="C158" s="18" t="s">
        <v>1174</v>
      </c>
      <c r="D158" s="22" t="s">
        <v>904</v>
      </c>
      <c r="E158" s="23" t="s">
        <v>907</v>
      </c>
    </row>
    <row r="159" spans="1:7" x14ac:dyDescent="0.3">
      <c r="A159">
        <v>158</v>
      </c>
      <c r="B159" s="18" t="s">
        <v>902</v>
      </c>
      <c r="C159" s="18" t="s">
        <v>1175</v>
      </c>
      <c r="D159" s="22" t="s">
        <v>904</v>
      </c>
      <c r="E159" s="23" t="s">
        <v>907</v>
      </c>
    </row>
    <row r="160" spans="1:7" x14ac:dyDescent="0.3">
      <c r="A160">
        <v>159</v>
      </c>
      <c r="B160" s="18" t="s">
        <v>902</v>
      </c>
      <c r="C160" s="18" t="s">
        <v>1176</v>
      </c>
      <c r="D160" s="22" t="s">
        <v>1177</v>
      </c>
      <c r="E160" s="23" t="s">
        <v>907</v>
      </c>
    </row>
    <row r="161" spans="1:7" x14ac:dyDescent="0.3">
      <c r="A161">
        <v>160</v>
      </c>
      <c r="B161" s="18" t="s">
        <v>902</v>
      </c>
      <c r="C161" s="18" t="s">
        <v>1178</v>
      </c>
      <c r="D161" s="22" t="s">
        <v>1177</v>
      </c>
      <c r="E161" s="23" t="s">
        <v>907</v>
      </c>
    </row>
    <row r="162" spans="1:7" x14ac:dyDescent="0.3">
      <c r="A162">
        <v>161</v>
      </c>
      <c r="B162" s="18" t="s">
        <v>902</v>
      </c>
      <c r="C162" s="18" t="s">
        <v>1179</v>
      </c>
      <c r="D162" s="22" t="s">
        <v>1180</v>
      </c>
      <c r="E162" s="23" t="s">
        <v>907</v>
      </c>
    </row>
    <row r="163" spans="1:7" x14ac:dyDescent="0.3">
      <c r="A163">
        <v>162</v>
      </c>
      <c r="B163" s="18" t="s">
        <v>902</v>
      </c>
      <c r="C163" s="18" t="s">
        <v>1181</v>
      </c>
      <c r="D163" s="22" t="s">
        <v>1096</v>
      </c>
      <c r="E163" s="23" t="s">
        <v>961</v>
      </c>
      <c r="F163" s="23" t="s">
        <v>1028</v>
      </c>
    </row>
    <row r="164" spans="1:7" x14ac:dyDescent="0.3">
      <c r="A164">
        <v>163</v>
      </c>
      <c r="B164" s="18" t="s">
        <v>902</v>
      </c>
      <c r="C164" s="18" t="s">
        <v>1182</v>
      </c>
      <c r="D164" s="22" t="s">
        <v>1183</v>
      </c>
      <c r="E164" s="23" t="s">
        <v>907</v>
      </c>
    </row>
    <row r="165" spans="1:7" x14ac:dyDescent="0.3">
      <c r="A165">
        <v>164</v>
      </c>
      <c r="B165" s="18" t="s">
        <v>902</v>
      </c>
      <c r="C165" s="18" t="s">
        <v>1184</v>
      </c>
      <c r="D165" s="22" t="s">
        <v>1185</v>
      </c>
      <c r="E165" s="23" t="s">
        <v>907</v>
      </c>
    </row>
    <row r="166" spans="1:7" x14ac:dyDescent="0.3">
      <c r="A166">
        <v>165</v>
      </c>
      <c r="B166" s="18" t="s">
        <v>902</v>
      </c>
      <c r="C166" s="18" t="s">
        <v>1186</v>
      </c>
      <c r="D166" s="22" t="s">
        <v>1180</v>
      </c>
      <c r="E166" s="23" t="s">
        <v>907</v>
      </c>
    </row>
    <row r="167" spans="1:7" x14ac:dyDescent="0.3">
      <c r="A167">
        <v>166</v>
      </c>
      <c r="B167" s="18" t="s">
        <v>902</v>
      </c>
      <c r="C167" s="18" t="s">
        <v>1187</v>
      </c>
      <c r="D167" s="22" t="s">
        <v>1109</v>
      </c>
      <c r="E167" s="23" t="s">
        <v>907</v>
      </c>
    </row>
    <row r="168" spans="1:7" x14ac:dyDescent="0.3">
      <c r="A168">
        <v>167</v>
      </c>
      <c r="B168" s="18" t="s">
        <v>902</v>
      </c>
      <c r="C168" s="18" t="s">
        <v>1188</v>
      </c>
      <c r="D168" s="22" t="s">
        <v>1189</v>
      </c>
      <c r="E168" s="23" t="s">
        <v>1190</v>
      </c>
      <c r="F168" s="23" t="s">
        <v>1191</v>
      </c>
      <c r="G168" s="23" t="s">
        <v>907</v>
      </c>
    </row>
    <row r="169" spans="1:7" x14ac:dyDescent="0.3">
      <c r="A169">
        <v>168</v>
      </c>
      <c r="B169" s="18" t="s">
        <v>902</v>
      </c>
      <c r="C169" s="18" t="s">
        <v>1192</v>
      </c>
      <c r="D169" s="22" t="s">
        <v>1193</v>
      </c>
      <c r="E169" s="23" t="s">
        <v>961</v>
      </c>
      <c r="F169" s="23" t="s">
        <v>1023</v>
      </c>
    </row>
    <row r="170" spans="1:7" x14ac:dyDescent="0.3">
      <c r="A170">
        <v>169</v>
      </c>
      <c r="B170" s="18" t="s">
        <v>902</v>
      </c>
      <c r="C170" s="18" t="s">
        <v>1194</v>
      </c>
      <c r="D170" s="22" t="s">
        <v>1106</v>
      </c>
      <c r="E170" s="23" t="s">
        <v>907</v>
      </c>
    </row>
    <row r="171" spans="1:7" x14ac:dyDescent="0.3">
      <c r="A171">
        <v>170</v>
      </c>
      <c r="B171" s="18" t="s">
        <v>902</v>
      </c>
      <c r="C171" s="18" t="s">
        <v>1103</v>
      </c>
      <c r="D171" s="22" t="s">
        <v>1195</v>
      </c>
      <c r="E171" s="23" t="s">
        <v>911</v>
      </c>
    </row>
    <row r="172" spans="1:7" x14ac:dyDescent="0.3">
      <c r="A172">
        <v>171</v>
      </c>
      <c r="B172" s="18" t="s">
        <v>902</v>
      </c>
      <c r="C172" s="18" t="s">
        <v>898</v>
      </c>
      <c r="D172" s="22" t="s">
        <v>1196</v>
      </c>
      <c r="E172" s="23" t="s">
        <v>1197</v>
      </c>
      <c r="F172" s="23" t="s">
        <v>907</v>
      </c>
    </row>
    <row r="173" spans="1:7" x14ac:dyDescent="0.3">
      <c r="A173">
        <v>172</v>
      </c>
      <c r="B173" s="18" t="s">
        <v>902</v>
      </c>
      <c r="C173" s="18" t="s">
        <v>1198</v>
      </c>
      <c r="D173" s="22" t="s">
        <v>1199</v>
      </c>
      <c r="E173" s="23" t="s">
        <v>961</v>
      </c>
      <c r="F173" s="23" t="s">
        <v>1028</v>
      </c>
    </row>
    <row r="174" spans="1:7" x14ac:dyDescent="0.3">
      <c r="A174">
        <v>173</v>
      </c>
      <c r="B174" s="18" t="s">
        <v>908</v>
      </c>
      <c r="C174" s="18" t="s">
        <v>1200</v>
      </c>
      <c r="D174" s="22" t="s">
        <v>907</v>
      </c>
    </row>
    <row r="175" spans="1:7" x14ac:dyDescent="0.3">
      <c r="A175">
        <v>174</v>
      </c>
      <c r="B175" s="18" t="s">
        <v>908</v>
      </c>
      <c r="C175" s="18" t="s">
        <v>1201</v>
      </c>
      <c r="D175" s="22" t="s">
        <v>966</v>
      </c>
      <c r="E175" s="23" t="s">
        <v>907</v>
      </c>
    </row>
    <row r="176" spans="1:7" x14ac:dyDescent="0.3">
      <c r="A176">
        <v>175</v>
      </c>
      <c r="B176" s="18" t="s">
        <v>908</v>
      </c>
      <c r="C176" s="18" t="s">
        <v>1202</v>
      </c>
      <c r="D176" s="22" t="s">
        <v>1203</v>
      </c>
      <c r="E176" s="23" t="s">
        <v>907</v>
      </c>
    </row>
    <row r="177" spans="1:7" x14ac:dyDescent="0.3">
      <c r="A177">
        <v>176</v>
      </c>
      <c r="B177" s="18" t="s">
        <v>908</v>
      </c>
      <c r="C177" s="18" t="s">
        <v>1204</v>
      </c>
      <c r="D177" s="22" t="s">
        <v>966</v>
      </c>
      <c r="E177" s="23" t="s">
        <v>907</v>
      </c>
    </row>
    <row r="178" spans="1:7" x14ac:dyDescent="0.3">
      <c r="A178">
        <v>177</v>
      </c>
      <c r="B178" s="18" t="s">
        <v>908</v>
      </c>
      <c r="C178" s="18" t="s">
        <v>1205</v>
      </c>
      <c r="D178" s="22" t="s">
        <v>1206</v>
      </c>
      <c r="E178" s="23" t="s">
        <v>907</v>
      </c>
    </row>
    <row r="179" spans="1:7" x14ac:dyDescent="0.3">
      <c r="A179">
        <v>178</v>
      </c>
      <c r="B179" s="18" t="s">
        <v>908</v>
      </c>
      <c r="C179" s="18" t="s">
        <v>1207</v>
      </c>
      <c r="D179" s="22" t="s">
        <v>904</v>
      </c>
      <c r="E179" s="23" t="s">
        <v>972</v>
      </c>
      <c r="F179" s="23" t="s">
        <v>973</v>
      </c>
      <c r="G179" s="23" t="s">
        <v>907</v>
      </c>
    </row>
    <row r="180" spans="1:7" x14ac:dyDescent="0.3">
      <c r="A180">
        <v>179</v>
      </c>
      <c r="B180" s="18" t="s">
        <v>908</v>
      </c>
      <c r="C180" s="18" t="s">
        <v>1208</v>
      </c>
      <c r="D180" s="22" t="s">
        <v>904</v>
      </c>
      <c r="E180" s="23" t="s">
        <v>972</v>
      </c>
      <c r="F180" s="23" t="s">
        <v>973</v>
      </c>
      <c r="G180" s="23" t="s">
        <v>907</v>
      </c>
    </row>
    <row r="181" spans="1:7" x14ac:dyDescent="0.3">
      <c r="A181">
        <v>180</v>
      </c>
      <c r="B181" s="18" t="s">
        <v>908</v>
      </c>
      <c r="C181" s="18" t="s">
        <v>1209</v>
      </c>
      <c r="D181" s="22" t="s">
        <v>904</v>
      </c>
      <c r="E181" s="23" t="s">
        <v>1210</v>
      </c>
      <c r="F181" s="23" t="s">
        <v>972</v>
      </c>
      <c r="G181" s="23" t="s">
        <v>973</v>
      </c>
    </row>
    <row r="182" spans="1:7" x14ac:dyDescent="0.3">
      <c r="A182">
        <v>181</v>
      </c>
      <c r="B182" s="18" t="s">
        <v>908</v>
      </c>
      <c r="C182" s="18" t="s">
        <v>1211</v>
      </c>
      <c r="D182" s="22" t="s">
        <v>1040</v>
      </c>
      <c r="E182" s="23" t="s">
        <v>911</v>
      </c>
    </row>
    <row r="183" spans="1:7" x14ac:dyDescent="0.3">
      <c r="A183">
        <v>182</v>
      </c>
      <c r="B183" s="18" t="s">
        <v>908</v>
      </c>
      <c r="C183" s="18" t="s">
        <v>1212</v>
      </c>
      <c r="D183" s="22" t="s">
        <v>1040</v>
      </c>
      <c r="E183" s="23" t="s">
        <v>911</v>
      </c>
    </row>
    <row r="184" spans="1:7" x14ac:dyDescent="0.3">
      <c r="A184">
        <v>183</v>
      </c>
      <c r="B184" s="18" t="s">
        <v>908</v>
      </c>
      <c r="C184" s="18" t="s">
        <v>1213</v>
      </c>
      <c r="D184" s="22" t="s">
        <v>1010</v>
      </c>
      <c r="E184" s="23" t="s">
        <v>907</v>
      </c>
    </row>
    <row r="185" spans="1:7" x14ac:dyDescent="0.3">
      <c r="A185">
        <v>184</v>
      </c>
      <c r="B185" s="18" t="s">
        <v>908</v>
      </c>
      <c r="C185" s="18" t="s">
        <v>1214</v>
      </c>
      <c r="D185" s="22" t="s">
        <v>907</v>
      </c>
    </row>
    <row r="186" spans="1:7" x14ac:dyDescent="0.3">
      <c r="A186">
        <v>185</v>
      </c>
      <c r="B186" s="18" t="s">
        <v>908</v>
      </c>
      <c r="C186" s="18" t="s">
        <v>1215</v>
      </c>
      <c r="D186" s="22" t="s">
        <v>921</v>
      </c>
      <c r="E186" s="23" t="s">
        <v>1216</v>
      </c>
      <c r="F186" s="23" t="s">
        <v>1217</v>
      </c>
      <c r="G186" s="23" t="s">
        <v>911</v>
      </c>
    </row>
    <row r="187" spans="1:7" x14ac:dyDescent="0.3">
      <c r="A187">
        <v>186</v>
      </c>
      <c r="B187" s="18" t="s">
        <v>977</v>
      </c>
      <c r="C187" s="18" t="s">
        <v>1218</v>
      </c>
      <c r="D187" s="22" t="s">
        <v>981</v>
      </c>
      <c r="E187" s="23" t="s">
        <v>911</v>
      </c>
    </row>
    <row r="188" spans="1:7" x14ac:dyDescent="0.3">
      <c r="A188">
        <v>187</v>
      </c>
      <c r="B188" s="18" t="s">
        <v>977</v>
      </c>
      <c r="C188" s="18" t="s">
        <v>1219</v>
      </c>
      <c r="D188" s="22" t="s">
        <v>966</v>
      </c>
      <c r="E188" s="23" t="s">
        <v>907</v>
      </c>
    </row>
    <row r="189" spans="1:7" x14ac:dyDescent="0.3">
      <c r="A189">
        <v>188</v>
      </c>
      <c r="B189" s="18" t="s">
        <v>977</v>
      </c>
      <c r="C189" s="18" t="s">
        <v>1220</v>
      </c>
      <c r="D189" s="22" t="s">
        <v>966</v>
      </c>
      <c r="E189" s="23" t="s">
        <v>907</v>
      </c>
    </row>
    <row r="190" spans="1:7" x14ac:dyDescent="0.3">
      <c r="A190">
        <v>189</v>
      </c>
      <c r="B190" s="18" t="s">
        <v>977</v>
      </c>
      <c r="C190" s="18" t="s">
        <v>1221</v>
      </c>
      <c r="D190" s="22" t="s">
        <v>1132</v>
      </c>
      <c r="E190" s="23" t="s">
        <v>907</v>
      </c>
    </row>
    <row r="191" spans="1:7" x14ac:dyDescent="0.3">
      <c r="A191">
        <v>190</v>
      </c>
      <c r="B191" s="18" t="s">
        <v>977</v>
      </c>
      <c r="C191" s="18" t="s">
        <v>1222</v>
      </c>
      <c r="D191" s="22" t="s">
        <v>966</v>
      </c>
      <c r="E191" s="23" t="s">
        <v>907</v>
      </c>
    </row>
    <row r="192" spans="1:7" x14ac:dyDescent="0.3">
      <c r="A192">
        <v>191</v>
      </c>
      <c r="B192" s="18" t="s">
        <v>977</v>
      </c>
      <c r="C192" s="18" t="s">
        <v>1223</v>
      </c>
      <c r="D192" s="22" t="s">
        <v>1224</v>
      </c>
      <c r="E192" s="23" t="s">
        <v>1225</v>
      </c>
    </row>
    <row r="193" spans="1:7" x14ac:dyDescent="0.3">
      <c r="A193">
        <v>192</v>
      </c>
      <c r="B193" s="18" t="s">
        <v>1019</v>
      </c>
      <c r="C193" s="18" t="s">
        <v>1226</v>
      </c>
      <c r="D193" s="22" t="s">
        <v>910</v>
      </c>
      <c r="E193" s="23" t="s">
        <v>911</v>
      </c>
    </row>
    <row r="194" spans="1:7" x14ac:dyDescent="0.3">
      <c r="A194">
        <v>193</v>
      </c>
      <c r="B194" s="18" t="s">
        <v>1019</v>
      </c>
      <c r="C194" s="18" t="s">
        <v>1227</v>
      </c>
      <c r="D194" s="22" t="s">
        <v>1000</v>
      </c>
      <c r="E194" s="23" t="s">
        <v>1228</v>
      </c>
      <c r="F194" s="23" t="s">
        <v>907</v>
      </c>
    </row>
    <row r="195" spans="1:7" x14ac:dyDescent="0.3">
      <c r="A195">
        <v>194</v>
      </c>
      <c r="B195" s="18" t="s">
        <v>1029</v>
      </c>
      <c r="C195" s="18" t="s">
        <v>1229</v>
      </c>
      <c r="D195" s="22" t="s">
        <v>1230</v>
      </c>
      <c r="E195" s="23" t="s">
        <v>1231</v>
      </c>
    </row>
    <row r="196" spans="1:7" x14ac:dyDescent="0.3">
      <c r="A196">
        <v>195</v>
      </c>
      <c r="B196" s="18" t="s">
        <v>1029</v>
      </c>
      <c r="C196" s="18" t="s">
        <v>1232</v>
      </c>
      <c r="D196" s="22" t="s">
        <v>1000</v>
      </c>
      <c r="E196" s="23" t="s">
        <v>1233</v>
      </c>
      <c r="F196" s="23" t="s">
        <v>961</v>
      </c>
      <c r="G196" s="23" t="s">
        <v>1234</v>
      </c>
    </row>
    <row r="197" spans="1:7" x14ac:dyDescent="0.3">
      <c r="A197">
        <v>196</v>
      </c>
      <c r="B197" s="18" t="s">
        <v>1029</v>
      </c>
      <c r="C197" s="18" t="s">
        <v>1235</v>
      </c>
      <c r="D197" s="22" t="s">
        <v>1032</v>
      </c>
      <c r="E197" s="23" t="s">
        <v>907</v>
      </c>
    </row>
    <row r="198" spans="1:7" x14ac:dyDescent="0.3">
      <c r="A198">
        <v>197</v>
      </c>
      <c r="B198" s="18" t="s">
        <v>913</v>
      </c>
      <c r="C198" s="18" t="s">
        <v>1236</v>
      </c>
      <c r="D198" s="22" t="s">
        <v>1032</v>
      </c>
      <c r="E198" s="23" t="s">
        <v>907</v>
      </c>
    </row>
    <row r="199" spans="1:7" x14ac:dyDescent="0.3">
      <c r="A199">
        <v>198</v>
      </c>
      <c r="B199" s="18" t="s">
        <v>913</v>
      </c>
      <c r="C199" s="18" t="s">
        <v>1043</v>
      </c>
      <c r="D199" s="22" t="s">
        <v>907</v>
      </c>
    </row>
    <row r="200" spans="1:7" x14ac:dyDescent="0.3">
      <c r="A200">
        <v>199</v>
      </c>
      <c r="B200" s="18" t="s">
        <v>913</v>
      </c>
      <c r="C200" s="18" t="s">
        <v>1237</v>
      </c>
      <c r="D200" s="22" t="s">
        <v>921</v>
      </c>
      <c r="E200" s="23" t="s">
        <v>1216</v>
      </c>
      <c r="F200" s="23" t="s">
        <v>1238</v>
      </c>
      <c r="G200" s="23" t="s">
        <v>911</v>
      </c>
    </row>
    <row r="201" spans="1:7" x14ac:dyDescent="0.3">
      <c r="A201">
        <v>200</v>
      </c>
      <c r="B201" s="18" t="s">
        <v>913</v>
      </c>
      <c r="C201" s="18" t="s">
        <v>1239</v>
      </c>
      <c r="D201" s="22" t="s">
        <v>921</v>
      </c>
      <c r="E201" s="23" t="s">
        <v>1216</v>
      </c>
      <c r="F201" s="23" t="s">
        <v>911</v>
      </c>
    </row>
    <row r="202" spans="1:7" x14ac:dyDescent="0.3">
      <c r="A202">
        <v>201</v>
      </c>
      <c r="B202" s="18" t="s">
        <v>913</v>
      </c>
      <c r="C202" s="18" t="s">
        <v>1240</v>
      </c>
      <c r="D202" s="22" t="s">
        <v>1132</v>
      </c>
      <c r="E202" s="23" t="s">
        <v>907</v>
      </c>
    </row>
    <row r="203" spans="1:7" x14ac:dyDescent="0.3">
      <c r="A203">
        <v>202</v>
      </c>
      <c r="B203" s="18" t="s">
        <v>913</v>
      </c>
      <c r="C203" s="18" t="s">
        <v>1241</v>
      </c>
      <c r="D203" s="22" t="s">
        <v>921</v>
      </c>
      <c r="E203" s="23" t="s">
        <v>1216</v>
      </c>
      <c r="F203" s="23" t="s">
        <v>911</v>
      </c>
    </row>
    <row r="204" spans="1:7" x14ac:dyDescent="0.3">
      <c r="A204">
        <v>203</v>
      </c>
      <c r="B204" s="18" t="s">
        <v>913</v>
      </c>
      <c r="C204" s="18" t="s">
        <v>1242</v>
      </c>
      <c r="D204" s="22" t="s">
        <v>951</v>
      </c>
      <c r="E204" s="23" t="s">
        <v>911</v>
      </c>
    </row>
    <row r="205" spans="1:7" x14ac:dyDescent="0.3">
      <c r="A205">
        <v>204</v>
      </c>
      <c r="B205" s="18" t="s">
        <v>913</v>
      </c>
      <c r="C205" s="18" t="s">
        <v>1243</v>
      </c>
      <c r="D205" s="22" t="s">
        <v>934</v>
      </c>
      <c r="E205" s="23" t="s">
        <v>911</v>
      </c>
    </row>
    <row r="206" spans="1:7" x14ac:dyDescent="0.3">
      <c r="A206">
        <v>205</v>
      </c>
      <c r="B206" s="18" t="s">
        <v>913</v>
      </c>
      <c r="C206" s="18" t="s">
        <v>1244</v>
      </c>
      <c r="D206" s="22" t="s">
        <v>1032</v>
      </c>
      <c r="E206" s="23" t="s">
        <v>911</v>
      </c>
    </row>
    <row r="207" spans="1:7" x14ac:dyDescent="0.3">
      <c r="A207">
        <v>206</v>
      </c>
      <c r="B207" s="18" t="s">
        <v>913</v>
      </c>
      <c r="C207" s="18" t="s">
        <v>1245</v>
      </c>
      <c r="D207" s="22" t="s">
        <v>921</v>
      </c>
      <c r="E207" s="23" t="s">
        <v>1216</v>
      </c>
      <c r="F207" s="23" t="s">
        <v>911</v>
      </c>
    </row>
    <row r="208" spans="1:7" x14ac:dyDescent="0.3">
      <c r="A208">
        <v>207</v>
      </c>
      <c r="B208" s="18" t="s">
        <v>913</v>
      </c>
      <c r="C208" s="18" t="s">
        <v>1246</v>
      </c>
      <c r="D208" s="22" t="s">
        <v>1247</v>
      </c>
      <c r="E208" s="23" t="s">
        <v>1248</v>
      </c>
      <c r="F208" s="23" t="s">
        <v>911</v>
      </c>
    </row>
    <row r="209" spans="1:6" x14ac:dyDescent="0.3">
      <c r="A209">
        <v>208</v>
      </c>
      <c r="B209" s="18" t="s">
        <v>1044</v>
      </c>
      <c r="C209" s="18" t="s">
        <v>1249</v>
      </c>
      <c r="D209" s="22" t="s">
        <v>921</v>
      </c>
      <c r="E209" s="23" t="s">
        <v>922</v>
      </c>
      <c r="F209" s="23" t="s">
        <v>911</v>
      </c>
    </row>
    <row r="210" spans="1:6" x14ac:dyDescent="0.3">
      <c r="A210">
        <v>209</v>
      </c>
      <c r="B210" s="18" t="s">
        <v>1044</v>
      </c>
      <c r="C210" s="18" t="s">
        <v>1250</v>
      </c>
      <c r="D210" s="22" t="s">
        <v>1251</v>
      </c>
      <c r="E210" s="23" t="s">
        <v>911</v>
      </c>
    </row>
    <row r="211" spans="1:6" x14ac:dyDescent="0.3">
      <c r="A211">
        <v>210</v>
      </c>
      <c r="B211" s="18" t="s">
        <v>1044</v>
      </c>
      <c r="C211" s="18" t="s">
        <v>1252</v>
      </c>
      <c r="D211" s="22" t="s">
        <v>1012</v>
      </c>
      <c r="E211" s="23" t="s">
        <v>907</v>
      </c>
    </row>
    <row r="212" spans="1:6" x14ac:dyDescent="0.3">
      <c r="A212">
        <v>211</v>
      </c>
      <c r="B212" s="18" t="s">
        <v>926</v>
      </c>
      <c r="C212" s="18" t="s">
        <v>1253</v>
      </c>
      <c r="D212" s="22" t="s">
        <v>907</v>
      </c>
    </row>
    <row r="213" spans="1:6" x14ac:dyDescent="0.3">
      <c r="A213">
        <v>212</v>
      </c>
      <c r="B213" s="18" t="s">
        <v>926</v>
      </c>
      <c r="C213" s="18" t="s">
        <v>1254</v>
      </c>
      <c r="D213" s="22" t="s">
        <v>921</v>
      </c>
      <c r="E213" s="23" t="s">
        <v>907</v>
      </c>
    </row>
    <row r="214" spans="1:6" x14ac:dyDescent="0.3">
      <c r="A214">
        <v>213</v>
      </c>
      <c r="B214" s="18" t="s">
        <v>926</v>
      </c>
      <c r="C214" s="18" t="s">
        <v>1255</v>
      </c>
      <c r="D214" s="22" t="s">
        <v>1256</v>
      </c>
      <c r="E214" s="23" t="s">
        <v>911</v>
      </c>
    </row>
    <row r="215" spans="1:6" x14ac:dyDescent="0.3">
      <c r="A215">
        <v>214</v>
      </c>
      <c r="B215" s="18" t="s">
        <v>929</v>
      </c>
      <c r="C215" s="18" t="s">
        <v>1257</v>
      </c>
      <c r="D215" s="22" t="s">
        <v>915</v>
      </c>
      <c r="E215" s="23" t="s">
        <v>907</v>
      </c>
    </row>
    <row r="216" spans="1:6" x14ac:dyDescent="0.3">
      <c r="A216">
        <v>215</v>
      </c>
      <c r="B216" s="18" t="s">
        <v>929</v>
      </c>
      <c r="C216" s="18" t="s">
        <v>1258</v>
      </c>
      <c r="D216" s="22" t="s">
        <v>919</v>
      </c>
      <c r="E216" s="23" t="s">
        <v>911</v>
      </c>
      <c r="F216" s="23" t="s">
        <v>1259</v>
      </c>
    </row>
    <row r="217" spans="1:6" x14ac:dyDescent="0.3">
      <c r="A217">
        <v>216</v>
      </c>
      <c r="B217" s="18" t="s">
        <v>929</v>
      </c>
      <c r="C217" s="18" t="s">
        <v>1260</v>
      </c>
      <c r="D217" s="22" t="s">
        <v>915</v>
      </c>
      <c r="E217" s="23" t="s">
        <v>907</v>
      </c>
    </row>
    <row r="218" spans="1:6" x14ac:dyDescent="0.3">
      <c r="A218">
        <v>217</v>
      </c>
      <c r="B218" s="18" t="s">
        <v>929</v>
      </c>
      <c r="C218" s="18" t="s">
        <v>1261</v>
      </c>
      <c r="D218" s="22" t="s">
        <v>1262</v>
      </c>
      <c r="E218" s="23" t="s">
        <v>907</v>
      </c>
    </row>
    <row r="219" spans="1:6" x14ac:dyDescent="0.3">
      <c r="A219">
        <v>218</v>
      </c>
      <c r="B219" s="18" t="s">
        <v>929</v>
      </c>
      <c r="C219" s="18" t="s">
        <v>1263</v>
      </c>
      <c r="D219" s="22" t="s">
        <v>915</v>
      </c>
      <c r="E219" s="23" t="s">
        <v>907</v>
      </c>
    </row>
    <row r="220" spans="1:6" x14ac:dyDescent="0.3">
      <c r="A220">
        <v>219</v>
      </c>
      <c r="B220" s="18" t="s">
        <v>929</v>
      </c>
      <c r="C220" s="18" t="s">
        <v>1264</v>
      </c>
      <c r="D220" s="22" t="s">
        <v>1265</v>
      </c>
      <c r="E220" s="23" t="s">
        <v>907</v>
      </c>
    </row>
    <row r="221" spans="1:6" x14ac:dyDescent="0.3">
      <c r="A221">
        <v>220</v>
      </c>
      <c r="B221" s="18" t="s">
        <v>929</v>
      </c>
      <c r="C221" s="18" t="s">
        <v>1266</v>
      </c>
      <c r="D221" s="22" t="s">
        <v>915</v>
      </c>
      <c r="E221" s="23" t="s">
        <v>907</v>
      </c>
    </row>
    <row r="222" spans="1:6" x14ac:dyDescent="0.3">
      <c r="A222">
        <v>221</v>
      </c>
      <c r="B222" s="18" t="s">
        <v>929</v>
      </c>
      <c r="C222" s="18" t="s">
        <v>1267</v>
      </c>
      <c r="D222" s="22" t="s">
        <v>921</v>
      </c>
      <c r="E222" s="23" t="s">
        <v>907</v>
      </c>
    </row>
    <row r="223" spans="1:6" x14ac:dyDescent="0.3">
      <c r="A223">
        <v>222</v>
      </c>
      <c r="B223" s="18" t="s">
        <v>929</v>
      </c>
      <c r="C223" s="18" t="s">
        <v>1268</v>
      </c>
      <c r="D223" s="22" t="s">
        <v>919</v>
      </c>
      <c r="E223" s="23" t="s">
        <v>1269</v>
      </c>
      <c r="F223" s="23" t="s">
        <v>907</v>
      </c>
    </row>
    <row r="224" spans="1:6" x14ac:dyDescent="0.3">
      <c r="A224">
        <v>223</v>
      </c>
      <c r="B224" s="18" t="s">
        <v>929</v>
      </c>
      <c r="C224" s="18" t="s">
        <v>1270</v>
      </c>
      <c r="D224" s="22" t="s">
        <v>919</v>
      </c>
      <c r="E224" s="23" t="s">
        <v>907</v>
      </c>
    </row>
    <row r="225" spans="1:7" x14ac:dyDescent="0.3">
      <c r="A225">
        <v>224</v>
      </c>
      <c r="B225" s="18" t="s">
        <v>929</v>
      </c>
      <c r="C225" s="18" t="s">
        <v>1271</v>
      </c>
      <c r="D225" s="22" t="s">
        <v>1040</v>
      </c>
      <c r="E225" s="23" t="s">
        <v>911</v>
      </c>
    </row>
    <row r="226" spans="1:7" x14ac:dyDescent="0.3">
      <c r="A226">
        <v>225</v>
      </c>
      <c r="B226" s="18" t="s">
        <v>935</v>
      </c>
      <c r="C226" s="18" t="s">
        <v>1272</v>
      </c>
      <c r="D226" s="22" t="s">
        <v>1273</v>
      </c>
      <c r="E226" s="23" t="s">
        <v>1274</v>
      </c>
      <c r="F226" s="23" t="s">
        <v>1275</v>
      </c>
      <c r="G226" s="23" t="s">
        <v>961</v>
      </c>
    </row>
    <row r="227" spans="1:7" x14ac:dyDescent="0.3">
      <c r="A227">
        <v>226</v>
      </c>
      <c r="B227" s="18" t="s">
        <v>935</v>
      </c>
      <c r="C227" s="18" t="s">
        <v>1279</v>
      </c>
      <c r="D227" s="22" t="s">
        <v>915</v>
      </c>
      <c r="E227" s="23" t="s">
        <v>907</v>
      </c>
    </row>
    <row r="228" spans="1:7" x14ac:dyDescent="0.3">
      <c r="A228">
        <v>227</v>
      </c>
      <c r="B228" s="18" t="s">
        <v>935</v>
      </c>
      <c r="C228" s="18" t="s">
        <v>1280</v>
      </c>
      <c r="D228" s="22" t="s">
        <v>921</v>
      </c>
      <c r="E228" s="23" t="s">
        <v>922</v>
      </c>
      <c r="F228" s="23" t="s">
        <v>911</v>
      </c>
    </row>
    <row r="229" spans="1:7" x14ac:dyDescent="0.3">
      <c r="A229">
        <v>228</v>
      </c>
      <c r="B229" s="18" t="s">
        <v>935</v>
      </c>
      <c r="C229" s="18" t="s">
        <v>936</v>
      </c>
      <c r="D229" s="22" t="s">
        <v>921</v>
      </c>
      <c r="E229" s="23" t="s">
        <v>922</v>
      </c>
      <c r="F229" s="23" t="s">
        <v>911</v>
      </c>
    </row>
    <row r="230" spans="1:7" x14ac:dyDescent="0.3">
      <c r="A230">
        <v>229</v>
      </c>
      <c r="B230" s="18" t="s">
        <v>935</v>
      </c>
      <c r="C230" s="18" t="s">
        <v>1280</v>
      </c>
      <c r="D230" s="22" t="s">
        <v>921</v>
      </c>
      <c r="E230" s="23" t="s">
        <v>922</v>
      </c>
      <c r="F230" s="23" t="s">
        <v>911</v>
      </c>
    </row>
    <row r="231" spans="1:7" x14ac:dyDescent="0.3">
      <c r="A231">
        <v>230</v>
      </c>
      <c r="B231" s="18" t="s">
        <v>935</v>
      </c>
      <c r="C231" s="18" t="s">
        <v>1281</v>
      </c>
      <c r="D231" s="22" t="s">
        <v>915</v>
      </c>
      <c r="E231" s="23" t="s">
        <v>907</v>
      </c>
    </row>
    <row r="232" spans="1:7" x14ac:dyDescent="0.3">
      <c r="A232">
        <v>231</v>
      </c>
      <c r="B232" s="18" t="s">
        <v>935</v>
      </c>
      <c r="C232" s="18" t="s">
        <v>1282</v>
      </c>
      <c r="D232" s="22" t="s">
        <v>915</v>
      </c>
      <c r="E232" s="23" t="s">
        <v>907</v>
      </c>
    </row>
    <row r="233" spans="1:7" x14ac:dyDescent="0.3">
      <c r="A233">
        <v>232</v>
      </c>
      <c r="B233" s="18" t="s">
        <v>935</v>
      </c>
      <c r="C233" s="18" t="s">
        <v>1283</v>
      </c>
      <c r="D233" s="22" t="s">
        <v>921</v>
      </c>
      <c r="E233" s="23" t="s">
        <v>907</v>
      </c>
    </row>
    <row r="234" spans="1:7" x14ac:dyDescent="0.3">
      <c r="A234">
        <v>233</v>
      </c>
      <c r="B234" s="18" t="s">
        <v>935</v>
      </c>
      <c r="C234" s="18" t="s">
        <v>1284</v>
      </c>
      <c r="D234" s="22" t="s">
        <v>915</v>
      </c>
      <c r="E234" s="23" t="s">
        <v>907</v>
      </c>
    </row>
    <row r="235" spans="1:7" x14ac:dyDescent="0.3">
      <c r="A235">
        <v>234</v>
      </c>
      <c r="B235" s="18" t="s">
        <v>935</v>
      </c>
      <c r="C235" s="18" t="s">
        <v>1285</v>
      </c>
      <c r="D235" s="22" t="s">
        <v>915</v>
      </c>
      <c r="E235" s="23" t="s">
        <v>907</v>
      </c>
    </row>
    <row r="236" spans="1:7" x14ac:dyDescent="0.3">
      <c r="A236">
        <v>235</v>
      </c>
      <c r="B236" s="18" t="s">
        <v>935</v>
      </c>
      <c r="C236" s="18" t="s">
        <v>1286</v>
      </c>
      <c r="D236" s="22" t="s">
        <v>921</v>
      </c>
      <c r="E236" s="23" t="s">
        <v>922</v>
      </c>
      <c r="F236" s="23" t="s">
        <v>911</v>
      </c>
    </row>
    <row r="237" spans="1:7" x14ac:dyDescent="0.3">
      <c r="A237">
        <v>236</v>
      </c>
      <c r="B237" s="18" t="s">
        <v>935</v>
      </c>
      <c r="C237" s="18" t="s">
        <v>1287</v>
      </c>
      <c r="D237" s="22" t="s">
        <v>1262</v>
      </c>
      <c r="E237" s="23" t="s">
        <v>907</v>
      </c>
    </row>
    <row r="238" spans="1:7" x14ac:dyDescent="0.3">
      <c r="A238">
        <v>237</v>
      </c>
      <c r="B238" s="18" t="s">
        <v>937</v>
      </c>
      <c r="C238" s="18" t="s">
        <v>1288</v>
      </c>
      <c r="D238" s="22" t="s">
        <v>907</v>
      </c>
    </row>
    <row r="239" spans="1:7" x14ac:dyDescent="0.3">
      <c r="A239">
        <v>238</v>
      </c>
      <c r="B239" s="18" t="s">
        <v>937</v>
      </c>
      <c r="C239" s="18" t="s">
        <v>1289</v>
      </c>
      <c r="D239" s="22" t="s">
        <v>1054</v>
      </c>
      <c r="E239" s="23" t="s">
        <v>1149</v>
      </c>
    </row>
    <row r="240" spans="1:7" x14ac:dyDescent="0.3">
      <c r="A240">
        <v>239</v>
      </c>
      <c r="B240" s="18" t="s">
        <v>937</v>
      </c>
      <c r="C240" s="18" t="s">
        <v>1290</v>
      </c>
      <c r="D240" s="22" t="s">
        <v>1054</v>
      </c>
      <c r="E240" s="23" t="s">
        <v>1149</v>
      </c>
    </row>
    <row r="241" spans="1:7" x14ac:dyDescent="0.3">
      <c r="A241">
        <v>240</v>
      </c>
      <c r="B241" s="18" t="s">
        <v>937</v>
      </c>
      <c r="C241" s="18" t="e">
        <v>#VALUE!</v>
      </c>
      <c r="D241" s="22" t="s">
        <v>917</v>
      </c>
      <c r="E241" s="23" t="s">
        <v>1291</v>
      </c>
    </row>
    <row r="242" spans="1:7" x14ac:dyDescent="0.3">
      <c r="A242">
        <v>241</v>
      </c>
      <c r="B242" s="18" t="s">
        <v>1048</v>
      </c>
      <c r="C242" s="18" t="s">
        <v>1292</v>
      </c>
      <c r="D242" s="22" t="s">
        <v>1293</v>
      </c>
      <c r="E242" s="23" t="s">
        <v>911</v>
      </c>
      <c r="F242" s="23" t="s">
        <v>948</v>
      </c>
    </row>
    <row r="243" spans="1:7" x14ac:dyDescent="0.3">
      <c r="A243">
        <v>242</v>
      </c>
      <c r="B243" s="18" t="s">
        <v>1048</v>
      </c>
      <c r="C243" s="18" t="s">
        <v>1294</v>
      </c>
      <c r="D243" s="22" t="s">
        <v>1262</v>
      </c>
      <c r="E243" s="23" t="s">
        <v>907</v>
      </c>
    </row>
    <row r="244" spans="1:7" x14ac:dyDescent="0.3">
      <c r="A244">
        <v>243</v>
      </c>
      <c r="B244" s="18" t="s">
        <v>1048</v>
      </c>
      <c r="C244" s="18" t="s">
        <v>1295</v>
      </c>
      <c r="D244" s="22" t="s">
        <v>917</v>
      </c>
      <c r="E244" s="23" t="s">
        <v>907</v>
      </c>
    </row>
    <row r="245" spans="1:7" x14ac:dyDescent="0.3">
      <c r="A245">
        <v>244</v>
      </c>
      <c r="B245" s="18" t="s">
        <v>1296</v>
      </c>
      <c r="C245" s="18" t="s">
        <v>1297</v>
      </c>
      <c r="D245" s="22" t="s">
        <v>1298</v>
      </c>
      <c r="E245" s="23" t="s">
        <v>907</v>
      </c>
    </row>
    <row r="246" spans="1:7" x14ac:dyDescent="0.3">
      <c r="A246">
        <v>245</v>
      </c>
      <c r="B246" s="18" t="s">
        <v>1296</v>
      </c>
      <c r="C246" s="18" t="s">
        <v>1299</v>
      </c>
      <c r="D246" s="22" t="s">
        <v>1298</v>
      </c>
      <c r="E246" s="23" t="s">
        <v>907</v>
      </c>
    </row>
    <row r="247" spans="1:7" x14ac:dyDescent="0.3">
      <c r="A247">
        <v>246</v>
      </c>
      <c r="B247" s="18" t="s">
        <v>1296</v>
      </c>
      <c r="C247" s="18" t="s">
        <v>1300</v>
      </c>
      <c r="D247" s="22" t="s">
        <v>928</v>
      </c>
      <c r="E247" s="23" t="s">
        <v>911</v>
      </c>
    </row>
    <row r="248" spans="1:7" x14ac:dyDescent="0.3">
      <c r="A248">
        <v>247</v>
      </c>
      <c r="B248" s="18" t="s">
        <v>1296</v>
      </c>
      <c r="C248" s="18" t="s">
        <v>1301</v>
      </c>
      <c r="D248" s="22" t="s">
        <v>1302</v>
      </c>
      <c r="E248" s="23" t="s">
        <v>907</v>
      </c>
    </row>
    <row r="249" spans="1:7" x14ac:dyDescent="0.3">
      <c r="A249">
        <v>248</v>
      </c>
      <c r="B249" s="18" t="s">
        <v>1296</v>
      </c>
      <c r="C249" s="18" t="s">
        <v>1303</v>
      </c>
      <c r="D249" s="22" t="s">
        <v>907</v>
      </c>
    </row>
    <row r="250" spans="1:7" x14ac:dyDescent="0.3">
      <c r="A250">
        <v>249</v>
      </c>
      <c r="B250" s="18" t="s">
        <v>1296</v>
      </c>
      <c r="C250" s="18" t="s">
        <v>1304</v>
      </c>
      <c r="D250" s="22" t="s">
        <v>907</v>
      </c>
      <c r="E250" s="23" t="s">
        <v>1305</v>
      </c>
    </row>
    <row r="251" spans="1:7" x14ac:dyDescent="0.3">
      <c r="A251">
        <v>250</v>
      </c>
      <c r="B251" s="18" t="s">
        <v>1296</v>
      </c>
      <c r="C251" s="18" t="s">
        <v>1306</v>
      </c>
      <c r="D251" s="22" t="s">
        <v>1307</v>
      </c>
      <c r="E251" s="23" t="s">
        <v>961</v>
      </c>
      <c r="F251" s="23" t="s">
        <v>1308</v>
      </c>
      <c r="G251" s="23" t="s">
        <v>1309</v>
      </c>
    </row>
    <row r="252" spans="1:7" x14ac:dyDescent="0.3">
      <c r="A252">
        <v>251</v>
      </c>
      <c r="B252" s="18" t="s">
        <v>1296</v>
      </c>
      <c r="C252" s="18" t="s">
        <v>1310</v>
      </c>
      <c r="D252" s="22" t="s">
        <v>1311</v>
      </c>
      <c r="E252" s="23" t="s">
        <v>907</v>
      </c>
    </row>
    <row r="253" spans="1:7" x14ac:dyDescent="0.3">
      <c r="A253">
        <v>252</v>
      </c>
      <c r="B253" s="18" t="s">
        <v>1296</v>
      </c>
      <c r="C253" s="18" t="s">
        <v>1312</v>
      </c>
      <c r="D253" s="22" t="s">
        <v>1307</v>
      </c>
      <c r="E253" s="23" t="s">
        <v>907</v>
      </c>
    </row>
    <row r="254" spans="1:7" x14ac:dyDescent="0.3">
      <c r="A254">
        <v>253</v>
      </c>
      <c r="B254" s="18" t="s">
        <v>1050</v>
      </c>
      <c r="C254" s="18" t="s">
        <v>1313</v>
      </c>
      <c r="D254" s="22" t="s">
        <v>1054</v>
      </c>
      <c r="E254" s="23" t="s">
        <v>1149</v>
      </c>
    </row>
    <row r="255" spans="1:7" x14ac:dyDescent="0.3">
      <c r="A255">
        <v>254</v>
      </c>
      <c r="B255" s="18" t="s">
        <v>1050</v>
      </c>
      <c r="C255" s="18" t="s">
        <v>1314</v>
      </c>
      <c r="D255" s="22" t="s">
        <v>1293</v>
      </c>
      <c r="E255" s="23" t="s">
        <v>1315</v>
      </c>
      <c r="F255" s="23" t="s">
        <v>907</v>
      </c>
    </row>
    <row r="256" spans="1:7" x14ac:dyDescent="0.3">
      <c r="A256">
        <v>255</v>
      </c>
      <c r="B256" s="18" t="s">
        <v>1050</v>
      </c>
      <c r="C256" s="18" t="s">
        <v>1316</v>
      </c>
      <c r="D256" s="22" t="s">
        <v>1293</v>
      </c>
      <c r="E256" s="23" t="s">
        <v>1315</v>
      </c>
      <c r="F256" s="23" t="s">
        <v>907</v>
      </c>
    </row>
    <row r="257" spans="1:7" x14ac:dyDescent="0.3">
      <c r="A257">
        <v>256</v>
      </c>
      <c r="B257" s="18" t="s">
        <v>942</v>
      </c>
      <c r="C257" s="18" t="s">
        <v>1317</v>
      </c>
      <c r="D257" s="22" t="s">
        <v>907</v>
      </c>
    </row>
    <row r="258" spans="1:7" x14ac:dyDescent="0.3">
      <c r="A258">
        <v>257</v>
      </c>
      <c r="B258" s="18" t="s">
        <v>942</v>
      </c>
      <c r="C258" s="18" t="s">
        <v>1318</v>
      </c>
      <c r="D258" s="22" t="s">
        <v>907</v>
      </c>
    </row>
    <row r="259" spans="1:7" x14ac:dyDescent="0.3">
      <c r="A259">
        <v>258</v>
      </c>
      <c r="B259" s="18" t="s">
        <v>944</v>
      </c>
      <c r="C259" s="18" t="s">
        <v>1319</v>
      </c>
      <c r="D259" s="22" t="s">
        <v>1054</v>
      </c>
      <c r="E259" s="23" t="s">
        <v>1320</v>
      </c>
    </row>
    <row r="260" spans="1:7" x14ac:dyDescent="0.3">
      <c r="A260">
        <v>259</v>
      </c>
      <c r="B260" s="18" t="s">
        <v>944</v>
      </c>
      <c r="C260" s="18" t="s">
        <v>1321</v>
      </c>
      <c r="D260" s="22" t="s">
        <v>907</v>
      </c>
    </row>
    <row r="261" spans="1:7" x14ac:dyDescent="0.3">
      <c r="A261">
        <v>260</v>
      </c>
      <c r="B261" s="18" t="s">
        <v>944</v>
      </c>
      <c r="C261" s="18" t="s">
        <v>1322</v>
      </c>
      <c r="D261" s="22" t="s">
        <v>951</v>
      </c>
      <c r="E261" s="23" t="s">
        <v>961</v>
      </c>
      <c r="F261" s="23" t="s">
        <v>1055</v>
      </c>
    </row>
    <row r="262" spans="1:7" x14ac:dyDescent="0.3">
      <c r="A262">
        <v>261</v>
      </c>
      <c r="B262" s="18" t="s">
        <v>944</v>
      </c>
      <c r="C262" s="18" t="s">
        <v>1323</v>
      </c>
      <c r="D262" s="22" t="s">
        <v>1324</v>
      </c>
      <c r="E262" s="23" t="s">
        <v>907</v>
      </c>
    </row>
    <row r="263" spans="1:7" x14ac:dyDescent="0.3">
      <c r="A263">
        <v>262</v>
      </c>
      <c r="B263" s="18" t="s">
        <v>944</v>
      </c>
      <c r="C263" s="18" t="s">
        <v>1325</v>
      </c>
      <c r="D263" s="22" t="s">
        <v>1053</v>
      </c>
      <c r="E263" s="23" t="s">
        <v>907</v>
      </c>
    </row>
    <row r="264" spans="1:7" x14ac:dyDescent="0.3">
      <c r="A264">
        <v>263</v>
      </c>
      <c r="B264" s="18" t="s">
        <v>944</v>
      </c>
      <c r="C264" s="18" t="s">
        <v>1326</v>
      </c>
      <c r="D264" s="22" t="s">
        <v>1054</v>
      </c>
      <c r="E264" s="23" t="s">
        <v>1065</v>
      </c>
      <c r="F264" s="23" t="s">
        <v>948</v>
      </c>
    </row>
    <row r="265" spans="1:7" x14ac:dyDescent="0.3">
      <c r="A265">
        <v>264</v>
      </c>
      <c r="B265" s="18" t="s">
        <v>944</v>
      </c>
      <c r="C265" s="18" t="s">
        <v>1327</v>
      </c>
      <c r="D265" s="22" t="s">
        <v>907</v>
      </c>
    </row>
    <row r="266" spans="1:7" x14ac:dyDescent="0.3">
      <c r="A266">
        <v>265</v>
      </c>
      <c r="B266" s="18" t="s">
        <v>944</v>
      </c>
      <c r="C266" s="18" t="s">
        <v>1328</v>
      </c>
      <c r="D266" s="22" t="s">
        <v>907</v>
      </c>
    </row>
    <row r="267" spans="1:7" x14ac:dyDescent="0.3">
      <c r="A267">
        <v>266</v>
      </c>
      <c r="B267" s="18" t="s">
        <v>946</v>
      </c>
      <c r="C267" s="18" t="s">
        <v>1329</v>
      </c>
      <c r="D267" s="22" t="s">
        <v>1330</v>
      </c>
      <c r="E267" s="23" t="s">
        <v>907</v>
      </c>
    </row>
    <row r="268" spans="1:7" x14ac:dyDescent="0.3">
      <c r="A268">
        <v>267</v>
      </c>
      <c r="B268" s="18" t="s">
        <v>946</v>
      </c>
      <c r="C268" s="18" t="s">
        <v>1331</v>
      </c>
      <c r="D268" s="22" t="s">
        <v>1053</v>
      </c>
      <c r="E268" s="23" t="s">
        <v>1054</v>
      </c>
      <c r="F268" s="23" t="s">
        <v>1055</v>
      </c>
    </row>
    <row r="269" spans="1:7" x14ac:dyDescent="0.3">
      <c r="A269">
        <v>268</v>
      </c>
      <c r="B269" s="18" t="s">
        <v>946</v>
      </c>
      <c r="C269" s="18" t="s">
        <v>1332</v>
      </c>
      <c r="D269" s="22" t="s">
        <v>1320</v>
      </c>
      <c r="E269" s="23" t="s">
        <v>911</v>
      </c>
    </row>
    <row r="270" spans="1:7" x14ac:dyDescent="0.3">
      <c r="A270">
        <v>269</v>
      </c>
      <c r="B270" s="18" t="s">
        <v>946</v>
      </c>
      <c r="C270" s="18" t="s">
        <v>1333</v>
      </c>
      <c r="D270" s="22" t="s">
        <v>907</v>
      </c>
    </row>
    <row r="271" spans="1:7" x14ac:dyDescent="0.3">
      <c r="A271">
        <v>270</v>
      </c>
      <c r="B271" s="18" t="s">
        <v>946</v>
      </c>
      <c r="C271" s="18" t="s">
        <v>1334</v>
      </c>
      <c r="D271" s="22" t="s">
        <v>907</v>
      </c>
      <c r="E271" s="23" t="s">
        <v>948</v>
      </c>
    </row>
    <row r="272" spans="1:7" x14ac:dyDescent="0.3">
      <c r="A272">
        <v>271</v>
      </c>
      <c r="B272" s="18" t="s">
        <v>946</v>
      </c>
      <c r="C272" s="18" t="s">
        <v>1335</v>
      </c>
      <c r="D272" s="22" t="s">
        <v>1336</v>
      </c>
      <c r="E272" s="23" t="s">
        <v>961</v>
      </c>
      <c r="F272" s="23" t="s">
        <v>1337</v>
      </c>
      <c r="G272" s="23" t="s">
        <v>941</v>
      </c>
    </row>
    <row r="273" spans="1:6" x14ac:dyDescent="0.3">
      <c r="A273">
        <v>272</v>
      </c>
      <c r="B273" s="18" t="s">
        <v>946</v>
      </c>
      <c r="C273" s="18" t="s">
        <v>1339</v>
      </c>
      <c r="D273" s="22" t="s">
        <v>1149</v>
      </c>
      <c r="E273" s="23" t="s">
        <v>911</v>
      </c>
    </row>
    <row r="274" spans="1:6" x14ac:dyDescent="0.3">
      <c r="A274">
        <v>273</v>
      </c>
      <c r="B274" s="18" t="s">
        <v>946</v>
      </c>
      <c r="C274" s="18" t="s">
        <v>1340</v>
      </c>
      <c r="D274" s="22" t="s">
        <v>907</v>
      </c>
      <c r="E274" s="23" t="s">
        <v>948</v>
      </c>
    </row>
    <row r="275" spans="1:6" x14ac:dyDescent="0.3">
      <c r="A275">
        <v>274</v>
      </c>
      <c r="B275" s="18" t="s">
        <v>946</v>
      </c>
      <c r="C275" s="18" t="s">
        <v>1341</v>
      </c>
      <c r="D275" s="22" t="s">
        <v>907</v>
      </c>
      <c r="E275" s="23" t="s">
        <v>948</v>
      </c>
    </row>
    <row r="276" spans="1:6" x14ac:dyDescent="0.3">
      <c r="A276">
        <v>275</v>
      </c>
      <c r="B276" s="18" t="s">
        <v>949</v>
      </c>
      <c r="C276" s="18" t="s">
        <v>950</v>
      </c>
      <c r="D276" s="22" t="s">
        <v>951</v>
      </c>
      <c r="E276" s="23" t="s">
        <v>911</v>
      </c>
      <c r="F276" s="23" t="s">
        <v>948</v>
      </c>
    </row>
    <row r="277" spans="1:6" x14ac:dyDescent="0.3">
      <c r="A277">
        <v>276</v>
      </c>
      <c r="B277" s="18" t="s">
        <v>949</v>
      </c>
      <c r="C277" s="18" t="s">
        <v>952</v>
      </c>
      <c r="D277" s="22" t="s">
        <v>907</v>
      </c>
    </row>
    <row r="278" spans="1:6" x14ac:dyDescent="0.3">
      <c r="A278">
        <v>277</v>
      </c>
      <c r="B278" s="18" t="s">
        <v>949</v>
      </c>
      <c r="C278" s="18" t="s">
        <v>1342</v>
      </c>
      <c r="D278" s="22" t="s">
        <v>1053</v>
      </c>
      <c r="E278" s="23" t="s">
        <v>961</v>
      </c>
      <c r="F278" s="23" t="s">
        <v>1055</v>
      </c>
    </row>
    <row r="279" spans="1:6" x14ac:dyDescent="0.3">
      <c r="A279">
        <v>278</v>
      </c>
      <c r="B279" s="18" t="s">
        <v>949</v>
      </c>
      <c r="C279" s="18" t="s">
        <v>1343</v>
      </c>
      <c r="D279" s="22" t="s">
        <v>1054</v>
      </c>
      <c r="E279" s="23" t="s">
        <v>1055</v>
      </c>
    </row>
    <row r="280" spans="1:6" x14ac:dyDescent="0.3">
      <c r="A280">
        <v>279</v>
      </c>
      <c r="B280" s="18" t="s">
        <v>949</v>
      </c>
      <c r="C280" s="18" t="s">
        <v>1344</v>
      </c>
      <c r="D280" s="22" t="s">
        <v>907</v>
      </c>
      <c r="E280" s="23" t="s">
        <v>948</v>
      </c>
    </row>
    <row r="281" spans="1:6" x14ac:dyDescent="0.3">
      <c r="A281">
        <v>280</v>
      </c>
      <c r="B281" s="18" t="s">
        <v>949</v>
      </c>
      <c r="C281" s="18" t="s">
        <v>1345</v>
      </c>
      <c r="D281" s="22" t="s">
        <v>907</v>
      </c>
      <c r="E281" s="23" t="s">
        <v>948</v>
      </c>
    </row>
    <row r="282" spans="1:6" x14ac:dyDescent="0.3">
      <c r="A282">
        <v>281</v>
      </c>
      <c r="B282" s="18" t="s">
        <v>949</v>
      </c>
      <c r="C282" s="18" t="s">
        <v>1346</v>
      </c>
      <c r="D282" s="22" t="s">
        <v>907</v>
      </c>
      <c r="E282" s="23" t="s">
        <v>941</v>
      </c>
    </row>
    <row r="283" spans="1:6" x14ac:dyDescent="0.3">
      <c r="A283">
        <v>282</v>
      </c>
      <c r="B283" s="18" t="s">
        <v>949</v>
      </c>
      <c r="C283" s="18" t="s">
        <v>1347</v>
      </c>
      <c r="D283" s="22" t="s">
        <v>907</v>
      </c>
    </row>
    <row r="284" spans="1:6" x14ac:dyDescent="0.3">
      <c r="A284">
        <v>283</v>
      </c>
      <c r="B284" s="18" t="s">
        <v>949</v>
      </c>
      <c r="C284" s="18" t="s">
        <v>1348</v>
      </c>
      <c r="D284" s="22" t="s">
        <v>907</v>
      </c>
      <c r="E284" s="23" t="s">
        <v>948</v>
      </c>
    </row>
    <row r="285" spans="1:6" x14ac:dyDescent="0.3">
      <c r="A285">
        <v>284</v>
      </c>
      <c r="B285" s="18" t="s">
        <v>949</v>
      </c>
      <c r="C285" s="18" t="s">
        <v>1349</v>
      </c>
      <c r="D285" s="22" t="s">
        <v>907</v>
      </c>
    </row>
    <row r="286" spans="1:6" x14ac:dyDescent="0.3">
      <c r="A286">
        <v>285</v>
      </c>
      <c r="B286" s="18" t="s">
        <v>949</v>
      </c>
      <c r="C286" s="18" t="s">
        <v>1350</v>
      </c>
      <c r="D286" s="22" t="s">
        <v>907</v>
      </c>
      <c r="E286" s="23" t="s">
        <v>948</v>
      </c>
    </row>
    <row r="287" spans="1:6" x14ac:dyDescent="0.3">
      <c r="A287">
        <v>286</v>
      </c>
      <c r="B287" s="18" t="s">
        <v>949</v>
      </c>
      <c r="C287" s="18" t="s">
        <v>1351</v>
      </c>
      <c r="D287" s="22" t="s">
        <v>951</v>
      </c>
      <c r="E287" s="23" t="s">
        <v>907</v>
      </c>
    </row>
    <row r="288" spans="1:6" x14ac:dyDescent="0.3">
      <c r="A288">
        <v>287</v>
      </c>
      <c r="B288" s="18" t="s">
        <v>949</v>
      </c>
      <c r="C288" s="18" t="s">
        <v>1352</v>
      </c>
      <c r="D288" s="22" t="s">
        <v>907</v>
      </c>
      <c r="E288" s="23" t="s">
        <v>948</v>
      </c>
    </row>
    <row r="289" spans="1:6" x14ac:dyDescent="0.3">
      <c r="A289">
        <v>288</v>
      </c>
      <c r="B289" s="18" t="s">
        <v>954</v>
      </c>
      <c r="C289" s="18" t="s">
        <v>1353</v>
      </c>
      <c r="D289" s="22" t="s">
        <v>907</v>
      </c>
    </row>
    <row r="290" spans="1:6" x14ac:dyDescent="0.3">
      <c r="A290">
        <v>289</v>
      </c>
      <c r="B290" s="18" t="s">
        <v>954</v>
      </c>
      <c r="C290" s="18" t="s">
        <v>1354</v>
      </c>
      <c r="D290" s="22" t="s">
        <v>907</v>
      </c>
    </row>
    <row r="291" spans="1:6" x14ac:dyDescent="0.3">
      <c r="A291">
        <v>290</v>
      </c>
      <c r="B291" s="18" t="s">
        <v>954</v>
      </c>
      <c r="C291" s="18" t="s">
        <v>1355</v>
      </c>
      <c r="D291" s="22" t="s">
        <v>1055</v>
      </c>
      <c r="E291" s="23" t="s">
        <v>911</v>
      </c>
    </row>
    <row r="292" spans="1:6" x14ac:dyDescent="0.3">
      <c r="A292">
        <v>291</v>
      </c>
      <c r="B292" s="18" t="s">
        <v>954</v>
      </c>
      <c r="C292" s="18" t="s">
        <v>953</v>
      </c>
      <c r="D292" s="22" t="s">
        <v>907</v>
      </c>
      <c r="E292" s="23" t="s">
        <v>941</v>
      </c>
    </row>
    <row r="293" spans="1:6" x14ac:dyDescent="0.3">
      <c r="A293">
        <v>292</v>
      </c>
      <c r="B293" s="18" t="s">
        <v>954</v>
      </c>
      <c r="C293" s="18" t="s">
        <v>1356</v>
      </c>
      <c r="D293" s="22" t="s">
        <v>907</v>
      </c>
      <c r="E293" s="23" t="s">
        <v>948</v>
      </c>
    </row>
    <row r="294" spans="1:6" x14ac:dyDescent="0.3">
      <c r="A294">
        <v>293</v>
      </c>
      <c r="B294" s="18" t="s">
        <v>954</v>
      </c>
      <c r="C294" s="18" t="s">
        <v>1357</v>
      </c>
      <c r="D294" s="22" t="s">
        <v>907</v>
      </c>
      <c r="E294" s="23" t="s">
        <v>941</v>
      </c>
    </row>
    <row r="295" spans="1:6" x14ac:dyDescent="0.3">
      <c r="A295">
        <v>294</v>
      </c>
      <c r="B295" s="18" t="s">
        <v>954</v>
      </c>
      <c r="C295" s="18" t="s">
        <v>1358</v>
      </c>
      <c r="D295" s="22" t="s">
        <v>1166</v>
      </c>
      <c r="E295" s="23" t="s">
        <v>911</v>
      </c>
      <c r="F295" s="23" t="s">
        <v>1078</v>
      </c>
    </row>
    <row r="296" spans="1:6" x14ac:dyDescent="0.3">
      <c r="A296">
        <v>295</v>
      </c>
      <c r="B296" s="18" t="s">
        <v>954</v>
      </c>
      <c r="C296" s="18" t="s">
        <v>1359</v>
      </c>
      <c r="D296" s="22" t="s">
        <v>1166</v>
      </c>
      <c r="E296" s="23" t="s">
        <v>911</v>
      </c>
      <c r="F296" s="23" t="s">
        <v>1078</v>
      </c>
    </row>
    <row r="297" spans="1:6" x14ac:dyDescent="0.3">
      <c r="A297">
        <v>296</v>
      </c>
      <c r="B297" s="18" t="s">
        <v>1076</v>
      </c>
      <c r="C297" s="18" t="s">
        <v>1360</v>
      </c>
      <c r="D297" s="22" t="s">
        <v>907</v>
      </c>
    </row>
    <row r="298" spans="1:6" x14ac:dyDescent="0.3">
      <c r="A298">
        <v>297</v>
      </c>
      <c r="B298" s="18" t="s">
        <v>1076</v>
      </c>
      <c r="C298" s="18" t="s">
        <v>1361</v>
      </c>
      <c r="D298" s="22" t="s">
        <v>1054</v>
      </c>
      <c r="E298" s="23" t="s">
        <v>948</v>
      </c>
      <c r="F298" s="23" t="s">
        <v>1078</v>
      </c>
    </row>
    <row r="299" spans="1:6" x14ac:dyDescent="0.3">
      <c r="A299">
        <v>298</v>
      </c>
      <c r="B299" s="18" t="s">
        <v>1076</v>
      </c>
      <c r="C299" s="18" t="s">
        <v>1362</v>
      </c>
      <c r="D299" s="22" t="s">
        <v>1054</v>
      </c>
      <c r="E299" s="23" t="s">
        <v>948</v>
      </c>
      <c r="F299" s="23" t="s">
        <v>1078</v>
      </c>
    </row>
    <row r="300" spans="1:6" x14ac:dyDescent="0.3">
      <c r="A300">
        <v>299</v>
      </c>
      <c r="B300" s="18" t="s">
        <v>1076</v>
      </c>
      <c r="C300" s="18" t="s">
        <v>1153</v>
      </c>
      <c r="D300" s="22" t="s">
        <v>1166</v>
      </c>
      <c r="E300" s="23" t="s">
        <v>911</v>
      </c>
      <c r="F300" s="23" t="s">
        <v>1078</v>
      </c>
    </row>
    <row r="301" spans="1:6" x14ac:dyDescent="0.3">
      <c r="A301">
        <v>300</v>
      </c>
      <c r="B301" s="18" t="s">
        <v>1076</v>
      </c>
      <c r="C301" s="18" t="s">
        <v>1363</v>
      </c>
      <c r="D301" s="22" t="s">
        <v>1166</v>
      </c>
      <c r="E301" s="23" t="s">
        <v>911</v>
      </c>
      <c r="F301" s="23" t="s">
        <v>1078</v>
      </c>
    </row>
    <row r="302" spans="1:6" x14ac:dyDescent="0.3">
      <c r="A302">
        <v>301</v>
      </c>
      <c r="B302" s="18" t="s">
        <v>1076</v>
      </c>
      <c r="C302" s="18" t="s">
        <v>1364</v>
      </c>
      <c r="D302" s="22" t="s">
        <v>907</v>
      </c>
      <c r="E302" s="23" t="s">
        <v>941</v>
      </c>
    </row>
    <row r="303" spans="1:6" x14ac:dyDescent="0.3">
      <c r="A303">
        <v>302</v>
      </c>
      <c r="B303" s="18" t="s">
        <v>1087</v>
      </c>
      <c r="C303" s="18" t="s">
        <v>1365</v>
      </c>
      <c r="D303" s="22" t="s">
        <v>1054</v>
      </c>
      <c r="E303" s="23" t="s">
        <v>941</v>
      </c>
      <c r="F303" s="23" t="s">
        <v>1080</v>
      </c>
    </row>
    <row r="304" spans="1:6" x14ac:dyDescent="0.3">
      <c r="A304">
        <v>303</v>
      </c>
      <c r="B304" s="18" t="s">
        <v>1087</v>
      </c>
      <c r="C304" s="18" t="s">
        <v>1366</v>
      </c>
      <c r="D304" s="22" t="s">
        <v>1054</v>
      </c>
      <c r="E304" s="23" t="s">
        <v>948</v>
      </c>
      <c r="F304" s="23" t="s">
        <v>1078</v>
      </c>
    </row>
    <row r="305" spans="1:6" x14ac:dyDescent="0.3">
      <c r="A305">
        <v>304</v>
      </c>
      <c r="B305" s="18" t="s">
        <v>1087</v>
      </c>
      <c r="C305" s="18" t="s">
        <v>1367</v>
      </c>
      <c r="D305" s="22" t="s">
        <v>907</v>
      </c>
    </row>
    <row r="306" spans="1:6" x14ac:dyDescent="0.3">
      <c r="A306">
        <v>305</v>
      </c>
      <c r="B306" s="18" t="s">
        <v>1087</v>
      </c>
      <c r="C306" s="18" t="s">
        <v>1368</v>
      </c>
      <c r="D306" s="22" t="s">
        <v>907</v>
      </c>
    </row>
    <row r="307" spans="1:6" x14ac:dyDescent="0.3">
      <c r="A307">
        <v>306</v>
      </c>
      <c r="B307" s="18" t="s">
        <v>1081</v>
      </c>
      <c r="C307" s="18" t="s">
        <v>955</v>
      </c>
      <c r="D307" s="22" t="s">
        <v>907</v>
      </c>
    </row>
    <row r="308" spans="1:6" x14ac:dyDescent="0.3">
      <c r="A308">
        <v>307</v>
      </c>
      <c r="B308" s="18" t="s">
        <v>1081</v>
      </c>
      <c r="C308" s="18" t="s">
        <v>1369</v>
      </c>
      <c r="D308" s="22" t="s">
        <v>907</v>
      </c>
    </row>
    <row r="309" spans="1:6" x14ac:dyDescent="0.3">
      <c r="A309">
        <v>308</v>
      </c>
      <c r="B309" s="18" t="s">
        <v>1081</v>
      </c>
      <c r="C309" s="18" t="s">
        <v>1370</v>
      </c>
      <c r="D309" s="22" t="s">
        <v>907</v>
      </c>
    </row>
    <row r="310" spans="1:6" x14ac:dyDescent="0.3">
      <c r="A310">
        <v>309</v>
      </c>
      <c r="B310" s="18" t="s">
        <v>1081</v>
      </c>
      <c r="C310" s="18" t="s">
        <v>1371</v>
      </c>
      <c r="D310" s="22" t="s">
        <v>907</v>
      </c>
    </row>
    <row r="311" spans="1:6" x14ac:dyDescent="0.3">
      <c r="A311">
        <v>310</v>
      </c>
      <c r="B311" s="18" t="s">
        <v>1372</v>
      </c>
      <c r="C311" s="18" t="s">
        <v>1373</v>
      </c>
      <c r="D311" s="22" t="s">
        <v>907</v>
      </c>
    </row>
    <row r="312" spans="1:6" x14ac:dyDescent="0.3">
      <c r="A312">
        <v>311</v>
      </c>
      <c r="B312" s="18" t="s">
        <v>902</v>
      </c>
      <c r="C312" s="18" t="s">
        <v>1374</v>
      </c>
      <c r="D312" s="22" t="s">
        <v>1054</v>
      </c>
      <c r="E312" s="23" t="s">
        <v>1375</v>
      </c>
    </row>
    <row r="313" spans="1:6" x14ac:dyDescent="0.3">
      <c r="A313">
        <v>312</v>
      </c>
      <c r="B313" s="18" t="s">
        <v>1029</v>
      </c>
      <c r="C313" s="18" t="s">
        <v>1376</v>
      </c>
      <c r="D313" s="22" t="s">
        <v>907</v>
      </c>
    </row>
    <row r="314" spans="1:6" x14ac:dyDescent="0.3">
      <c r="A314">
        <v>313</v>
      </c>
      <c r="B314" s="18" t="s">
        <v>1029</v>
      </c>
      <c r="C314" s="18" t="s">
        <v>1377</v>
      </c>
      <c r="D314" s="22" t="s">
        <v>907</v>
      </c>
    </row>
    <row r="315" spans="1:6" x14ac:dyDescent="0.3">
      <c r="A315">
        <v>314</v>
      </c>
      <c r="B315" s="18" t="s">
        <v>1029</v>
      </c>
      <c r="C315" s="18" t="s">
        <v>1378</v>
      </c>
      <c r="D315" s="22" t="s">
        <v>907</v>
      </c>
    </row>
    <row r="316" spans="1:6" x14ac:dyDescent="0.3">
      <c r="A316">
        <v>315</v>
      </c>
      <c r="B316" s="18" t="s">
        <v>1029</v>
      </c>
      <c r="C316" s="18" t="s">
        <v>1379</v>
      </c>
      <c r="D316" s="22" t="s">
        <v>907</v>
      </c>
    </row>
    <row r="317" spans="1:6" x14ac:dyDescent="0.3">
      <c r="A317">
        <v>316</v>
      </c>
      <c r="B317" s="18" t="s">
        <v>913</v>
      </c>
      <c r="C317" s="18" t="s">
        <v>1380</v>
      </c>
      <c r="D317" s="22" t="s">
        <v>907</v>
      </c>
    </row>
    <row r="318" spans="1:6" x14ac:dyDescent="0.3">
      <c r="A318">
        <v>317</v>
      </c>
      <c r="B318" s="18" t="s">
        <v>913</v>
      </c>
      <c r="C318" s="18" t="s">
        <v>1381</v>
      </c>
      <c r="D318" s="22" t="s">
        <v>907</v>
      </c>
    </row>
    <row r="319" spans="1:6" x14ac:dyDescent="0.3">
      <c r="A319">
        <v>318</v>
      </c>
      <c r="B319" s="18" t="s">
        <v>913</v>
      </c>
      <c r="C319" s="18" t="s">
        <v>1382</v>
      </c>
      <c r="D319" s="22" t="s">
        <v>907</v>
      </c>
    </row>
    <row r="320" spans="1:6" x14ac:dyDescent="0.3">
      <c r="A320">
        <v>319</v>
      </c>
      <c r="B320" s="18" t="s">
        <v>926</v>
      </c>
      <c r="C320" s="18" t="s">
        <v>1383</v>
      </c>
      <c r="D320" s="22" t="s">
        <v>1054</v>
      </c>
      <c r="E320" s="23" t="s">
        <v>1384</v>
      </c>
      <c r="F320" s="23" t="s">
        <v>922</v>
      </c>
    </row>
    <row r="321" spans="1:7" x14ac:dyDescent="0.3">
      <c r="A321">
        <v>320</v>
      </c>
      <c r="B321" s="18" t="s">
        <v>946</v>
      </c>
      <c r="C321" s="18" t="s">
        <v>1385</v>
      </c>
      <c r="D321" s="22" t="s">
        <v>907</v>
      </c>
    </row>
    <row r="322" spans="1:7" x14ac:dyDescent="0.3">
      <c r="A322">
        <v>321</v>
      </c>
      <c r="B322" s="18" t="s">
        <v>902</v>
      </c>
      <c r="C322" s="18" t="s">
        <v>1386</v>
      </c>
      <c r="D322" s="22" t="s">
        <v>1196</v>
      </c>
      <c r="E322" s="23" t="s">
        <v>1387</v>
      </c>
      <c r="F322" s="23" t="s">
        <v>1197</v>
      </c>
      <c r="G322" s="23" t="s">
        <v>907</v>
      </c>
    </row>
    <row r="323" spans="1:7" x14ac:dyDescent="0.3">
      <c r="A323">
        <v>322</v>
      </c>
      <c r="B323" s="18" t="s">
        <v>902</v>
      </c>
      <c r="C323" s="18" t="s">
        <v>1388</v>
      </c>
      <c r="D323" s="22" t="s">
        <v>904</v>
      </c>
      <c r="E323" s="23" t="s">
        <v>907</v>
      </c>
    </row>
    <row r="324" spans="1:7" x14ac:dyDescent="0.3">
      <c r="A324">
        <v>323</v>
      </c>
      <c r="B324" s="18" t="s">
        <v>902</v>
      </c>
      <c r="C324" s="18" t="s">
        <v>1389</v>
      </c>
      <c r="D324" s="22" t="s">
        <v>904</v>
      </c>
      <c r="E324" s="23" t="s">
        <v>907</v>
      </c>
    </row>
    <row r="325" spans="1:7" x14ac:dyDescent="0.3">
      <c r="A325">
        <v>324</v>
      </c>
      <c r="B325" s="18" t="s">
        <v>902</v>
      </c>
      <c r="C325" s="18" t="s">
        <v>1390</v>
      </c>
      <c r="D325" s="22" t="s">
        <v>904</v>
      </c>
      <c r="E325" s="23" t="s">
        <v>907</v>
      </c>
    </row>
    <row r="326" spans="1:7" x14ac:dyDescent="0.3">
      <c r="A326">
        <v>325</v>
      </c>
      <c r="B326" s="18" t="s">
        <v>902</v>
      </c>
      <c r="C326" s="18" t="s">
        <v>1391</v>
      </c>
      <c r="D326" s="22" t="s">
        <v>904</v>
      </c>
      <c r="E326" s="23" t="s">
        <v>972</v>
      </c>
      <c r="F326" s="23" t="s">
        <v>973</v>
      </c>
      <c r="G326" s="23" t="s">
        <v>907</v>
      </c>
    </row>
    <row r="327" spans="1:7" x14ac:dyDescent="0.3">
      <c r="A327">
        <v>326</v>
      </c>
      <c r="B327" s="18" t="s">
        <v>902</v>
      </c>
      <c r="C327" s="18" t="s">
        <v>1392</v>
      </c>
      <c r="D327" s="22" t="s">
        <v>904</v>
      </c>
      <c r="E327" s="23" t="s">
        <v>907</v>
      </c>
    </row>
    <row r="328" spans="1:7" x14ac:dyDescent="0.3">
      <c r="A328">
        <v>327</v>
      </c>
      <c r="B328" s="18" t="s">
        <v>902</v>
      </c>
      <c r="C328" s="18" t="s">
        <v>1393</v>
      </c>
      <c r="D328" s="22" t="s">
        <v>904</v>
      </c>
      <c r="E328" s="23" t="s">
        <v>907</v>
      </c>
    </row>
    <row r="329" spans="1:7" x14ac:dyDescent="0.3">
      <c r="A329">
        <v>328</v>
      </c>
      <c r="B329" s="18" t="s">
        <v>902</v>
      </c>
      <c r="C329" s="18" t="s">
        <v>1394</v>
      </c>
      <c r="D329" s="22" t="s">
        <v>904</v>
      </c>
      <c r="E329" s="23" t="s">
        <v>907</v>
      </c>
    </row>
    <row r="330" spans="1:7" x14ac:dyDescent="0.3">
      <c r="A330">
        <v>329</v>
      </c>
      <c r="B330" s="18" t="s">
        <v>902</v>
      </c>
      <c r="C330" s="18" t="s">
        <v>1395</v>
      </c>
      <c r="D330" s="22" t="s">
        <v>1396</v>
      </c>
      <c r="E330" s="23" t="s">
        <v>1397</v>
      </c>
      <c r="F330" s="23" t="s">
        <v>1398</v>
      </c>
      <c r="G330" s="23" t="s">
        <v>907</v>
      </c>
    </row>
    <row r="331" spans="1:7" x14ac:dyDescent="0.3">
      <c r="A331">
        <v>330</v>
      </c>
      <c r="B331" s="18" t="s">
        <v>902</v>
      </c>
      <c r="C331" s="18" t="s">
        <v>1399</v>
      </c>
      <c r="D331" s="22" t="s">
        <v>960</v>
      </c>
      <c r="E331" s="23" t="s">
        <v>961</v>
      </c>
      <c r="F331" s="23" t="s">
        <v>962</v>
      </c>
    </row>
    <row r="332" spans="1:7" x14ac:dyDescent="0.3">
      <c r="A332">
        <v>331</v>
      </c>
      <c r="B332" s="18" t="s">
        <v>902</v>
      </c>
      <c r="C332" s="18" t="s">
        <v>1400</v>
      </c>
      <c r="D332" s="22" t="s">
        <v>1099</v>
      </c>
      <c r="E332" s="23" t="s">
        <v>1401</v>
      </c>
      <c r="F332" s="23" t="s">
        <v>907</v>
      </c>
    </row>
    <row r="333" spans="1:7" x14ac:dyDescent="0.3">
      <c r="A333">
        <v>332</v>
      </c>
      <c r="B333" s="18" t="s">
        <v>902</v>
      </c>
      <c r="C333" s="18" t="s">
        <v>1402</v>
      </c>
      <c r="D333" s="22" t="s">
        <v>1106</v>
      </c>
      <c r="E333" s="23" t="s">
        <v>907</v>
      </c>
    </row>
    <row r="334" spans="1:7" x14ac:dyDescent="0.3">
      <c r="A334">
        <v>333</v>
      </c>
      <c r="B334" s="18" t="s">
        <v>902</v>
      </c>
      <c r="C334" s="18" t="s">
        <v>1403</v>
      </c>
      <c r="D334" s="22" t="s">
        <v>1404</v>
      </c>
      <c r="E334" s="23" t="s">
        <v>907</v>
      </c>
    </row>
    <row r="335" spans="1:7" x14ac:dyDescent="0.3">
      <c r="A335">
        <v>334</v>
      </c>
      <c r="B335" s="18" t="s">
        <v>902</v>
      </c>
      <c r="C335" s="18" t="s">
        <v>1406</v>
      </c>
      <c r="D335" s="22" t="s">
        <v>1405</v>
      </c>
    </row>
    <row r="336" spans="1:7" x14ac:dyDescent="0.3">
      <c r="A336">
        <v>335</v>
      </c>
      <c r="B336" s="18" t="s">
        <v>902</v>
      </c>
      <c r="C336" s="18" t="s">
        <v>1407</v>
      </c>
      <c r="D336" s="22" t="s">
        <v>904</v>
      </c>
      <c r="E336" s="23" t="s">
        <v>907</v>
      </c>
    </row>
    <row r="337" spans="1:5" x14ac:dyDescent="0.3">
      <c r="A337">
        <v>336</v>
      </c>
      <c r="B337" s="18" t="s">
        <v>902</v>
      </c>
      <c r="C337" s="18" t="s">
        <v>1408</v>
      </c>
      <c r="D337" s="22" t="s">
        <v>1099</v>
      </c>
      <c r="E337" s="23" t="s">
        <v>907</v>
      </c>
    </row>
    <row r="338" spans="1:5" x14ac:dyDescent="0.3">
      <c r="A338">
        <v>337</v>
      </c>
      <c r="B338" s="18" t="s">
        <v>908</v>
      </c>
      <c r="C338" s="18" t="s">
        <v>1409</v>
      </c>
      <c r="D338" s="22" t="s">
        <v>904</v>
      </c>
      <c r="E338" s="23" t="s">
        <v>907</v>
      </c>
    </row>
    <row r="339" spans="1:5" x14ac:dyDescent="0.3">
      <c r="A339">
        <v>338</v>
      </c>
      <c r="B339" s="18" t="s">
        <v>908</v>
      </c>
      <c r="C339" s="18" t="s">
        <v>1410</v>
      </c>
      <c r="D339" s="22" t="s">
        <v>904</v>
      </c>
      <c r="E339" s="23" t="s">
        <v>907</v>
      </c>
    </row>
    <row r="340" spans="1:5" x14ac:dyDescent="0.3">
      <c r="A340">
        <v>339</v>
      </c>
      <c r="B340" s="18" t="s">
        <v>908</v>
      </c>
      <c r="C340" s="18" t="s">
        <v>1411</v>
      </c>
      <c r="D340" s="22" t="s">
        <v>1054</v>
      </c>
      <c r="E340" s="23" t="s">
        <v>1412</v>
      </c>
    </row>
    <row r="341" spans="1:5" x14ac:dyDescent="0.3">
      <c r="A341">
        <v>340</v>
      </c>
      <c r="B341" s="18" t="s">
        <v>908</v>
      </c>
      <c r="C341" s="18" t="s">
        <v>1413</v>
      </c>
      <c r="D341" s="22" t="s">
        <v>904</v>
      </c>
      <c r="E341" s="23" t="s">
        <v>907</v>
      </c>
    </row>
    <row r="342" spans="1:5" x14ac:dyDescent="0.3">
      <c r="A342">
        <v>341</v>
      </c>
      <c r="B342" s="18" t="s">
        <v>908</v>
      </c>
      <c r="C342" s="18" t="s">
        <v>1414</v>
      </c>
      <c r="D342" s="22" t="s">
        <v>904</v>
      </c>
      <c r="E342" s="23" t="s">
        <v>907</v>
      </c>
    </row>
    <row r="343" spans="1:5" x14ac:dyDescent="0.3">
      <c r="A343">
        <v>342</v>
      </c>
      <c r="B343" s="18" t="s">
        <v>908</v>
      </c>
      <c r="C343" s="18" t="s">
        <v>1415</v>
      </c>
      <c r="D343" s="22" t="s">
        <v>1416</v>
      </c>
      <c r="E343" s="23" t="s">
        <v>907</v>
      </c>
    </row>
    <row r="344" spans="1:5" x14ac:dyDescent="0.3">
      <c r="A344">
        <v>343</v>
      </c>
      <c r="B344" s="18" t="s">
        <v>908</v>
      </c>
      <c r="C344" s="18" t="s">
        <v>1174</v>
      </c>
      <c r="D344" s="22" t="s">
        <v>904</v>
      </c>
      <c r="E344" s="23" t="s">
        <v>907</v>
      </c>
    </row>
    <row r="345" spans="1:5" x14ac:dyDescent="0.3">
      <c r="A345">
        <v>344</v>
      </c>
      <c r="B345" s="18" t="s">
        <v>908</v>
      </c>
      <c r="C345" s="18" t="s">
        <v>1417</v>
      </c>
      <c r="D345" s="22" t="s">
        <v>904</v>
      </c>
      <c r="E345" s="23" t="s">
        <v>907</v>
      </c>
    </row>
    <row r="346" spans="1:5" x14ac:dyDescent="0.3">
      <c r="A346">
        <v>345</v>
      </c>
      <c r="B346" s="18" t="s">
        <v>908</v>
      </c>
      <c r="C346" s="18" t="s">
        <v>1418</v>
      </c>
      <c r="D346" s="22" t="s">
        <v>1000</v>
      </c>
      <c r="E346" s="23" t="s">
        <v>907</v>
      </c>
    </row>
    <row r="347" spans="1:5" x14ac:dyDescent="0.3">
      <c r="A347">
        <v>346</v>
      </c>
      <c r="B347" s="18" t="s">
        <v>908</v>
      </c>
      <c r="C347" s="18" t="s">
        <v>1419</v>
      </c>
      <c r="D347" s="22" t="s">
        <v>1000</v>
      </c>
      <c r="E347" s="23" t="s">
        <v>907</v>
      </c>
    </row>
    <row r="348" spans="1:5" x14ac:dyDescent="0.3">
      <c r="A348">
        <v>347</v>
      </c>
      <c r="B348" s="18" t="s">
        <v>908</v>
      </c>
      <c r="C348" s="18" t="s">
        <v>1420</v>
      </c>
      <c r="D348" s="22" t="s">
        <v>1010</v>
      </c>
      <c r="E348" s="23" t="s">
        <v>907</v>
      </c>
    </row>
    <row r="349" spans="1:5" x14ac:dyDescent="0.3">
      <c r="A349">
        <v>348</v>
      </c>
      <c r="B349" s="18" t="s">
        <v>977</v>
      </c>
      <c r="C349" s="18" t="s">
        <v>1421</v>
      </c>
      <c r="D349" s="22" t="s">
        <v>1037</v>
      </c>
      <c r="E349" s="23" t="s">
        <v>907</v>
      </c>
    </row>
    <row r="350" spans="1:5" x14ac:dyDescent="0.3">
      <c r="A350">
        <v>349</v>
      </c>
      <c r="B350" s="18" t="s">
        <v>977</v>
      </c>
      <c r="C350" s="18" t="s">
        <v>1422</v>
      </c>
      <c r="D350" s="22" t="s">
        <v>1037</v>
      </c>
      <c r="E350" s="23" t="s">
        <v>907</v>
      </c>
    </row>
    <row r="351" spans="1:5" x14ac:dyDescent="0.3">
      <c r="A351">
        <v>350</v>
      </c>
      <c r="B351" s="18" t="s">
        <v>977</v>
      </c>
      <c r="C351" s="18" t="s">
        <v>1423</v>
      </c>
      <c r="D351" s="22" t="s">
        <v>1054</v>
      </c>
      <c r="E351" s="23" t="s">
        <v>1424</v>
      </c>
    </row>
    <row r="352" spans="1:5" x14ac:dyDescent="0.3">
      <c r="A352">
        <v>351</v>
      </c>
      <c r="B352" s="18" t="s">
        <v>977</v>
      </c>
      <c r="C352" s="18" t="s">
        <v>1425</v>
      </c>
      <c r="D352" s="22" t="s">
        <v>1054</v>
      </c>
      <c r="E352" s="23" t="s">
        <v>1121</v>
      </c>
    </row>
    <row r="353" spans="1:6" x14ac:dyDescent="0.3">
      <c r="A353">
        <v>352</v>
      </c>
      <c r="B353" s="18" t="s">
        <v>977</v>
      </c>
      <c r="C353" s="18" t="s">
        <v>1426</v>
      </c>
      <c r="D353" s="22" t="s">
        <v>1054</v>
      </c>
      <c r="E353" s="23" t="s">
        <v>1427</v>
      </c>
    </row>
    <row r="354" spans="1:6" x14ac:dyDescent="0.3">
      <c r="A354">
        <v>353</v>
      </c>
      <c r="B354" s="18" t="s">
        <v>1029</v>
      </c>
      <c r="C354" s="18" t="s">
        <v>1428</v>
      </c>
      <c r="D354" s="22" t="s">
        <v>1035</v>
      </c>
      <c r="E354" s="23" t="s">
        <v>907</v>
      </c>
    </row>
    <row r="355" spans="1:6" x14ac:dyDescent="0.3">
      <c r="A355">
        <v>354</v>
      </c>
      <c r="B355" s="18" t="s">
        <v>1029</v>
      </c>
      <c r="C355" s="18" t="s">
        <v>1429</v>
      </c>
      <c r="D355" s="22" t="s">
        <v>1032</v>
      </c>
      <c r="E355" s="23" t="s">
        <v>907</v>
      </c>
    </row>
    <row r="356" spans="1:6" x14ac:dyDescent="0.3">
      <c r="A356">
        <v>355</v>
      </c>
      <c r="B356" s="18" t="s">
        <v>913</v>
      </c>
      <c r="C356" s="18" t="s">
        <v>1430</v>
      </c>
      <c r="D356" s="22" t="s">
        <v>1012</v>
      </c>
      <c r="E356" s="23" t="s">
        <v>907</v>
      </c>
    </row>
    <row r="357" spans="1:6" x14ac:dyDescent="0.3">
      <c r="A357">
        <v>356</v>
      </c>
      <c r="B357" s="18" t="s">
        <v>913</v>
      </c>
      <c r="C357" s="18" t="s">
        <v>1431</v>
      </c>
      <c r="D357" s="22" t="s">
        <v>907</v>
      </c>
    </row>
    <row r="358" spans="1:6" x14ac:dyDescent="0.3">
      <c r="A358">
        <v>357</v>
      </c>
      <c r="B358" s="18" t="s">
        <v>926</v>
      </c>
      <c r="C358" s="18" t="s">
        <v>1432</v>
      </c>
      <c r="D358" s="22" t="s">
        <v>1433</v>
      </c>
      <c r="E358" s="23" t="s">
        <v>907</v>
      </c>
    </row>
    <row r="359" spans="1:6" x14ac:dyDescent="0.3">
      <c r="A359">
        <v>358</v>
      </c>
      <c r="B359" s="18" t="s">
        <v>935</v>
      </c>
      <c r="C359" s="18" t="s">
        <v>1434</v>
      </c>
      <c r="D359" s="22" t="s">
        <v>907</v>
      </c>
    </row>
    <row r="360" spans="1:6" x14ac:dyDescent="0.3">
      <c r="A360">
        <v>359</v>
      </c>
      <c r="B360" s="18" t="s">
        <v>935</v>
      </c>
      <c r="C360" s="18" t="s">
        <v>1435</v>
      </c>
      <c r="D360" s="22" t="s">
        <v>1293</v>
      </c>
      <c r="E360" s="23" t="s">
        <v>961</v>
      </c>
      <c r="F360" s="23" t="s">
        <v>1055</v>
      </c>
    </row>
    <row r="361" spans="1:6" x14ac:dyDescent="0.3">
      <c r="A361">
        <v>360</v>
      </c>
      <c r="B361" s="18" t="s">
        <v>1048</v>
      </c>
      <c r="C361" s="18" t="s">
        <v>1436</v>
      </c>
      <c r="D361" s="22" t="s">
        <v>1293</v>
      </c>
      <c r="E361" s="23" t="s">
        <v>961</v>
      </c>
      <c r="F361" s="23" t="s">
        <v>1055</v>
      </c>
    </row>
    <row r="362" spans="1:6" x14ac:dyDescent="0.3">
      <c r="A362">
        <v>361</v>
      </c>
      <c r="B362" s="18" t="s">
        <v>1048</v>
      </c>
      <c r="C362" s="18" t="s">
        <v>1437</v>
      </c>
      <c r="D362" s="22" t="s">
        <v>1054</v>
      </c>
      <c r="E362" s="23" t="s">
        <v>1055</v>
      </c>
    </row>
    <row r="363" spans="1:6" x14ac:dyDescent="0.3">
      <c r="A363">
        <v>362</v>
      </c>
      <c r="B363" s="18" t="s">
        <v>1048</v>
      </c>
      <c r="C363" s="18" t="s">
        <v>1438</v>
      </c>
      <c r="D363" s="22" t="s">
        <v>917</v>
      </c>
      <c r="E363" s="23" t="s">
        <v>907</v>
      </c>
    </row>
    <row r="364" spans="1:6" x14ac:dyDescent="0.3">
      <c r="A364">
        <v>363</v>
      </c>
      <c r="B364" s="18" t="s">
        <v>944</v>
      </c>
      <c r="C364" s="18" t="s">
        <v>1439</v>
      </c>
      <c r="D364" s="22" t="s">
        <v>907</v>
      </c>
    </row>
    <row r="365" spans="1:6" x14ac:dyDescent="0.3">
      <c r="A365">
        <v>364</v>
      </c>
      <c r="B365" s="18" t="s">
        <v>946</v>
      </c>
      <c r="C365" s="18" t="s">
        <v>1440</v>
      </c>
      <c r="D365" s="22" t="s">
        <v>1053</v>
      </c>
      <c r="E365" s="23" t="s">
        <v>1054</v>
      </c>
      <c r="F365" s="23" t="s">
        <v>1055</v>
      </c>
    </row>
    <row r="366" spans="1:6" x14ac:dyDescent="0.3">
      <c r="A366">
        <v>365</v>
      </c>
      <c r="B366" s="18" t="s">
        <v>949</v>
      </c>
      <c r="C366" s="18" t="s">
        <v>1441</v>
      </c>
      <c r="D366" s="22" t="s">
        <v>1054</v>
      </c>
      <c r="E366" s="23" t="s">
        <v>1055</v>
      </c>
    </row>
    <row r="367" spans="1:6" x14ac:dyDescent="0.3">
      <c r="A367">
        <v>366</v>
      </c>
      <c r="B367" s="18" t="s">
        <v>954</v>
      </c>
      <c r="C367" s="18" t="s">
        <v>1442</v>
      </c>
      <c r="D367" s="22" t="s">
        <v>907</v>
      </c>
    </row>
    <row r="368" spans="1:6" x14ac:dyDescent="0.3">
      <c r="A368">
        <v>367</v>
      </c>
      <c r="B368" s="18" t="s">
        <v>954</v>
      </c>
      <c r="C368" s="18" t="s">
        <v>1443</v>
      </c>
      <c r="D368" s="22" t="s">
        <v>1444</v>
      </c>
      <c r="E368" s="23" t="s">
        <v>907</v>
      </c>
    </row>
    <row r="369" spans="1:6" x14ac:dyDescent="0.3">
      <c r="A369">
        <v>368</v>
      </c>
      <c r="B369" s="18" t="s">
        <v>954</v>
      </c>
      <c r="C369" s="18" t="s">
        <v>1445</v>
      </c>
      <c r="D369" s="22" t="s">
        <v>1054</v>
      </c>
      <c r="E369" s="23" t="s">
        <v>1055</v>
      </c>
    </row>
    <row r="370" spans="1:6" x14ac:dyDescent="0.3">
      <c r="A370">
        <v>369</v>
      </c>
      <c r="B370" s="18" t="s">
        <v>1087</v>
      </c>
      <c r="C370" s="18" t="s">
        <v>1446</v>
      </c>
      <c r="D370" s="22" t="s">
        <v>1166</v>
      </c>
      <c r="E370" s="23" t="s">
        <v>1447</v>
      </c>
      <c r="F370" s="23" t="s">
        <v>907</v>
      </c>
    </row>
    <row r="371" spans="1:6" x14ac:dyDescent="0.3">
      <c r="A371">
        <v>370</v>
      </c>
      <c r="B371" s="18" t="s">
        <v>1087</v>
      </c>
      <c r="C371" s="18" t="s">
        <v>1073</v>
      </c>
      <c r="D371" s="22" t="s">
        <v>1074</v>
      </c>
      <c r="E371" s="23" t="s">
        <v>1075</v>
      </c>
      <c r="F371" s="23" t="s">
        <v>907</v>
      </c>
    </row>
    <row r="372" spans="1:6" x14ac:dyDescent="0.3">
      <c r="A372">
        <v>371</v>
      </c>
      <c r="B372" s="18" t="s">
        <v>1081</v>
      </c>
      <c r="C372" s="18" t="s">
        <v>1448</v>
      </c>
      <c r="D372" s="22" t="s">
        <v>907</v>
      </c>
    </row>
    <row r="373" spans="1:6" x14ac:dyDescent="0.3">
      <c r="A373">
        <v>372</v>
      </c>
      <c r="B373" s="18" t="s">
        <v>1081</v>
      </c>
      <c r="C373" s="18" t="s">
        <v>1449</v>
      </c>
      <c r="D373" s="22" t="s">
        <v>1450</v>
      </c>
      <c r="E373" s="23" t="s">
        <v>907</v>
      </c>
    </row>
    <row r="374" spans="1:6" x14ac:dyDescent="0.3">
      <c r="A374">
        <v>373</v>
      </c>
      <c r="B374" s="18" t="s">
        <v>1081</v>
      </c>
      <c r="C374" s="18" t="s">
        <v>1451</v>
      </c>
      <c r="D374" s="22" t="s">
        <v>907</v>
      </c>
    </row>
    <row r="375" spans="1:6" x14ac:dyDescent="0.3">
      <c r="A375">
        <v>374</v>
      </c>
      <c r="B375" s="18" t="s">
        <v>1372</v>
      </c>
      <c r="C375" s="18" t="s">
        <v>1452</v>
      </c>
      <c r="D375" s="22" t="s">
        <v>907</v>
      </c>
    </row>
    <row r="376" spans="1:6" x14ac:dyDescent="0.3">
      <c r="A376">
        <v>375</v>
      </c>
      <c r="B376" s="18" t="s">
        <v>897</v>
      </c>
      <c r="C376" s="18" t="s">
        <v>1453</v>
      </c>
      <c r="D376" s="22" t="s">
        <v>907</v>
      </c>
    </row>
    <row r="377" spans="1:6" x14ac:dyDescent="0.3">
      <c r="A377">
        <v>376</v>
      </c>
      <c r="B377" s="18" t="s">
        <v>902</v>
      </c>
      <c r="C377" s="18" t="s">
        <v>1454</v>
      </c>
      <c r="D377" s="22" t="s">
        <v>907</v>
      </c>
    </row>
    <row r="378" spans="1:6" x14ac:dyDescent="0.3">
      <c r="A378">
        <v>377</v>
      </c>
      <c r="B378" s="18" t="s">
        <v>902</v>
      </c>
      <c r="C378" s="18" t="s">
        <v>1455</v>
      </c>
      <c r="D378" s="22" t="s">
        <v>907</v>
      </c>
    </row>
    <row r="379" spans="1:6" x14ac:dyDescent="0.3">
      <c r="A379">
        <v>378</v>
      </c>
      <c r="B379" s="18" t="s">
        <v>902</v>
      </c>
      <c r="C379" s="18" t="s">
        <v>1456</v>
      </c>
      <c r="D379" s="22" t="s">
        <v>907</v>
      </c>
    </row>
    <row r="380" spans="1:6" x14ac:dyDescent="0.3">
      <c r="A380">
        <v>379</v>
      </c>
      <c r="B380" s="18" t="s">
        <v>902</v>
      </c>
      <c r="C380" s="18" t="s">
        <v>1457</v>
      </c>
      <c r="D380" s="22" t="s">
        <v>907</v>
      </c>
    </row>
    <row r="381" spans="1:6" x14ac:dyDescent="0.3">
      <c r="A381">
        <v>380</v>
      </c>
      <c r="B381" s="18" t="s">
        <v>908</v>
      </c>
      <c r="C381" s="18" t="s">
        <v>1458</v>
      </c>
      <c r="D381" s="22" t="s">
        <v>1224</v>
      </c>
      <c r="E381" s="23" t="s">
        <v>911</v>
      </c>
    </row>
    <row r="382" spans="1:6" x14ac:dyDescent="0.3">
      <c r="A382">
        <v>381</v>
      </c>
      <c r="B382" s="18" t="s">
        <v>908</v>
      </c>
      <c r="C382" s="18" t="s">
        <v>1459</v>
      </c>
      <c r="D382" s="22" t="s">
        <v>907</v>
      </c>
    </row>
    <row r="383" spans="1:6" x14ac:dyDescent="0.3">
      <c r="A383">
        <v>382</v>
      </c>
      <c r="B383" s="18" t="s">
        <v>977</v>
      </c>
      <c r="C383" s="18" t="s">
        <v>1460</v>
      </c>
      <c r="D383" s="22" t="s">
        <v>907</v>
      </c>
    </row>
    <row r="384" spans="1:6" x14ac:dyDescent="0.3">
      <c r="A384">
        <v>383</v>
      </c>
      <c r="B384" s="18" t="s">
        <v>977</v>
      </c>
      <c r="C384" s="18" t="s">
        <v>1461</v>
      </c>
      <c r="D384" s="22" t="s">
        <v>907</v>
      </c>
    </row>
    <row r="385" spans="1:7" x14ac:dyDescent="0.3">
      <c r="A385">
        <v>384</v>
      </c>
      <c r="B385" s="18" t="s">
        <v>1019</v>
      </c>
      <c r="C385" s="18" t="s">
        <v>1462</v>
      </c>
      <c r="D385" s="22" t="s">
        <v>907</v>
      </c>
    </row>
    <row r="386" spans="1:7" x14ac:dyDescent="0.3">
      <c r="A386">
        <v>385</v>
      </c>
      <c r="B386" s="18" t="s">
        <v>1029</v>
      </c>
      <c r="C386" s="18" t="s">
        <v>1463</v>
      </c>
      <c r="D386" s="22" t="s">
        <v>907</v>
      </c>
    </row>
    <row r="387" spans="1:7" x14ac:dyDescent="0.3">
      <c r="A387">
        <v>386</v>
      </c>
      <c r="B387" s="18" t="s">
        <v>913</v>
      </c>
      <c r="C387" s="18" t="s">
        <v>1464</v>
      </c>
      <c r="D387" s="22" t="s">
        <v>907</v>
      </c>
    </row>
    <row r="388" spans="1:7" x14ac:dyDescent="0.3">
      <c r="A388">
        <v>387</v>
      </c>
      <c r="B388" s="18" t="s">
        <v>1044</v>
      </c>
      <c r="C388" s="18" t="s">
        <v>1465</v>
      </c>
      <c r="D388" s="22" t="s">
        <v>907</v>
      </c>
    </row>
    <row r="389" spans="1:7" x14ac:dyDescent="0.3">
      <c r="A389">
        <v>388</v>
      </c>
      <c r="B389" s="18" t="s">
        <v>913</v>
      </c>
      <c r="C389" s="18" t="s">
        <v>1466</v>
      </c>
      <c r="D389" s="22" t="s">
        <v>907</v>
      </c>
    </row>
    <row r="390" spans="1:7" x14ac:dyDescent="0.3">
      <c r="A390">
        <v>389</v>
      </c>
      <c r="B390" s="18" t="s">
        <v>1044</v>
      </c>
      <c r="C390" s="18" t="s">
        <v>1467</v>
      </c>
      <c r="D390" s="22" t="s">
        <v>907</v>
      </c>
    </row>
    <row r="391" spans="1:7" x14ac:dyDescent="0.3">
      <c r="A391">
        <v>390</v>
      </c>
      <c r="B391" s="18" t="s">
        <v>935</v>
      </c>
      <c r="C391" s="18" t="s">
        <v>1468</v>
      </c>
      <c r="D391" s="22" t="s">
        <v>907</v>
      </c>
    </row>
    <row r="392" spans="1:7" x14ac:dyDescent="0.3">
      <c r="A392">
        <v>391</v>
      </c>
      <c r="B392" s="18" t="s">
        <v>935</v>
      </c>
      <c r="C392" s="18" t="s">
        <v>1469</v>
      </c>
      <c r="D392" s="22" t="s">
        <v>939</v>
      </c>
      <c r="E392" s="23" t="s">
        <v>940</v>
      </c>
      <c r="F392" s="23" t="s">
        <v>1075</v>
      </c>
      <c r="G392" s="23" t="s">
        <v>911</v>
      </c>
    </row>
    <row r="393" spans="1:7" x14ac:dyDescent="0.3">
      <c r="A393">
        <v>392</v>
      </c>
      <c r="B393" s="18" t="s">
        <v>935</v>
      </c>
      <c r="C393" s="18" t="s">
        <v>1471</v>
      </c>
      <c r="D393" s="22" t="s">
        <v>1444</v>
      </c>
      <c r="E393" s="23" t="s">
        <v>911</v>
      </c>
      <c r="F393" s="23" t="s">
        <v>1472</v>
      </c>
      <c r="G393" s="23" t="s">
        <v>1473</v>
      </c>
    </row>
    <row r="394" spans="1:7" x14ac:dyDescent="0.3">
      <c r="A394">
        <v>393</v>
      </c>
      <c r="B394" s="18" t="s">
        <v>1048</v>
      </c>
      <c r="C394" s="18" t="s">
        <v>1474</v>
      </c>
      <c r="D394" s="22" t="s">
        <v>917</v>
      </c>
      <c r="E394" s="23" t="s">
        <v>907</v>
      </c>
    </row>
    <row r="395" spans="1:7" x14ac:dyDescent="0.3">
      <c r="A395">
        <v>394</v>
      </c>
      <c r="B395" s="18" t="s">
        <v>1048</v>
      </c>
      <c r="C395" s="18" t="s">
        <v>1475</v>
      </c>
      <c r="D395" s="22" t="s">
        <v>1476</v>
      </c>
      <c r="E395" s="23" t="s">
        <v>911</v>
      </c>
    </row>
    <row r="396" spans="1:7" x14ac:dyDescent="0.3">
      <c r="A396">
        <v>395</v>
      </c>
      <c r="B396" s="18" t="s">
        <v>1048</v>
      </c>
      <c r="C396" s="18" t="s">
        <v>1477</v>
      </c>
      <c r="D396" s="22" t="s">
        <v>907</v>
      </c>
    </row>
    <row r="397" spans="1:7" x14ac:dyDescent="0.3">
      <c r="A397">
        <v>396</v>
      </c>
      <c r="B397" s="18" t="s">
        <v>1048</v>
      </c>
      <c r="C397" s="18" t="s">
        <v>1478</v>
      </c>
      <c r="D397" s="22" t="s">
        <v>907</v>
      </c>
      <c r="E397" s="23" t="s">
        <v>941</v>
      </c>
    </row>
    <row r="398" spans="1:7" x14ac:dyDescent="0.3">
      <c r="A398">
        <v>397</v>
      </c>
      <c r="B398" s="18" t="s">
        <v>1048</v>
      </c>
      <c r="C398" s="18" t="s">
        <v>1479</v>
      </c>
      <c r="D398" s="22" t="s">
        <v>1444</v>
      </c>
      <c r="E398" s="23" t="s">
        <v>911</v>
      </c>
      <c r="F398" s="23" t="s">
        <v>1472</v>
      </c>
      <c r="G398" s="23" t="s">
        <v>1473</v>
      </c>
    </row>
    <row r="399" spans="1:7" x14ac:dyDescent="0.3">
      <c r="A399">
        <v>398</v>
      </c>
      <c r="B399" s="18" t="s">
        <v>1296</v>
      </c>
      <c r="C399" s="18" t="s">
        <v>1480</v>
      </c>
      <c r="D399" s="22" t="s">
        <v>907</v>
      </c>
    </row>
    <row r="400" spans="1:7" x14ac:dyDescent="0.3">
      <c r="A400">
        <v>399</v>
      </c>
      <c r="B400" s="18" t="s">
        <v>1050</v>
      </c>
      <c r="C400" s="18" t="s">
        <v>1481</v>
      </c>
      <c r="D400" s="22" t="s">
        <v>1444</v>
      </c>
      <c r="E400" s="23" t="s">
        <v>907</v>
      </c>
    </row>
    <row r="401" spans="1:7" x14ac:dyDescent="0.3">
      <c r="A401">
        <v>400</v>
      </c>
      <c r="B401" s="18" t="s">
        <v>944</v>
      </c>
      <c r="C401" s="18" t="s">
        <v>1482</v>
      </c>
      <c r="D401" s="22" t="s">
        <v>907</v>
      </c>
    </row>
    <row r="402" spans="1:7" x14ac:dyDescent="0.3">
      <c r="A402">
        <v>401</v>
      </c>
      <c r="B402" s="18" t="s">
        <v>946</v>
      </c>
      <c r="C402" s="18" t="s">
        <v>1483</v>
      </c>
      <c r="D402" s="22" t="s">
        <v>907</v>
      </c>
    </row>
    <row r="403" spans="1:7" x14ac:dyDescent="0.3">
      <c r="A403">
        <v>402</v>
      </c>
      <c r="B403" s="18" t="s">
        <v>946</v>
      </c>
      <c r="C403" s="18" t="s">
        <v>1484</v>
      </c>
      <c r="D403" s="22" t="s">
        <v>907</v>
      </c>
    </row>
    <row r="404" spans="1:7" x14ac:dyDescent="0.3">
      <c r="A404">
        <v>403</v>
      </c>
      <c r="B404" s="18" t="s">
        <v>954</v>
      </c>
      <c r="C404" s="18" t="s">
        <v>1355</v>
      </c>
      <c r="D404" s="22" t="s">
        <v>1055</v>
      </c>
      <c r="E404" s="23" t="s">
        <v>911</v>
      </c>
    </row>
    <row r="405" spans="1:7" x14ac:dyDescent="0.3">
      <c r="A405">
        <v>404</v>
      </c>
      <c r="B405" s="18" t="s">
        <v>954</v>
      </c>
      <c r="C405" s="18" t="s">
        <v>1485</v>
      </c>
      <c r="D405" s="22" t="s">
        <v>907</v>
      </c>
    </row>
    <row r="406" spans="1:7" x14ac:dyDescent="0.3">
      <c r="A406">
        <v>405</v>
      </c>
      <c r="B406" s="18" t="s">
        <v>954</v>
      </c>
      <c r="C406" s="18" t="s">
        <v>1486</v>
      </c>
      <c r="D406" s="22" t="s">
        <v>907</v>
      </c>
    </row>
    <row r="407" spans="1:7" x14ac:dyDescent="0.3">
      <c r="A407">
        <v>406</v>
      </c>
      <c r="B407" s="18" t="s">
        <v>1087</v>
      </c>
      <c r="C407" s="18" t="s">
        <v>1487</v>
      </c>
      <c r="D407" s="22" t="s">
        <v>907</v>
      </c>
    </row>
    <row r="408" spans="1:7" x14ac:dyDescent="0.3">
      <c r="A408">
        <v>407</v>
      </c>
      <c r="B408" s="18" t="s">
        <v>1081</v>
      </c>
      <c r="C408" s="18" t="s">
        <v>1488</v>
      </c>
      <c r="D408" s="22" t="s">
        <v>907</v>
      </c>
    </row>
    <row r="409" spans="1:7" x14ac:dyDescent="0.3">
      <c r="A409">
        <v>408</v>
      </c>
      <c r="B409" s="18" t="s">
        <v>902</v>
      </c>
      <c r="C409" s="18" t="s">
        <v>1489</v>
      </c>
      <c r="D409" s="22" t="s">
        <v>1490</v>
      </c>
      <c r="E409" s="23" t="s">
        <v>1491</v>
      </c>
      <c r="F409" s="23" t="s">
        <v>1492</v>
      </c>
      <c r="G409" s="23" t="s">
        <v>1493</v>
      </c>
    </row>
    <row r="410" spans="1:7" x14ac:dyDescent="0.3">
      <c r="A410">
        <v>409</v>
      </c>
      <c r="B410" s="18" t="s">
        <v>1019</v>
      </c>
      <c r="C410" s="18" t="s">
        <v>1496</v>
      </c>
      <c r="D410" s="22" t="s">
        <v>1495</v>
      </c>
    </row>
    <row r="411" spans="1:7" x14ac:dyDescent="0.3">
      <c r="A411">
        <v>410</v>
      </c>
      <c r="B411" s="18" t="s">
        <v>1019</v>
      </c>
      <c r="C411" s="18" t="s">
        <v>1497</v>
      </c>
      <c r="D411" s="22" t="s">
        <v>907</v>
      </c>
    </row>
    <row r="412" spans="1:7" x14ac:dyDescent="0.3">
      <c r="A412">
        <v>411</v>
      </c>
      <c r="B412" s="18" t="s">
        <v>1019</v>
      </c>
      <c r="C412" s="18" t="s">
        <v>1498</v>
      </c>
      <c r="D412" s="22" t="s">
        <v>1152</v>
      </c>
    </row>
    <row r="413" spans="1:7" x14ac:dyDescent="0.3">
      <c r="A413">
        <v>412</v>
      </c>
      <c r="B413" s="18" t="s">
        <v>1029</v>
      </c>
      <c r="C413" s="18" t="s">
        <v>1499</v>
      </c>
      <c r="D413" s="22" t="s">
        <v>1495</v>
      </c>
    </row>
    <row r="414" spans="1:7" x14ac:dyDescent="0.3">
      <c r="A414">
        <v>413</v>
      </c>
      <c r="B414" s="18" t="s">
        <v>1029</v>
      </c>
      <c r="C414" s="18" t="s">
        <v>1500</v>
      </c>
      <c r="D414" s="22" t="s">
        <v>907</v>
      </c>
    </row>
    <row r="415" spans="1:7" x14ac:dyDescent="0.3">
      <c r="A415">
        <v>414</v>
      </c>
      <c r="B415" s="18" t="s">
        <v>1029</v>
      </c>
      <c r="C415" s="18" t="s">
        <v>1501</v>
      </c>
      <c r="D415" s="22" t="s">
        <v>907</v>
      </c>
    </row>
    <row r="416" spans="1:7" x14ac:dyDescent="0.3">
      <c r="A416">
        <v>415</v>
      </c>
      <c r="B416" s="18" t="s">
        <v>935</v>
      </c>
      <c r="C416" s="18" t="s">
        <v>1502</v>
      </c>
      <c r="D416" s="22" t="s">
        <v>1167</v>
      </c>
      <c r="E416" s="23" t="s">
        <v>1503</v>
      </c>
      <c r="F416" s="23" t="s">
        <v>961</v>
      </c>
      <c r="G416" s="23" t="s">
        <v>1504</v>
      </c>
    </row>
    <row r="417" spans="1:6" x14ac:dyDescent="0.3">
      <c r="A417">
        <v>416</v>
      </c>
      <c r="B417" s="18" t="s">
        <v>1296</v>
      </c>
      <c r="C417" s="18" t="s">
        <v>1507</v>
      </c>
      <c r="D417" s="22" t="s">
        <v>907</v>
      </c>
    </row>
    <row r="418" spans="1:6" x14ac:dyDescent="0.3">
      <c r="A418">
        <v>417</v>
      </c>
      <c r="B418" s="18" t="s">
        <v>942</v>
      </c>
      <c r="C418" s="18" t="s">
        <v>1508</v>
      </c>
      <c r="D418" s="22" t="s">
        <v>907</v>
      </c>
      <c r="E418" s="23" t="s">
        <v>948</v>
      </c>
    </row>
    <row r="419" spans="1:6" x14ac:dyDescent="0.3">
      <c r="A419">
        <v>418</v>
      </c>
      <c r="B419" s="18" t="s">
        <v>946</v>
      </c>
      <c r="C419" s="18" t="s">
        <v>1510</v>
      </c>
      <c r="D419" s="22" t="s">
        <v>1509</v>
      </c>
    </row>
    <row r="420" spans="1:6" x14ac:dyDescent="0.3">
      <c r="A420">
        <v>419</v>
      </c>
      <c r="B420" s="18" t="s">
        <v>897</v>
      </c>
      <c r="C420" s="18" t="s">
        <v>1511</v>
      </c>
      <c r="D420" s="22" t="s">
        <v>907</v>
      </c>
    </row>
    <row r="421" spans="1:6" x14ac:dyDescent="0.3">
      <c r="A421">
        <v>420</v>
      </c>
      <c r="B421" s="18" t="s">
        <v>902</v>
      </c>
      <c r="C421" s="18" t="s">
        <v>1512</v>
      </c>
      <c r="D421" s="22" t="s">
        <v>907</v>
      </c>
    </row>
    <row r="422" spans="1:6" x14ac:dyDescent="0.3">
      <c r="A422">
        <v>421</v>
      </c>
      <c r="B422" s="18" t="s">
        <v>902</v>
      </c>
      <c r="C422" s="18" t="s">
        <v>1513</v>
      </c>
      <c r="D422" s="22" t="s">
        <v>907</v>
      </c>
    </row>
    <row r="423" spans="1:6" x14ac:dyDescent="0.3">
      <c r="A423">
        <v>422</v>
      </c>
      <c r="B423" s="18" t="s">
        <v>902</v>
      </c>
      <c r="C423" s="18" t="s">
        <v>1514</v>
      </c>
      <c r="D423" s="22" t="s">
        <v>907</v>
      </c>
    </row>
    <row r="424" spans="1:6" x14ac:dyDescent="0.3">
      <c r="A424">
        <v>423</v>
      </c>
      <c r="B424" s="18" t="s">
        <v>902</v>
      </c>
      <c r="C424" s="18" t="s">
        <v>1515</v>
      </c>
      <c r="D424" s="22" t="s">
        <v>960</v>
      </c>
      <c r="E424" s="23" t="s">
        <v>961</v>
      </c>
      <c r="F424" s="23" t="s">
        <v>962</v>
      </c>
    </row>
    <row r="425" spans="1:6" x14ac:dyDescent="0.3">
      <c r="A425">
        <v>424</v>
      </c>
      <c r="B425" s="18" t="s">
        <v>902</v>
      </c>
      <c r="C425" s="18" t="s">
        <v>1516</v>
      </c>
      <c r="D425" s="22" t="s">
        <v>907</v>
      </c>
    </row>
    <row r="426" spans="1:6" x14ac:dyDescent="0.3">
      <c r="A426">
        <v>425</v>
      </c>
      <c r="B426" s="18" t="s">
        <v>902</v>
      </c>
      <c r="C426" s="18" t="s">
        <v>1517</v>
      </c>
      <c r="D426" s="22" t="s">
        <v>1183</v>
      </c>
      <c r="E426" s="23" t="s">
        <v>907</v>
      </c>
    </row>
    <row r="427" spans="1:6" x14ac:dyDescent="0.3">
      <c r="A427">
        <v>426</v>
      </c>
      <c r="B427" s="18" t="s">
        <v>902</v>
      </c>
      <c r="C427" s="18" t="s">
        <v>1518</v>
      </c>
      <c r="D427" s="22" t="s">
        <v>979</v>
      </c>
      <c r="E427" s="23" t="s">
        <v>907</v>
      </c>
    </row>
    <row r="428" spans="1:6" x14ac:dyDescent="0.3">
      <c r="A428">
        <v>427</v>
      </c>
      <c r="B428" s="18" t="s">
        <v>902</v>
      </c>
      <c r="C428" s="18" t="s">
        <v>1519</v>
      </c>
      <c r="D428" s="22" t="s">
        <v>966</v>
      </c>
      <c r="E428" s="23" t="s">
        <v>961</v>
      </c>
      <c r="F428" s="23" t="s">
        <v>1023</v>
      </c>
    </row>
    <row r="429" spans="1:6" x14ac:dyDescent="0.3">
      <c r="A429">
        <v>428</v>
      </c>
      <c r="B429" s="18" t="s">
        <v>902</v>
      </c>
      <c r="C429" s="18" t="s">
        <v>1520</v>
      </c>
      <c r="D429" s="22" t="s">
        <v>979</v>
      </c>
      <c r="E429" s="23" t="s">
        <v>907</v>
      </c>
    </row>
    <row r="430" spans="1:6" x14ac:dyDescent="0.3">
      <c r="A430">
        <v>429</v>
      </c>
      <c r="B430" s="18" t="s">
        <v>902</v>
      </c>
      <c r="C430" s="18" t="s">
        <v>1521</v>
      </c>
      <c r="D430" s="22" t="s">
        <v>1199</v>
      </c>
      <c r="E430" s="23" t="s">
        <v>961</v>
      </c>
      <c r="F430" s="23" t="s">
        <v>1522</v>
      </c>
    </row>
    <row r="431" spans="1:6" x14ac:dyDescent="0.3">
      <c r="A431">
        <v>430</v>
      </c>
      <c r="B431" s="18" t="s">
        <v>902</v>
      </c>
      <c r="C431" s="18" t="s">
        <v>1523</v>
      </c>
      <c r="D431" s="22" t="s">
        <v>1524</v>
      </c>
      <c r="E431" s="23" t="s">
        <v>907</v>
      </c>
    </row>
    <row r="432" spans="1:6" x14ac:dyDescent="0.3">
      <c r="A432">
        <v>431</v>
      </c>
      <c r="B432" s="18" t="s">
        <v>902</v>
      </c>
      <c r="C432" s="18" t="s">
        <v>1525</v>
      </c>
      <c r="D432" s="22" t="s">
        <v>1526</v>
      </c>
      <c r="E432" s="23" t="s">
        <v>961</v>
      </c>
      <c r="F432" s="23" t="s">
        <v>1527</v>
      </c>
    </row>
    <row r="433" spans="1:6" x14ac:dyDescent="0.3">
      <c r="A433">
        <v>432</v>
      </c>
      <c r="B433" s="18" t="s">
        <v>902</v>
      </c>
      <c r="C433" s="18" t="s">
        <v>1528</v>
      </c>
      <c r="D433" s="22" t="s">
        <v>1096</v>
      </c>
      <c r="E433" s="23" t="s">
        <v>961</v>
      </c>
      <c r="F433" s="23" t="s">
        <v>1028</v>
      </c>
    </row>
    <row r="434" spans="1:6" x14ac:dyDescent="0.3">
      <c r="A434">
        <v>433</v>
      </c>
      <c r="B434" s="18" t="s">
        <v>902</v>
      </c>
      <c r="C434" s="18" t="s">
        <v>1529</v>
      </c>
      <c r="D434" s="22" t="s">
        <v>1016</v>
      </c>
      <c r="E434" s="23" t="s">
        <v>907</v>
      </c>
    </row>
    <row r="435" spans="1:6" x14ac:dyDescent="0.3">
      <c r="A435">
        <v>434</v>
      </c>
      <c r="B435" s="18" t="s">
        <v>902</v>
      </c>
      <c r="C435" s="18" t="s">
        <v>1530</v>
      </c>
      <c r="D435" s="22" t="s">
        <v>1531</v>
      </c>
      <c r="E435" s="23" t="s">
        <v>907</v>
      </c>
    </row>
    <row r="436" spans="1:6" x14ac:dyDescent="0.3">
      <c r="A436">
        <v>435</v>
      </c>
      <c r="B436" s="18" t="s">
        <v>902</v>
      </c>
      <c r="C436" s="18" t="s">
        <v>1532</v>
      </c>
      <c r="D436" s="22" t="s">
        <v>1533</v>
      </c>
      <c r="E436" s="23" t="s">
        <v>907</v>
      </c>
    </row>
    <row r="437" spans="1:6" x14ac:dyDescent="0.3">
      <c r="A437">
        <v>436</v>
      </c>
      <c r="B437" s="18" t="s">
        <v>902</v>
      </c>
      <c r="C437" s="18" t="s">
        <v>1534</v>
      </c>
      <c r="D437" s="22" t="s">
        <v>1016</v>
      </c>
      <c r="E437" s="23" t="s">
        <v>907</v>
      </c>
    </row>
    <row r="438" spans="1:6" x14ac:dyDescent="0.3">
      <c r="A438">
        <v>437</v>
      </c>
      <c r="B438" s="18" t="s">
        <v>902</v>
      </c>
      <c r="C438" s="18" t="s">
        <v>1535</v>
      </c>
      <c r="D438" s="22" t="s">
        <v>1101</v>
      </c>
      <c r="E438" s="23" t="s">
        <v>907</v>
      </c>
    </row>
    <row r="439" spans="1:6" x14ac:dyDescent="0.3">
      <c r="A439">
        <v>438</v>
      </c>
      <c r="B439" s="18" t="s">
        <v>902</v>
      </c>
      <c r="C439" s="18" t="s">
        <v>1536</v>
      </c>
      <c r="D439" s="22" t="s">
        <v>1537</v>
      </c>
      <c r="E439" s="23" t="s">
        <v>907</v>
      </c>
    </row>
    <row r="440" spans="1:6" x14ac:dyDescent="0.3">
      <c r="A440">
        <v>439</v>
      </c>
      <c r="B440" s="18" t="s">
        <v>902</v>
      </c>
      <c r="C440" s="18" t="s">
        <v>1538</v>
      </c>
      <c r="D440" s="22" t="s">
        <v>1539</v>
      </c>
      <c r="E440" s="23" t="s">
        <v>961</v>
      </c>
      <c r="F440" s="23" t="s">
        <v>1540</v>
      </c>
    </row>
    <row r="441" spans="1:6" x14ac:dyDescent="0.3">
      <c r="A441">
        <v>440</v>
      </c>
      <c r="B441" s="18" t="s">
        <v>902</v>
      </c>
      <c r="C441" s="18" t="s">
        <v>1541</v>
      </c>
      <c r="D441" s="22" t="s">
        <v>1542</v>
      </c>
      <c r="E441" s="23" t="s">
        <v>907</v>
      </c>
    </row>
    <row r="442" spans="1:6" x14ac:dyDescent="0.3">
      <c r="A442">
        <v>441</v>
      </c>
      <c r="B442" s="18" t="s">
        <v>902</v>
      </c>
      <c r="C442" s="18" t="s">
        <v>1543</v>
      </c>
      <c r="D442" s="22" t="s">
        <v>1177</v>
      </c>
      <c r="E442" s="23" t="s">
        <v>907</v>
      </c>
    </row>
    <row r="443" spans="1:6" x14ac:dyDescent="0.3">
      <c r="A443">
        <v>442</v>
      </c>
      <c r="B443" s="18" t="s">
        <v>902</v>
      </c>
      <c r="C443" s="18" t="s">
        <v>1544</v>
      </c>
      <c r="D443" s="22" t="s">
        <v>1545</v>
      </c>
      <c r="E443" s="23" t="s">
        <v>907</v>
      </c>
    </row>
    <row r="444" spans="1:6" x14ac:dyDescent="0.3">
      <c r="A444">
        <v>443</v>
      </c>
      <c r="B444" s="18" t="s">
        <v>902</v>
      </c>
      <c r="C444" s="18" t="s">
        <v>1546</v>
      </c>
      <c r="D444" s="22" t="s">
        <v>1196</v>
      </c>
      <c r="E444" s="23" t="s">
        <v>907</v>
      </c>
    </row>
    <row r="445" spans="1:6" x14ac:dyDescent="0.3">
      <c r="A445">
        <v>444</v>
      </c>
      <c r="B445" s="18" t="s">
        <v>902</v>
      </c>
      <c r="C445" s="18" t="s">
        <v>1547</v>
      </c>
      <c r="D445" s="22" t="s">
        <v>1180</v>
      </c>
      <c r="E445" s="23" t="s">
        <v>907</v>
      </c>
    </row>
    <row r="446" spans="1:6" x14ac:dyDescent="0.3">
      <c r="A446">
        <v>445</v>
      </c>
      <c r="B446" s="18" t="s">
        <v>902</v>
      </c>
      <c r="C446" s="18" t="s">
        <v>1548</v>
      </c>
      <c r="D446" s="22" t="s">
        <v>988</v>
      </c>
      <c r="E446" s="23" t="s">
        <v>989</v>
      </c>
      <c r="F446" s="23" t="s">
        <v>907</v>
      </c>
    </row>
    <row r="447" spans="1:6" x14ac:dyDescent="0.3">
      <c r="A447">
        <v>446</v>
      </c>
      <c r="B447" s="18" t="s">
        <v>902</v>
      </c>
      <c r="C447" s="18" t="s">
        <v>1549</v>
      </c>
      <c r="D447" s="22" t="s">
        <v>1550</v>
      </c>
      <c r="E447" s="23" t="s">
        <v>907</v>
      </c>
    </row>
    <row r="448" spans="1:6" x14ac:dyDescent="0.3">
      <c r="A448">
        <v>447</v>
      </c>
      <c r="B448" s="18" t="s">
        <v>902</v>
      </c>
      <c r="C448" s="18" t="s">
        <v>1551</v>
      </c>
      <c r="D448" s="22" t="s">
        <v>1552</v>
      </c>
      <c r="E448" s="23" t="s">
        <v>907</v>
      </c>
    </row>
    <row r="449" spans="1:6" x14ac:dyDescent="0.3">
      <c r="A449">
        <v>448</v>
      </c>
      <c r="B449" s="18" t="s">
        <v>902</v>
      </c>
      <c r="C449" s="18" t="s">
        <v>1553</v>
      </c>
      <c r="D449" s="22" t="s">
        <v>907</v>
      </c>
    </row>
    <row r="450" spans="1:6" x14ac:dyDescent="0.3">
      <c r="A450">
        <v>449</v>
      </c>
      <c r="B450" s="18" t="s">
        <v>902</v>
      </c>
      <c r="C450" s="18" t="s">
        <v>1455</v>
      </c>
      <c r="D450" s="22" t="s">
        <v>907</v>
      </c>
    </row>
    <row r="451" spans="1:6" x14ac:dyDescent="0.3">
      <c r="A451">
        <v>450</v>
      </c>
      <c r="B451" s="18" t="s">
        <v>902</v>
      </c>
      <c r="C451" s="18" t="s">
        <v>1454</v>
      </c>
      <c r="D451" s="22" t="s">
        <v>907</v>
      </c>
    </row>
    <row r="452" spans="1:6" x14ac:dyDescent="0.3">
      <c r="A452">
        <v>451</v>
      </c>
      <c r="B452" s="18" t="s">
        <v>902</v>
      </c>
      <c r="C452" s="18" t="s">
        <v>1554</v>
      </c>
      <c r="D452" s="22" t="s">
        <v>907</v>
      </c>
    </row>
    <row r="453" spans="1:6" x14ac:dyDescent="0.3">
      <c r="A453">
        <v>452</v>
      </c>
      <c r="B453" s="18" t="s">
        <v>902</v>
      </c>
      <c r="C453" s="18" t="s">
        <v>1555</v>
      </c>
      <c r="D453" s="22" t="s">
        <v>907</v>
      </c>
    </row>
    <row r="454" spans="1:6" x14ac:dyDescent="0.3">
      <c r="A454">
        <v>453</v>
      </c>
      <c r="B454" s="18" t="s">
        <v>902</v>
      </c>
      <c r="C454" s="18" t="s">
        <v>1556</v>
      </c>
      <c r="D454" s="22" t="s">
        <v>907</v>
      </c>
    </row>
    <row r="455" spans="1:6" x14ac:dyDescent="0.3">
      <c r="A455">
        <v>454</v>
      </c>
      <c r="B455" s="18" t="s">
        <v>908</v>
      </c>
      <c r="C455" s="18" t="s">
        <v>1557</v>
      </c>
      <c r="D455" s="22" t="s">
        <v>907</v>
      </c>
    </row>
    <row r="456" spans="1:6" x14ac:dyDescent="0.3">
      <c r="A456">
        <v>455</v>
      </c>
      <c r="B456" s="18" t="s">
        <v>908</v>
      </c>
      <c r="C456" s="18" t="s">
        <v>1558</v>
      </c>
      <c r="D456" s="22" t="s">
        <v>907</v>
      </c>
    </row>
    <row r="457" spans="1:6" x14ac:dyDescent="0.3">
      <c r="A457">
        <v>456</v>
      </c>
      <c r="B457" s="18" t="s">
        <v>908</v>
      </c>
      <c r="C457" s="18" t="s">
        <v>1559</v>
      </c>
      <c r="D457" s="22" t="s">
        <v>1000</v>
      </c>
      <c r="E457" s="23" t="s">
        <v>907</v>
      </c>
    </row>
    <row r="458" spans="1:6" x14ac:dyDescent="0.3">
      <c r="A458">
        <v>457</v>
      </c>
      <c r="B458" s="18" t="s">
        <v>908</v>
      </c>
      <c r="C458" s="18" t="s">
        <v>1560</v>
      </c>
      <c r="D458" s="22" t="s">
        <v>1106</v>
      </c>
      <c r="E458" s="23" t="s">
        <v>907</v>
      </c>
    </row>
    <row r="459" spans="1:6" x14ac:dyDescent="0.3">
      <c r="A459">
        <v>458</v>
      </c>
      <c r="B459" s="18" t="s">
        <v>908</v>
      </c>
      <c r="C459" s="18" t="s">
        <v>1561</v>
      </c>
      <c r="D459" s="22" t="s">
        <v>1010</v>
      </c>
      <c r="E459" s="23" t="s">
        <v>907</v>
      </c>
    </row>
    <row r="460" spans="1:6" x14ac:dyDescent="0.3">
      <c r="A460">
        <v>459</v>
      </c>
      <c r="B460" s="18" t="s">
        <v>908</v>
      </c>
      <c r="C460" s="18" t="s">
        <v>1562</v>
      </c>
      <c r="D460" s="22" t="s">
        <v>1014</v>
      </c>
      <c r="E460" s="23" t="s">
        <v>907</v>
      </c>
    </row>
    <row r="461" spans="1:6" x14ac:dyDescent="0.3">
      <c r="A461">
        <v>460</v>
      </c>
      <c r="B461" s="18" t="s">
        <v>908</v>
      </c>
      <c r="C461" s="18" t="s">
        <v>1563</v>
      </c>
      <c r="D461" s="22" t="s">
        <v>1564</v>
      </c>
      <c r="E461" s="23" t="s">
        <v>907</v>
      </c>
    </row>
    <row r="462" spans="1:6" x14ac:dyDescent="0.3">
      <c r="A462">
        <v>461</v>
      </c>
      <c r="B462" s="18" t="s">
        <v>908</v>
      </c>
      <c r="C462" s="18" t="s">
        <v>1565</v>
      </c>
      <c r="D462" s="22" t="s">
        <v>966</v>
      </c>
      <c r="E462" s="23" t="s">
        <v>961</v>
      </c>
      <c r="F462" s="23" t="s">
        <v>1023</v>
      </c>
    </row>
    <row r="463" spans="1:6" x14ac:dyDescent="0.3">
      <c r="A463">
        <v>462</v>
      </c>
      <c r="B463" s="18" t="s">
        <v>977</v>
      </c>
      <c r="C463" s="18" t="s">
        <v>1566</v>
      </c>
      <c r="D463" s="22" t="s">
        <v>907</v>
      </c>
    </row>
    <row r="464" spans="1:6" x14ac:dyDescent="0.3">
      <c r="A464">
        <v>463</v>
      </c>
      <c r="B464" s="18" t="s">
        <v>977</v>
      </c>
      <c r="C464" s="18" t="s">
        <v>1567</v>
      </c>
      <c r="D464" s="22" t="s">
        <v>907</v>
      </c>
    </row>
    <row r="465" spans="1:6" x14ac:dyDescent="0.3">
      <c r="A465">
        <v>464</v>
      </c>
      <c r="B465" s="18" t="s">
        <v>977</v>
      </c>
      <c r="C465" s="18" t="s">
        <v>1568</v>
      </c>
      <c r="D465" s="22" t="s">
        <v>907</v>
      </c>
    </row>
    <row r="466" spans="1:6" x14ac:dyDescent="0.3">
      <c r="A466">
        <v>465</v>
      </c>
      <c r="B466" s="18" t="s">
        <v>977</v>
      </c>
      <c r="C466" s="18" t="s">
        <v>997</v>
      </c>
      <c r="D466" s="22" t="s">
        <v>998</v>
      </c>
      <c r="E466" s="23" t="s">
        <v>907</v>
      </c>
    </row>
    <row r="467" spans="1:6" x14ac:dyDescent="0.3">
      <c r="A467">
        <v>466</v>
      </c>
      <c r="B467" s="18" t="s">
        <v>977</v>
      </c>
      <c r="C467" s="18" t="s">
        <v>1569</v>
      </c>
      <c r="D467" s="22" t="s">
        <v>985</v>
      </c>
      <c r="E467" s="23" t="s">
        <v>961</v>
      </c>
      <c r="F467" s="23" t="s">
        <v>1570</v>
      </c>
    </row>
    <row r="468" spans="1:6" x14ac:dyDescent="0.3">
      <c r="A468">
        <v>467</v>
      </c>
      <c r="B468" s="18" t="s">
        <v>977</v>
      </c>
      <c r="C468" s="18" t="s">
        <v>999</v>
      </c>
      <c r="D468" s="22" t="s">
        <v>1000</v>
      </c>
      <c r="E468" s="23" t="s">
        <v>907</v>
      </c>
    </row>
    <row r="469" spans="1:6" x14ac:dyDescent="0.3">
      <c r="A469">
        <v>468</v>
      </c>
      <c r="B469" s="18" t="s">
        <v>977</v>
      </c>
      <c r="C469" s="18" t="s">
        <v>1013</v>
      </c>
      <c r="D469" s="22" t="s">
        <v>1014</v>
      </c>
      <c r="E469" s="23" t="s">
        <v>907</v>
      </c>
    </row>
    <row r="470" spans="1:6" x14ac:dyDescent="0.3">
      <c r="A470">
        <v>469</v>
      </c>
      <c r="B470" s="18" t="s">
        <v>977</v>
      </c>
      <c r="C470" s="18" t="s">
        <v>995</v>
      </c>
      <c r="D470" s="22" t="s">
        <v>996</v>
      </c>
      <c r="E470" s="23" t="s">
        <v>907</v>
      </c>
    </row>
    <row r="471" spans="1:6" x14ac:dyDescent="0.3">
      <c r="A471">
        <v>470</v>
      </c>
      <c r="B471" s="18" t="s">
        <v>977</v>
      </c>
      <c r="C471" s="18" t="s">
        <v>1571</v>
      </c>
      <c r="D471" s="22" t="s">
        <v>1572</v>
      </c>
      <c r="E471" s="23" t="s">
        <v>907</v>
      </c>
    </row>
    <row r="472" spans="1:6" x14ac:dyDescent="0.3">
      <c r="A472">
        <v>471</v>
      </c>
      <c r="B472" s="18" t="s">
        <v>977</v>
      </c>
      <c r="C472" s="18" t="s">
        <v>1573</v>
      </c>
      <c r="D472" s="22" t="s">
        <v>966</v>
      </c>
      <c r="E472" s="23" t="s">
        <v>961</v>
      </c>
      <c r="F472" s="23" t="s">
        <v>1023</v>
      </c>
    </row>
    <row r="473" spans="1:6" x14ac:dyDescent="0.3">
      <c r="A473">
        <v>472</v>
      </c>
      <c r="B473" s="18" t="s">
        <v>977</v>
      </c>
      <c r="C473" s="18" t="s">
        <v>1574</v>
      </c>
      <c r="D473" s="22" t="s">
        <v>1575</v>
      </c>
      <c r="E473" s="23" t="s">
        <v>907</v>
      </c>
    </row>
    <row r="474" spans="1:6" x14ac:dyDescent="0.3">
      <c r="A474">
        <v>473</v>
      </c>
      <c r="B474" s="18" t="s">
        <v>977</v>
      </c>
      <c r="C474" s="18" t="s">
        <v>1008</v>
      </c>
      <c r="D474" s="22" t="s">
        <v>934</v>
      </c>
      <c r="E474" s="23" t="s">
        <v>907</v>
      </c>
    </row>
    <row r="475" spans="1:6" x14ac:dyDescent="0.3">
      <c r="A475">
        <v>474</v>
      </c>
      <c r="B475" s="18" t="s">
        <v>977</v>
      </c>
      <c r="C475" s="18" t="s">
        <v>1576</v>
      </c>
      <c r="D475" s="22" t="s">
        <v>1037</v>
      </c>
      <c r="E475" s="23" t="s">
        <v>907</v>
      </c>
    </row>
    <row r="476" spans="1:6" x14ac:dyDescent="0.3">
      <c r="A476">
        <v>475</v>
      </c>
      <c r="B476" s="18" t="s">
        <v>977</v>
      </c>
      <c r="C476" s="18" t="s">
        <v>1577</v>
      </c>
      <c r="D476" s="22" t="s">
        <v>1004</v>
      </c>
      <c r="E476" s="23" t="s">
        <v>907</v>
      </c>
    </row>
    <row r="477" spans="1:6" x14ac:dyDescent="0.3">
      <c r="A477">
        <v>476</v>
      </c>
      <c r="B477" s="18" t="s">
        <v>977</v>
      </c>
      <c r="C477" s="18" t="s">
        <v>1578</v>
      </c>
      <c r="D477" s="22" t="s">
        <v>1002</v>
      </c>
      <c r="E477" s="23" t="s">
        <v>907</v>
      </c>
    </row>
    <row r="478" spans="1:6" x14ac:dyDescent="0.3">
      <c r="A478">
        <v>477</v>
      </c>
      <c r="B478" s="18" t="s">
        <v>977</v>
      </c>
      <c r="C478" s="18" t="s">
        <v>1579</v>
      </c>
      <c r="D478" s="22" t="s">
        <v>991</v>
      </c>
      <c r="E478" s="23" t="s">
        <v>961</v>
      </c>
      <c r="F478" s="23" t="s">
        <v>992</v>
      </c>
    </row>
    <row r="479" spans="1:6" x14ac:dyDescent="0.3">
      <c r="A479">
        <v>478</v>
      </c>
      <c r="B479" s="18" t="s">
        <v>977</v>
      </c>
      <c r="C479" s="18" t="s">
        <v>1580</v>
      </c>
      <c r="D479" s="22" t="s">
        <v>1581</v>
      </c>
      <c r="E479" s="23" t="s">
        <v>907</v>
      </c>
    </row>
    <row r="480" spans="1:6" x14ac:dyDescent="0.3">
      <c r="A480">
        <v>479</v>
      </c>
      <c r="B480" s="18" t="s">
        <v>977</v>
      </c>
      <c r="C480" s="18" t="s">
        <v>1582</v>
      </c>
      <c r="D480" s="22" t="s">
        <v>1583</v>
      </c>
      <c r="E480" s="23" t="s">
        <v>907</v>
      </c>
    </row>
    <row r="481" spans="1:6" x14ac:dyDescent="0.3">
      <c r="A481">
        <v>480</v>
      </c>
      <c r="B481" s="18" t="s">
        <v>977</v>
      </c>
      <c r="C481" s="18" t="s">
        <v>1007</v>
      </c>
      <c r="D481" s="22" t="s">
        <v>979</v>
      </c>
      <c r="E481" s="23" t="s">
        <v>907</v>
      </c>
    </row>
    <row r="482" spans="1:6" x14ac:dyDescent="0.3">
      <c r="A482">
        <v>481</v>
      </c>
      <c r="B482" s="18" t="s">
        <v>977</v>
      </c>
      <c r="C482" s="18" t="s">
        <v>1584</v>
      </c>
      <c r="D482" s="22" t="s">
        <v>1132</v>
      </c>
      <c r="E482" s="23" t="s">
        <v>907</v>
      </c>
    </row>
    <row r="483" spans="1:6" x14ac:dyDescent="0.3">
      <c r="A483">
        <v>482</v>
      </c>
      <c r="B483" s="18" t="s">
        <v>977</v>
      </c>
      <c r="C483" s="18" t="s">
        <v>1005</v>
      </c>
      <c r="D483" s="22" t="s">
        <v>1006</v>
      </c>
      <c r="E483" s="23" t="s">
        <v>907</v>
      </c>
    </row>
    <row r="484" spans="1:6" x14ac:dyDescent="0.3">
      <c r="A484">
        <v>483</v>
      </c>
      <c r="B484" s="18" t="s">
        <v>977</v>
      </c>
      <c r="C484" s="18" t="s">
        <v>993</v>
      </c>
      <c r="D484" s="22" t="s">
        <v>1585</v>
      </c>
      <c r="E484" s="23" t="s">
        <v>907</v>
      </c>
    </row>
    <row r="485" spans="1:6" x14ac:dyDescent="0.3">
      <c r="A485">
        <v>484</v>
      </c>
      <c r="B485" s="18" t="s">
        <v>977</v>
      </c>
      <c r="C485" s="18" t="s">
        <v>1586</v>
      </c>
      <c r="D485" s="22" t="s">
        <v>1012</v>
      </c>
      <c r="E485" s="23" t="s">
        <v>907</v>
      </c>
    </row>
    <row r="486" spans="1:6" x14ac:dyDescent="0.3">
      <c r="A486">
        <v>485</v>
      </c>
      <c r="B486" s="18" t="s">
        <v>977</v>
      </c>
      <c r="C486" s="18" t="s">
        <v>1587</v>
      </c>
      <c r="D486" s="22" t="s">
        <v>1010</v>
      </c>
      <c r="E486" s="23" t="s">
        <v>907</v>
      </c>
    </row>
    <row r="487" spans="1:6" x14ac:dyDescent="0.3">
      <c r="A487">
        <v>486</v>
      </c>
      <c r="B487" s="18" t="s">
        <v>977</v>
      </c>
      <c r="C487" s="18" t="s">
        <v>1588</v>
      </c>
      <c r="D487" s="22" t="s">
        <v>988</v>
      </c>
      <c r="E487" s="23" t="s">
        <v>989</v>
      </c>
      <c r="F487" s="23" t="s">
        <v>907</v>
      </c>
    </row>
    <row r="488" spans="1:6" x14ac:dyDescent="0.3">
      <c r="A488">
        <v>487</v>
      </c>
      <c r="B488" s="18" t="s">
        <v>977</v>
      </c>
      <c r="C488" s="18" t="s">
        <v>1015</v>
      </c>
      <c r="D488" s="22" t="s">
        <v>1016</v>
      </c>
      <c r="E488" s="23" t="s">
        <v>907</v>
      </c>
    </row>
    <row r="489" spans="1:6" x14ac:dyDescent="0.3">
      <c r="A489">
        <v>488</v>
      </c>
      <c r="B489" s="18" t="s">
        <v>977</v>
      </c>
      <c r="C489" s="18" t="s">
        <v>1589</v>
      </c>
      <c r="D489" s="22" t="s">
        <v>907</v>
      </c>
    </row>
    <row r="490" spans="1:6" x14ac:dyDescent="0.3">
      <c r="A490">
        <v>489</v>
      </c>
      <c r="B490" s="18" t="s">
        <v>977</v>
      </c>
      <c r="C490" s="18" t="s">
        <v>1590</v>
      </c>
      <c r="D490" s="22" t="s">
        <v>907</v>
      </c>
    </row>
    <row r="491" spans="1:6" x14ac:dyDescent="0.3">
      <c r="A491">
        <v>490</v>
      </c>
      <c r="B491" s="18" t="s">
        <v>977</v>
      </c>
      <c r="C491" s="18" t="s">
        <v>1591</v>
      </c>
      <c r="D491" s="22" t="s">
        <v>907</v>
      </c>
    </row>
    <row r="492" spans="1:6" x14ac:dyDescent="0.3">
      <c r="A492">
        <v>491</v>
      </c>
      <c r="B492" s="18" t="s">
        <v>977</v>
      </c>
      <c r="C492" s="18" t="s">
        <v>1592</v>
      </c>
      <c r="D492" s="22" t="s">
        <v>907</v>
      </c>
    </row>
    <row r="493" spans="1:6" x14ac:dyDescent="0.3">
      <c r="A493">
        <v>492</v>
      </c>
      <c r="B493" s="18" t="s">
        <v>977</v>
      </c>
      <c r="C493" s="18" t="s">
        <v>1593</v>
      </c>
      <c r="D493" s="22" t="s">
        <v>1129</v>
      </c>
    </row>
    <row r="494" spans="1:6" x14ac:dyDescent="0.3">
      <c r="A494">
        <v>493</v>
      </c>
      <c r="B494" s="18" t="s">
        <v>1019</v>
      </c>
      <c r="C494" s="18" t="s">
        <v>1594</v>
      </c>
      <c r="D494" s="22" t="s">
        <v>907</v>
      </c>
    </row>
    <row r="495" spans="1:6" x14ac:dyDescent="0.3">
      <c r="A495">
        <v>494</v>
      </c>
      <c r="B495" s="18" t="s">
        <v>1019</v>
      </c>
      <c r="C495" s="18" t="s">
        <v>1595</v>
      </c>
      <c r="D495" s="22" t="s">
        <v>907</v>
      </c>
    </row>
    <row r="496" spans="1:6" x14ac:dyDescent="0.3">
      <c r="A496">
        <v>495</v>
      </c>
      <c r="B496" s="18" t="s">
        <v>1019</v>
      </c>
      <c r="C496" s="18" t="s">
        <v>1596</v>
      </c>
      <c r="D496" s="22" t="s">
        <v>907</v>
      </c>
    </row>
    <row r="497" spans="1:6" x14ac:dyDescent="0.3">
      <c r="A497">
        <v>496</v>
      </c>
      <c r="B497" s="18" t="s">
        <v>1019</v>
      </c>
      <c r="C497" s="18" t="s">
        <v>1597</v>
      </c>
      <c r="D497" s="22" t="s">
        <v>907</v>
      </c>
    </row>
    <row r="498" spans="1:6" x14ac:dyDescent="0.3">
      <c r="A498">
        <v>497</v>
      </c>
      <c r="B498" s="18" t="s">
        <v>1019</v>
      </c>
      <c r="C498" s="18" t="s">
        <v>1598</v>
      </c>
      <c r="D498" s="22" t="s">
        <v>907</v>
      </c>
    </row>
    <row r="499" spans="1:6" x14ac:dyDescent="0.3">
      <c r="A499">
        <v>498</v>
      </c>
      <c r="B499" s="18" t="s">
        <v>1019</v>
      </c>
      <c r="C499" s="18" t="s">
        <v>1599</v>
      </c>
      <c r="D499" s="22" t="s">
        <v>988</v>
      </c>
      <c r="E499" s="23" t="s">
        <v>989</v>
      </c>
      <c r="F499" s="23" t="s">
        <v>907</v>
      </c>
    </row>
    <row r="500" spans="1:6" x14ac:dyDescent="0.3">
      <c r="A500">
        <v>499</v>
      </c>
      <c r="B500" s="18" t="s">
        <v>1019</v>
      </c>
      <c r="C500" s="18" t="s">
        <v>1600</v>
      </c>
      <c r="D500" s="22" t="s">
        <v>966</v>
      </c>
      <c r="E500" s="23" t="s">
        <v>961</v>
      </c>
      <c r="F500" s="23" t="s">
        <v>1023</v>
      </c>
    </row>
    <row r="501" spans="1:6" x14ac:dyDescent="0.3">
      <c r="A501">
        <v>500</v>
      </c>
      <c r="B501" s="18" t="s">
        <v>1019</v>
      </c>
      <c r="C501" s="18" t="s">
        <v>1601</v>
      </c>
      <c r="D501" s="22" t="s">
        <v>1027</v>
      </c>
      <c r="E501" s="23" t="s">
        <v>961</v>
      </c>
      <c r="F501" s="23" t="s">
        <v>1028</v>
      </c>
    </row>
    <row r="502" spans="1:6" x14ac:dyDescent="0.3">
      <c r="A502">
        <v>501</v>
      </c>
      <c r="B502" s="18" t="s">
        <v>1019</v>
      </c>
      <c r="C502" s="18" t="s">
        <v>1602</v>
      </c>
      <c r="D502" s="22" t="s">
        <v>1010</v>
      </c>
      <c r="E502" s="23" t="s">
        <v>907</v>
      </c>
    </row>
    <row r="503" spans="1:6" x14ac:dyDescent="0.3">
      <c r="A503">
        <v>502</v>
      </c>
      <c r="B503" s="18" t="s">
        <v>1019</v>
      </c>
      <c r="C503" s="18" t="s">
        <v>1020</v>
      </c>
      <c r="D503" s="22" t="s">
        <v>996</v>
      </c>
      <c r="E503" s="23" t="s">
        <v>907</v>
      </c>
    </row>
    <row r="504" spans="1:6" x14ac:dyDescent="0.3">
      <c r="A504">
        <v>503</v>
      </c>
      <c r="B504" s="18" t="s">
        <v>1019</v>
      </c>
      <c r="C504" s="18" t="s">
        <v>1603</v>
      </c>
      <c r="D504" s="22" t="s">
        <v>1014</v>
      </c>
      <c r="E504" s="23" t="s">
        <v>907</v>
      </c>
    </row>
    <row r="505" spans="1:6" x14ac:dyDescent="0.3">
      <c r="A505">
        <v>504</v>
      </c>
      <c r="B505" s="18" t="s">
        <v>1019</v>
      </c>
      <c r="C505" s="18" t="s">
        <v>1604</v>
      </c>
      <c r="D505" s="22" t="s">
        <v>998</v>
      </c>
      <c r="E505" s="23" t="s">
        <v>907</v>
      </c>
    </row>
    <row r="506" spans="1:6" x14ac:dyDescent="0.3">
      <c r="A506">
        <v>505</v>
      </c>
      <c r="B506" s="18" t="s">
        <v>1019</v>
      </c>
      <c r="C506" s="18" t="s">
        <v>1605</v>
      </c>
      <c r="D506" s="22" t="s">
        <v>1012</v>
      </c>
      <c r="E506" s="23" t="s">
        <v>907</v>
      </c>
    </row>
    <row r="507" spans="1:6" x14ac:dyDescent="0.3">
      <c r="A507">
        <v>506</v>
      </c>
      <c r="B507" s="18" t="s">
        <v>1029</v>
      </c>
      <c r="C507" s="18" t="s">
        <v>1030</v>
      </c>
      <c r="D507" s="22" t="s">
        <v>919</v>
      </c>
      <c r="E507" s="23" t="s">
        <v>907</v>
      </c>
    </row>
    <row r="508" spans="1:6" x14ac:dyDescent="0.3">
      <c r="A508">
        <v>507</v>
      </c>
      <c r="B508" s="18" t="s">
        <v>1029</v>
      </c>
      <c r="C508" s="18" t="s">
        <v>1606</v>
      </c>
      <c r="D508" s="22" t="s">
        <v>1032</v>
      </c>
      <c r="E508" s="23" t="s">
        <v>907</v>
      </c>
    </row>
    <row r="509" spans="1:6" x14ac:dyDescent="0.3">
      <c r="A509">
        <v>508</v>
      </c>
      <c r="B509" s="18" t="s">
        <v>1029</v>
      </c>
      <c r="C509" s="18" t="s">
        <v>1607</v>
      </c>
      <c r="D509" s="22" t="s">
        <v>1012</v>
      </c>
      <c r="E509" s="23" t="s">
        <v>907</v>
      </c>
    </row>
    <row r="510" spans="1:6" x14ac:dyDescent="0.3">
      <c r="A510">
        <v>509</v>
      </c>
      <c r="B510" s="18" t="s">
        <v>1029</v>
      </c>
      <c r="C510" s="18" t="s">
        <v>1608</v>
      </c>
      <c r="D510" s="22" t="s">
        <v>1035</v>
      </c>
      <c r="E510" s="23" t="s">
        <v>907</v>
      </c>
    </row>
    <row r="511" spans="1:6" x14ac:dyDescent="0.3">
      <c r="A511">
        <v>510</v>
      </c>
      <c r="B511" s="18" t="s">
        <v>1029</v>
      </c>
      <c r="C511" s="18" t="s">
        <v>1036</v>
      </c>
      <c r="D511" s="22" t="s">
        <v>1037</v>
      </c>
      <c r="E511" s="23" t="s">
        <v>907</v>
      </c>
    </row>
    <row r="512" spans="1:6" x14ac:dyDescent="0.3">
      <c r="A512">
        <v>511</v>
      </c>
      <c r="B512" s="18" t="s">
        <v>1029</v>
      </c>
      <c r="C512" s="18" t="s">
        <v>1038</v>
      </c>
      <c r="D512" s="22" t="s">
        <v>915</v>
      </c>
      <c r="E512" s="23" t="s">
        <v>907</v>
      </c>
    </row>
    <row r="513" spans="1:5" x14ac:dyDescent="0.3">
      <c r="A513">
        <v>512</v>
      </c>
      <c r="B513" s="18" t="s">
        <v>1029</v>
      </c>
      <c r="C513" s="18" t="s">
        <v>1039</v>
      </c>
      <c r="D513" s="22" t="s">
        <v>1040</v>
      </c>
      <c r="E513" s="23" t="s">
        <v>911</v>
      </c>
    </row>
    <row r="514" spans="1:5" x14ac:dyDescent="0.3">
      <c r="A514">
        <v>513</v>
      </c>
      <c r="B514" s="18" t="s">
        <v>1029</v>
      </c>
      <c r="C514" s="18" t="s">
        <v>1041</v>
      </c>
      <c r="D514" s="22" t="s">
        <v>1042</v>
      </c>
      <c r="E514" s="23" t="s">
        <v>907</v>
      </c>
    </row>
    <row r="515" spans="1:5" x14ac:dyDescent="0.3">
      <c r="A515">
        <v>514</v>
      </c>
      <c r="B515" s="18" t="s">
        <v>1029</v>
      </c>
      <c r="C515" s="18" t="s">
        <v>1609</v>
      </c>
      <c r="D515" s="22" t="s">
        <v>907</v>
      </c>
    </row>
    <row r="516" spans="1:5" x14ac:dyDescent="0.3">
      <c r="A516">
        <v>515</v>
      </c>
      <c r="B516" s="18" t="s">
        <v>913</v>
      </c>
      <c r="C516" s="18" t="s">
        <v>1610</v>
      </c>
      <c r="D516" s="22" t="s">
        <v>907</v>
      </c>
    </row>
    <row r="517" spans="1:5" x14ac:dyDescent="0.3">
      <c r="A517">
        <v>516</v>
      </c>
      <c r="B517" s="18" t="s">
        <v>913</v>
      </c>
      <c r="C517" s="18" t="s">
        <v>1611</v>
      </c>
      <c r="D517" s="22" t="s">
        <v>907</v>
      </c>
    </row>
    <row r="518" spans="1:5" x14ac:dyDescent="0.3">
      <c r="A518">
        <v>517</v>
      </c>
      <c r="B518" s="18" t="s">
        <v>913</v>
      </c>
      <c r="C518" s="18" t="s">
        <v>1381</v>
      </c>
      <c r="D518" s="22" t="s">
        <v>907</v>
      </c>
    </row>
    <row r="519" spans="1:5" x14ac:dyDescent="0.3">
      <c r="A519">
        <v>518</v>
      </c>
      <c r="B519" s="18" t="s">
        <v>1044</v>
      </c>
      <c r="C519" s="18" t="s">
        <v>1612</v>
      </c>
      <c r="D519" s="22" t="s">
        <v>907</v>
      </c>
    </row>
    <row r="520" spans="1:5" x14ac:dyDescent="0.3">
      <c r="A520">
        <v>519</v>
      </c>
      <c r="B520" s="18" t="s">
        <v>1044</v>
      </c>
      <c r="C520" s="18" t="s">
        <v>1467</v>
      </c>
      <c r="D520" s="22" t="s">
        <v>907</v>
      </c>
    </row>
    <row r="521" spans="1:5" x14ac:dyDescent="0.3">
      <c r="A521">
        <v>520</v>
      </c>
      <c r="B521" s="18" t="s">
        <v>1044</v>
      </c>
      <c r="C521" s="18" t="s">
        <v>1613</v>
      </c>
      <c r="D521" s="22" t="s">
        <v>907</v>
      </c>
    </row>
    <row r="522" spans="1:5" x14ac:dyDescent="0.3">
      <c r="A522">
        <v>521</v>
      </c>
      <c r="B522" s="18" t="s">
        <v>1044</v>
      </c>
      <c r="C522" s="18" t="s">
        <v>1614</v>
      </c>
      <c r="D522" s="22" t="s">
        <v>907</v>
      </c>
    </row>
    <row r="523" spans="1:5" x14ac:dyDescent="0.3">
      <c r="A523">
        <v>522</v>
      </c>
      <c r="B523" s="18" t="s">
        <v>1044</v>
      </c>
      <c r="C523" s="18" t="s">
        <v>1615</v>
      </c>
      <c r="D523" s="22" t="s">
        <v>907</v>
      </c>
    </row>
    <row r="524" spans="1:5" x14ac:dyDescent="0.3">
      <c r="A524">
        <v>523</v>
      </c>
      <c r="B524" s="18" t="s">
        <v>1044</v>
      </c>
      <c r="C524" s="18" t="s">
        <v>1616</v>
      </c>
      <c r="D524" s="22" t="s">
        <v>907</v>
      </c>
    </row>
    <row r="525" spans="1:5" x14ac:dyDescent="0.3">
      <c r="A525">
        <v>524</v>
      </c>
      <c r="B525" s="18" t="s">
        <v>1044</v>
      </c>
      <c r="C525" s="18" t="s">
        <v>1617</v>
      </c>
      <c r="D525" s="22" t="s">
        <v>1054</v>
      </c>
      <c r="E525" s="23" t="s">
        <v>1618</v>
      </c>
    </row>
    <row r="526" spans="1:5" x14ac:dyDescent="0.3">
      <c r="A526">
        <v>525</v>
      </c>
      <c r="B526" s="18" t="s">
        <v>1044</v>
      </c>
      <c r="C526" s="18" t="s">
        <v>1619</v>
      </c>
      <c r="D526" s="22" t="s">
        <v>907</v>
      </c>
    </row>
    <row r="527" spans="1:5" x14ac:dyDescent="0.3">
      <c r="A527">
        <v>526</v>
      </c>
      <c r="B527" s="18" t="s">
        <v>926</v>
      </c>
      <c r="C527" s="18" t="s">
        <v>1620</v>
      </c>
      <c r="D527" s="22" t="s">
        <v>907</v>
      </c>
    </row>
    <row r="528" spans="1:5" x14ac:dyDescent="0.3">
      <c r="A528">
        <v>527</v>
      </c>
      <c r="B528" s="18" t="s">
        <v>926</v>
      </c>
      <c r="C528" s="18" t="s">
        <v>1621</v>
      </c>
      <c r="D528" s="22" t="s">
        <v>907</v>
      </c>
    </row>
    <row r="529" spans="1:4" x14ac:dyDescent="0.3">
      <c r="A529">
        <v>528</v>
      </c>
      <c r="B529" s="18" t="s">
        <v>926</v>
      </c>
      <c r="C529" s="18" t="s">
        <v>1622</v>
      </c>
      <c r="D529" s="22" t="s">
        <v>907</v>
      </c>
    </row>
    <row r="530" spans="1:4" x14ac:dyDescent="0.3">
      <c r="A530">
        <v>529</v>
      </c>
      <c r="B530" s="18" t="s">
        <v>926</v>
      </c>
      <c r="C530" s="18" t="s">
        <v>1623</v>
      </c>
      <c r="D530" s="22" t="s">
        <v>907</v>
      </c>
    </row>
    <row r="531" spans="1:4" x14ac:dyDescent="0.3">
      <c r="A531">
        <v>530</v>
      </c>
      <c r="B531" s="18" t="s">
        <v>926</v>
      </c>
      <c r="C531" s="18" t="s">
        <v>1624</v>
      </c>
      <c r="D531" s="22" t="s">
        <v>907</v>
      </c>
    </row>
    <row r="532" spans="1:4" x14ac:dyDescent="0.3">
      <c r="A532">
        <v>531</v>
      </c>
      <c r="B532" s="18" t="s">
        <v>926</v>
      </c>
      <c r="C532" s="18" t="s">
        <v>1625</v>
      </c>
      <c r="D532" s="22" t="s">
        <v>907</v>
      </c>
    </row>
    <row r="533" spans="1:4" x14ac:dyDescent="0.3">
      <c r="A533">
        <v>532</v>
      </c>
      <c r="B533" s="18" t="s">
        <v>929</v>
      </c>
      <c r="C533" s="18" t="s">
        <v>1626</v>
      </c>
      <c r="D533" s="22" t="s">
        <v>907</v>
      </c>
    </row>
    <row r="534" spans="1:4" x14ac:dyDescent="0.3">
      <c r="A534">
        <v>533</v>
      </c>
      <c r="B534" s="18" t="s">
        <v>929</v>
      </c>
      <c r="C534" s="18" t="s">
        <v>1627</v>
      </c>
      <c r="D534" s="22" t="s">
        <v>907</v>
      </c>
    </row>
    <row r="535" spans="1:4" x14ac:dyDescent="0.3">
      <c r="A535">
        <v>534</v>
      </c>
      <c r="B535" s="18" t="s">
        <v>929</v>
      </c>
      <c r="C535" s="18" t="s">
        <v>1628</v>
      </c>
      <c r="D535" s="22" t="s">
        <v>907</v>
      </c>
    </row>
    <row r="536" spans="1:4" x14ac:dyDescent="0.3">
      <c r="A536">
        <v>535</v>
      </c>
      <c r="B536" s="18" t="s">
        <v>935</v>
      </c>
      <c r="C536" s="18" t="s">
        <v>1629</v>
      </c>
      <c r="D536" s="22" t="s">
        <v>907</v>
      </c>
    </row>
    <row r="537" spans="1:4" x14ac:dyDescent="0.3">
      <c r="A537">
        <v>536</v>
      </c>
      <c r="B537" s="18" t="s">
        <v>935</v>
      </c>
      <c r="C537" s="18" t="s">
        <v>1630</v>
      </c>
      <c r="D537" s="22" t="s">
        <v>907</v>
      </c>
    </row>
    <row r="538" spans="1:4" x14ac:dyDescent="0.3">
      <c r="A538">
        <v>537</v>
      </c>
      <c r="B538" s="18" t="s">
        <v>935</v>
      </c>
      <c r="C538" s="18" t="s">
        <v>1631</v>
      </c>
      <c r="D538" s="22" t="s">
        <v>907</v>
      </c>
    </row>
    <row r="539" spans="1:4" x14ac:dyDescent="0.3">
      <c r="A539">
        <v>538</v>
      </c>
      <c r="B539" s="18" t="s">
        <v>935</v>
      </c>
      <c r="C539" s="18" t="s">
        <v>1632</v>
      </c>
      <c r="D539" s="22" t="s">
        <v>907</v>
      </c>
    </row>
    <row r="540" spans="1:4" x14ac:dyDescent="0.3">
      <c r="A540">
        <v>539</v>
      </c>
      <c r="B540" s="18" t="s">
        <v>935</v>
      </c>
      <c r="C540" s="18" t="s">
        <v>1633</v>
      </c>
      <c r="D540" s="22" t="s">
        <v>907</v>
      </c>
    </row>
    <row r="541" spans="1:4" x14ac:dyDescent="0.3">
      <c r="A541">
        <v>540</v>
      </c>
      <c r="B541" s="18" t="s">
        <v>935</v>
      </c>
      <c r="C541" s="18" t="s">
        <v>1634</v>
      </c>
      <c r="D541" s="22" t="s">
        <v>907</v>
      </c>
    </row>
    <row r="542" spans="1:4" x14ac:dyDescent="0.3">
      <c r="A542">
        <v>541</v>
      </c>
      <c r="B542" s="18" t="s">
        <v>935</v>
      </c>
      <c r="C542" s="18" t="s">
        <v>1635</v>
      </c>
      <c r="D542" s="22" t="s">
        <v>907</v>
      </c>
    </row>
    <row r="543" spans="1:4" x14ac:dyDescent="0.3">
      <c r="A543">
        <v>542</v>
      </c>
      <c r="B543" s="18" t="s">
        <v>935</v>
      </c>
      <c r="C543" s="18" t="s">
        <v>1636</v>
      </c>
      <c r="D543" s="22" t="s">
        <v>907</v>
      </c>
    </row>
    <row r="544" spans="1:4" x14ac:dyDescent="0.3">
      <c r="A544">
        <v>543</v>
      </c>
      <c r="B544" s="18" t="s">
        <v>935</v>
      </c>
      <c r="C544" s="18" t="s">
        <v>1637</v>
      </c>
      <c r="D544" s="22" t="s">
        <v>907</v>
      </c>
    </row>
    <row r="545" spans="1:4" x14ac:dyDescent="0.3">
      <c r="A545">
        <v>544</v>
      </c>
      <c r="B545" s="18" t="s">
        <v>935</v>
      </c>
      <c r="C545" s="18" t="s">
        <v>1638</v>
      </c>
      <c r="D545" s="22" t="s">
        <v>907</v>
      </c>
    </row>
    <row r="546" spans="1:4" x14ac:dyDescent="0.3">
      <c r="A546">
        <v>545</v>
      </c>
      <c r="B546" s="18" t="s">
        <v>935</v>
      </c>
      <c r="C546" s="18" t="s">
        <v>1639</v>
      </c>
      <c r="D546" s="22" t="s">
        <v>907</v>
      </c>
    </row>
    <row r="547" spans="1:4" x14ac:dyDescent="0.3">
      <c r="A547">
        <v>546</v>
      </c>
      <c r="B547" s="18" t="s">
        <v>935</v>
      </c>
      <c r="C547" s="18" t="s">
        <v>1640</v>
      </c>
      <c r="D547" s="22" t="s">
        <v>907</v>
      </c>
    </row>
    <row r="548" spans="1:4" x14ac:dyDescent="0.3">
      <c r="A548">
        <v>547</v>
      </c>
      <c r="B548" s="18" t="s">
        <v>935</v>
      </c>
      <c r="C548" s="18" t="s">
        <v>1641</v>
      </c>
      <c r="D548" s="22" t="s">
        <v>907</v>
      </c>
    </row>
    <row r="549" spans="1:4" x14ac:dyDescent="0.3">
      <c r="A549">
        <v>548</v>
      </c>
      <c r="B549" s="18" t="s">
        <v>935</v>
      </c>
      <c r="C549" s="18" t="s">
        <v>1642</v>
      </c>
      <c r="D549" s="22" t="s">
        <v>907</v>
      </c>
    </row>
    <row r="550" spans="1:4" x14ac:dyDescent="0.3">
      <c r="A550">
        <v>549</v>
      </c>
      <c r="B550" s="18" t="s">
        <v>935</v>
      </c>
      <c r="C550" s="18" t="s">
        <v>1643</v>
      </c>
      <c r="D550" s="22" t="s">
        <v>907</v>
      </c>
    </row>
    <row r="551" spans="1:4" x14ac:dyDescent="0.3">
      <c r="A551">
        <v>550</v>
      </c>
      <c r="B551" s="18" t="s">
        <v>935</v>
      </c>
      <c r="C551" s="18" t="s">
        <v>1644</v>
      </c>
      <c r="D551" s="22" t="s">
        <v>907</v>
      </c>
    </row>
    <row r="552" spans="1:4" x14ac:dyDescent="0.3">
      <c r="A552">
        <v>551</v>
      </c>
      <c r="B552" s="18" t="s">
        <v>937</v>
      </c>
      <c r="C552" s="18" t="s">
        <v>1645</v>
      </c>
      <c r="D552" s="22" t="s">
        <v>907</v>
      </c>
    </row>
    <row r="553" spans="1:4" x14ac:dyDescent="0.3">
      <c r="A553">
        <v>552</v>
      </c>
      <c r="B553" s="18" t="s">
        <v>937</v>
      </c>
      <c r="C553" s="18" t="s">
        <v>1646</v>
      </c>
      <c r="D553" s="22" t="s">
        <v>907</v>
      </c>
    </row>
    <row r="554" spans="1:4" x14ac:dyDescent="0.3">
      <c r="A554">
        <v>553</v>
      </c>
      <c r="B554" s="18" t="s">
        <v>937</v>
      </c>
      <c r="C554" s="18" t="s">
        <v>1647</v>
      </c>
      <c r="D554" s="22" t="s">
        <v>907</v>
      </c>
    </row>
    <row r="555" spans="1:4" x14ac:dyDescent="0.3">
      <c r="A555">
        <v>554</v>
      </c>
      <c r="B555" s="18" t="s">
        <v>1048</v>
      </c>
      <c r="C555" s="18" t="s">
        <v>1648</v>
      </c>
      <c r="D555" s="22" t="s">
        <v>907</v>
      </c>
    </row>
    <row r="556" spans="1:4" x14ac:dyDescent="0.3">
      <c r="A556">
        <v>555</v>
      </c>
      <c r="B556" s="18" t="s">
        <v>937</v>
      </c>
      <c r="C556" s="18" t="s">
        <v>1649</v>
      </c>
      <c r="D556" s="22" t="s">
        <v>907</v>
      </c>
    </row>
    <row r="557" spans="1:4" x14ac:dyDescent="0.3">
      <c r="A557">
        <v>556</v>
      </c>
      <c r="B557" s="18" t="s">
        <v>1048</v>
      </c>
      <c r="C557" s="18" t="s">
        <v>1650</v>
      </c>
      <c r="D557" s="22" t="s">
        <v>907</v>
      </c>
    </row>
    <row r="558" spans="1:4" x14ac:dyDescent="0.3">
      <c r="A558">
        <v>557</v>
      </c>
      <c r="B558" s="18" t="s">
        <v>1048</v>
      </c>
      <c r="C558" s="18" t="s">
        <v>1651</v>
      </c>
      <c r="D558" s="22" t="s">
        <v>907</v>
      </c>
    </row>
    <row r="559" spans="1:4" x14ac:dyDescent="0.3">
      <c r="A559">
        <v>558</v>
      </c>
      <c r="B559" s="18" t="s">
        <v>1048</v>
      </c>
      <c r="C559" s="18" t="s">
        <v>1652</v>
      </c>
      <c r="D559" s="22" t="s">
        <v>907</v>
      </c>
    </row>
    <row r="560" spans="1:4" x14ac:dyDescent="0.3">
      <c r="A560">
        <v>559</v>
      </c>
      <c r="B560" s="18" t="s">
        <v>1296</v>
      </c>
      <c r="C560" s="18" t="s">
        <v>1295</v>
      </c>
      <c r="D560" s="22" t="s">
        <v>907</v>
      </c>
    </row>
    <row r="561" spans="1:5" x14ac:dyDescent="0.3">
      <c r="A561">
        <v>560</v>
      </c>
      <c r="B561" s="18" t="s">
        <v>1296</v>
      </c>
      <c r="C561" s="18" t="s">
        <v>1653</v>
      </c>
      <c r="D561" s="22" t="s">
        <v>907</v>
      </c>
    </row>
    <row r="562" spans="1:5" x14ac:dyDescent="0.3">
      <c r="A562">
        <v>561</v>
      </c>
      <c r="B562" s="18" t="s">
        <v>1050</v>
      </c>
      <c r="C562" s="18" t="s">
        <v>1654</v>
      </c>
      <c r="D562" s="22" t="s">
        <v>907</v>
      </c>
    </row>
    <row r="563" spans="1:5" x14ac:dyDescent="0.3">
      <c r="A563">
        <v>562</v>
      </c>
      <c r="B563" s="18" t="s">
        <v>1050</v>
      </c>
      <c r="C563" s="18" t="s">
        <v>1655</v>
      </c>
      <c r="D563" s="22" t="s">
        <v>907</v>
      </c>
    </row>
    <row r="564" spans="1:5" x14ac:dyDescent="0.3">
      <c r="A564">
        <v>563</v>
      </c>
      <c r="B564" s="18" t="s">
        <v>1050</v>
      </c>
      <c r="C564" s="18" t="s">
        <v>1656</v>
      </c>
      <c r="D564" s="22" t="s">
        <v>907</v>
      </c>
    </row>
    <row r="565" spans="1:5" x14ac:dyDescent="0.3">
      <c r="A565">
        <v>564</v>
      </c>
      <c r="B565" s="18" t="s">
        <v>1050</v>
      </c>
      <c r="C565" s="18" t="s">
        <v>1657</v>
      </c>
      <c r="D565" s="22" t="s">
        <v>1054</v>
      </c>
      <c r="E565" s="23" t="s">
        <v>1149</v>
      </c>
    </row>
    <row r="566" spans="1:5" x14ac:dyDescent="0.3">
      <c r="A566">
        <v>565</v>
      </c>
      <c r="B566" s="18" t="s">
        <v>1050</v>
      </c>
      <c r="C566" s="18" t="s">
        <v>1658</v>
      </c>
      <c r="D566" s="22" t="s">
        <v>907</v>
      </c>
    </row>
    <row r="567" spans="1:5" x14ac:dyDescent="0.3">
      <c r="A567">
        <v>566</v>
      </c>
      <c r="B567" s="18" t="s">
        <v>1050</v>
      </c>
      <c r="C567" s="18" t="s">
        <v>1659</v>
      </c>
      <c r="D567" s="22" t="s">
        <v>907</v>
      </c>
    </row>
    <row r="568" spans="1:5" x14ac:dyDescent="0.3">
      <c r="A568">
        <v>567</v>
      </c>
      <c r="B568" s="18" t="s">
        <v>1050</v>
      </c>
      <c r="C568" s="18" t="s">
        <v>1660</v>
      </c>
      <c r="D568" s="22" t="s">
        <v>907</v>
      </c>
    </row>
    <row r="569" spans="1:5" x14ac:dyDescent="0.3">
      <c r="A569">
        <v>568</v>
      </c>
      <c r="B569" s="18" t="s">
        <v>942</v>
      </c>
      <c r="C569" s="18" t="s">
        <v>1661</v>
      </c>
      <c r="D569" s="22" t="s">
        <v>907</v>
      </c>
    </row>
    <row r="570" spans="1:5" x14ac:dyDescent="0.3">
      <c r="A570">
        <v>569</v>
      </c>
      <c r="B570" s="18" t="s">
        <v>942</v>
      </c>
      <c r="C570" s="18" t="s">
        <v>1662</v>
      </c>
      <c r="D570" s="22" t="s">
        <v>1444</v>
      </c>
      <c r="E570" s="23" t="s">
        <v>907</v>
      </c>
    </row>
    <row r="571" spans="1:5" x14ac:dyDescent="0.3">
      <c r="A571">
        <v>570</v>
      </c>
      <c r="B571" s="18" t="s">
        <v>942</v>
      </c>
      <c r="C571" s="18" t="s">
        <v>1663</v>
      </c>
      <c r="D571" s="22" t="s">
        <v>907</v>
      </c>
    </row>
    <row r="572" spans="1:5" x14ac:dyDescent="0.3">
      <c r="A572">
        <v>571</v>
      </c>
      <c r="B572" s="18" t="s">
        <v>942</v>
      </c>
      <c r="C572" s="18" t="s">
        <v>1664</v>
      </c>
      <c r="D572" s="22" t="s">
        <v>907</v>
      </c>
    </row>
    <row r="573" spans="1:5" x14ac:dyDescent="0.3">
      <c r="A573">
        <v>572</v>
      </c>
      <c r="B573" s="18" t="s">
        <v>942</v>
      </c>
      <c r="C573" s="18" t="s">
        <v>1665</v>
      </c>
      <c r="D573" s="22" t="s">
        <v>907</v>
      </c>
    </row>
    <row r="574" spans="1:5" x14ac:dyDescent="0.3">
      <c r="A574">
        <v>573</v>
      </c>
      <c r="B574" s="18" t="s">
        <v>944</v>
      </c>
      <c r="C574" s="18" t="s">
        <v>1666</v>
      </c>
      <c r="D574" s="22" t="s">
        <v>907</v>
      </c>
    </row>
    <row r="575" spans="1:5" x14ac:dyDescent="0.3">
      <c r="A575">
        <v>574</v>
      </c>
      <c r="B575" s="18" t="s">
        <v>944</v>
      </c>
      <c r="C575" s="18" t="s">
        <v>1667</v>
      </c>
      <c r="D575" s="22" t="s">
        <v>907</v>
      </c>
    </row>
    <row r="576" spans="1:5" x14ac:dyDescent="0.3">
      <c r="A576">
        <v>575</v>
      </c>
      <c r="B576" s="18" t="s">
        <v>944</v>
      </c>
      <c r="C576" s="18" t="s">
        <v>1668</v>
      </c>
      <c r="D576" s="22" t="s">
        <v>907</v>
      </c>
    </row>
    <row r="577" spans="1:4" x14ac:dyDescent="0.3">
      <c r="A577">
        <v>576</v>
      </c>
      <c r="B577" s="18" t="s">
        <v>946</v>
      </c>
      <c r="C577" s="18" t="s">
        <v>1669</v>
      </c>
      <c r="D577" s="22" t="s">
        <v>907</v>
      </c>
    </row>
    <row r="578" spans="1:4" x14ac:dyDescent="0.3">
      <c r="A578">
        <v>577</v>
      </c>
      <c r="B578" s="18" t="s">
        <v>946</v>
      </c>
      <c r="C578" s="18" t="s">
        <v>1670</v>
      </c>
      <c r="D578" s="22" t="s">
        <v>907</v>
      </c>
    </row>
    <row r="579" spans="1:4" x14ac:dyDescent="0.3">
      <c r="A579">
        <v>578</v>
      </c>
      <c r="B579" s="18" t="s">
        <v>946</v>
      </c>
      <c r="C579" s="18" t="s">
        <v>1671</v>
      </c>
      <c r="D579" s="22" t="s">
        <v>907</v>
      </c>
    </row>
    <row r="580" spans="1:4" x14ac:dyDescent="0.3">
      <c r="A580">
        <v>579</v>
      </c>
      <c r="B580" s="18" t="s">
        <v>946</v>
      </c>
      <c r="C580" s="18" t="s">
        <v>1672</v>
      </c>
      <c r="D580" s="22" t="s">
        <v>907</v>
      </c>
    </row>
    <row r="581" spans="1:4" x14ac:dyDescent="0.3">
      <c r="A581">
        <v>580</v>
      </c>
      <c r="B581" s="18" t="s">
        <v>946</v>
      </c>
      <c r="C581" s="18" t="s">
        <v>1673</v>
      </c>
      <c r="D581" s="22" t="s">
        <v>907</v>
      </c>
    </row>
    <row r="582" spans="1:4" x14ac:dyDescent="0.3">
      <c r="A582">
        <v>581</v>
      </c>
      <c r="B582" s="18" t="s">
        <v>946</v>
      </c>
      <c r="C582" s="18" t="s">
        <v>1674</v>
      </c>
      <c r="D582" s="22" t="s">
        <v>907</v>
      </c>
    </row>
    <row r="583" spans="1:4" x14ac:dyDescent="0.3">
      <c r="A583">
        <v>582</v>
      </c>
      <c r="B583" s="18" t="s">
        <v>946</v>
      </c>
      <c r="C583" s="18" t="s">
        <v>1675</v>
      </c>
      <c r="D583" s="22" t="s">
        <v>907</v>
      </c>
    </row>
    <row r="584" spans="1:4" x14ac:dyDescent="0.3">
      <c r="A584">
        <v>583</v>
      </c>
      <c r="B584" s="18" t="s">
        <v>946</v>
      </c>
      <c r="C584" s="18" t="s">
        <v>1676</v>
      </c>
      <c r="D584" s="22" t="s">
        <v>907</v>
      </c>
    </row>
    <row r="585" spans="1:4" x14ac:dyDescent="0.3">
      <c r="A585">
        <v>584</v>
      </c>
      <c r="B585" s="18" t="s">
        <v>946</v>
      </c>
      <c r="C585" s="18" t="s">
        <v>1677</v>
      </c>
      <c r="D585" s="22" t="s">
        <v>907</v>
      </c>
    </row>
    <row r="586" spans="1:4" x14ac:dyDescent="0.3">
      <c r="A586">
        <v>585</v>
      </c>
      <c r="B586" s="18" t="s">
        <v>946</v>
      </c>
      <c r="C586" s="18" t="s">
        <v>1678</v>
      </c>
      <c r="D586" s="22" t="s">
        <v>907</v>
      </c>
    </row>
    <row r="587" spans="1:4" x14ac:dyDescent="0.3">
      <c r="A587">
        <v>586</v>
      </c>
      <c r="B587" s="18" t="s">
        <v>946</v>
      </c>
      <c r="C587" s="18" t="s">
        <v>1679</v>
      </c>
      <c r="D587" s="22" t="s">
        <v>907</v>
      </c>
    </row>
    <row r="588" spans="1:4" x14ac:dyDescent="0.3">
      <c r="A588">
        <v>587</v>
      </c>
      <c r="B588" s="18" t="s">
        <v>946</v>
      </c>
      <c r="C588" s="18" t="s">
        <v>1680</v>
      </c>
      <c r="D588" s="22" t="s">
        <v>907</v>
      </c>
    </row>
    <row r="589" spans="1:4" x14ac:dyDescent="0.3">
      <c r="A589">
        <v>588</v>
      </c>
      <c r="B589" s="18" t="s">
        <v>946</v>
      </c>
      <c r="C589" s="18" t="s">
        <v>1681</v>
      </c>
      <c r="D589" s="22" t="s">
        <v>907</v>
      </c>
    </row>
    <row r="590" spans="1:4" x14ac:dyDescent="0.3">
      <c r="A590">
        <v>589</v>
      </c>
      <c r="B590" s="18" t="s">
        <v>949</v>
      </c>
      <c r="C590" s="18" t="s">
        <v>1682</v>
      </c>
      <c r="D590" s="22" t="s">
        <v>907</v>
      </c>
    </row>
    <row r="591" spans="1:4" x14ac:dyDescent="0.3">
      <c r="A591">
        <v>590</v>
      </c>
      <c r="B591" s="18" t="s">
        <v>949</v>
      </c>
      <c r="C591" s="18" t="s">
        <v>1683</v>
      </c>
      <c r="D591" s="22" t="s">
        <v>907</v>
      </c>
    </row>
    <row r="592" spans="1:4" x14ac:dyDescent="0.3">
      <c r="A592">
        <v>591</v>
      </c>
      <c r="B592" s="18" t="s">
        <v>949</v>
      </c>
      <c r="C592" s="18" t="s">
        <v>1684</v>
      </c>
      <c r="D592" s="22" t="s">
        <v>907</v>
      </c>
    </row>
    <row r="593" spans="1:5" x14ac:dyDescent="0.3">
      <c r="A593">
        <v>592</v>
      </c>
      <c r="B593" s="18" t="s">
        <v>949</v>
      </c>
      <c r="C593" s="18" t="s">
        <v>1685</v>
      </c>
      <c r="D593" s="22" t="s">
        <v>907</v>
      </c>
    </row>
    <row r="594" spans="1:5" x14ac:dyDescent="0.3">
      <c r="A594">
        <v>593</v>
      </c>
      <c r="B594" s="18" t="s">
        <v>949</v>
      </c>
      <c r="C594" s="18" t="s">
        <v>1686</v>
      </c>
      <c r="D594" s="22" t="s">
        <v>907</v>
      </c>
    </row>
    <row r="595" spans="1:5" x14ac:dyDescent="0.3">
      <c r="A595">
        <v>594</v>
      </c>
      <c r="B595" s="18" t="s">
        <v>949</v>
      </c>
      <c r="C595" s="18" t="s">
        <v>1687</v>
      </c>
      <c r="D595" s="22" t="s">
        <v>907</v>
      </c>
    </row>
    <row r="596" spans="1:5" x14ac:dyDescent="0.3">
      <c r="A596">
        <v>595</v>
      </c>
      <c r="B596" s="18" t="s">
        <v>949</v>
      </c>
      <c r="C596" s="18" t="s">
        <v>1685</v>
      </c>
      <c r="D596" s="22" t="s">
        <v>907</v>
      </c>
    </row>
    <row r="597" spans="1:5" x14ac:dyDescent="0.3">
      <c r="A597">
        <v>596</v>
      </c>
      <c r="B597" s="18" t="s">
        <v>1087</v>
      </c>
      <c r="C597" s="18" t="s">
        <v>1688</v>
      </c>
      <c r="D597" s="22" t="s">
        <v>907</v>
      </c>
    </row>
    <row r="598" spans="1:5" x14ac:dyDescent="0.3">
      <c r="A598">
        <v>597</v>
      </c>
      <c r="B598" s="18" t="s">
        <v>1087</v>
      </c>
      <c r="C598" s="18" t="s">
        <v>1689</v>
      </c>
      <c r="D598" s="22" t="s">
        <v>907</v>
      </c>
    </row>
    <row r="599" spans="1:5" x14ac:dyDescent="0.3">
      <c r="A599">
        <v>598</v>
      </c>
      <c r="B599" s="18" t="s">
        <v>1087</v>
      </c>
      <c r="C599" s="18" t="s">
        <v>1690</v>
      </c>
      <c r="D599" s="22" t="s">
        <v>907</v>
      </c>
    </row>
    <row r="600" spans="1:5" x14ac:dyDescent="0.3">
      <c r="A600">
        <v>599</v>
      </c>
      <c r="B600" s="18" t="s">
        <v>1081</v>
      </c>
      <c r="C600" s="18" t="s">
        <v>1691</v>
      </c>
      <c r="D600" s="22" t="s">
        <v>907</v>
      </c>
    </row>
    <row r="601" spans="1:5" x14ac:dyDescent="0.3">
      <c r="A601">
        <v>600</v>
      </c>
      <c r="B601" s="18" t="s">
        <v>1081</v>
      </c>
      <c r="C601" s="18" t="s">
        <v>1692</v>
      </c>
      <c r="D601" s="22" t="s">
        <v>907</v>
      </c>
    </row>
    <row r="602" spans="1:5" x14ac:dyDescent="0.3">
      <c r="A602">
        <v>601</v>
      </c>
      <c r="B602" s="18" t="s">
        <v>1081</v>
      </c>
      <c r="C602" s="18" t="s">
        <v>1693</v>
      </c>
      <c r="D602" s="22" t="s">
        <v>907</v>
      </c>
    </row>
    <row r="603" spans="1:5" x14ac:dyDescent="0.3">
      <c r="A603">
        <v>602</v>
      </c>
      <c r="B603" s="18" t="s">
        <v>1694</v>
      </c>
      <c r="C603" s="18" t="s">
        <v>1695</v>
      </c>
      <c r="D603" s="22" t="s">
        <v>907</v>
      </c>
    </row>
    <row r="604" spans="1:5" x14ac:dyDescent="0.3">
      <c r="A604">
        <v>603</v>
      </c>
      <c r="B604" s="18" t="s">
        <v>1372</v>
      </c>
      <c r="C604" s="18" t="s">
        <v>1696</v>
      </c>
      <c r="D604" s="22" t="s">
        <v>1444</v>
      </c>
      <c r="E604" s="23" t="s">
        <v>907</v>
      </c>
    </row>
    <row r="605" spans="1:5" x14ac:dyDescent="0.3">
      <c r="A605">
        <v>604</v>
      </c>
      <c r="B605" s="18" t="s">
        <v>1372</v>
      </c>
      <c r="C605" s="18" t="s">
        <v>1697</v>
      </c>
      <c r="D605" s="22" t="s">
        <v>907</v>
      </c>
    </row>
    <row r="606" spans="1:5" x14ac:dyDescent="0.3">
      <c r="A606">
        <v>605</v>
      </c>
      <c r="B606" s="18" t="s">
        <v>1372</v>
      </c>
      <c r="C606" s="18" t="s">
        <v>1698</v>
      </c>
      <c r="D606" s="22" t="s">
        <v>907</v>
      </c>
    </row>
    <row r="607" spans="1:5" x14ac:dyDescent="0.3">
      <c r="A607">
        <v>606</v>
      </c>
      <c r="B607" s="18" t="s">
        <v>1372</v>
      </c>
      <c r="C607" s="18" t="s">
        <v>1699</v>
      </c>
      <c r="D607" s="22" t="s">
        <v>907</v>
      </c>
    </row>
    <row r="608" spans="1:5" x14ac:dyDescent="0.3">
      <c r="A608">
        <v>607</v>
      </c>
      <c r="B608" s="18" t="s">
        <v>1372</v>
      </c>
      <c r="C608" s="18" t="s">
        <v>1700</v>
      </c>
      <c r="D608" s="22" t="s">
        <v>907</v>
      </c>
    </row>
    <row r="609" spans="1:4" x14ac:dyDescent="0.3">
      <c r="A609">
        <v>608</v>
      </c>
      <c r="B609" s="18" t="s">
        <v>1701</v>
      </c>
      <c r="C609" s="18" t="s">
        <v>1702</v>
      </c>
      <c r="D609" s="22" t="s">
        <v>907</v>
      </c>
    </row>
    <row r="610" spans="1:4" x14ac:dyDescent="0.3">
      <c r="A610">
        <v>609</v>
      </c>
      <c r="B610" s="18" t="s">
        <v>1703</v>
      </c>
      <c r="C610" s="18" t="s">
        <v>1704</v>
      </c>
      <c r="D610" s="22" t="s">
        <v>907</v>
      </c>
    </row>
    <row r="611" spans="1:4" x14ac:dyDescent="0.3">
      <c r="A611">
        <v>610</v>
      </c>
      <c r="B611" s="18" t="s">
        <v>1705</v>
      </c>
      <c r="C611" s="18" t="s">
        <v>1706</v>
      </c>
      <c r="D611" s="22" t="s">
        <v>907</v>
      </c>
    </row>
    <row r="612" spans="1:4" x14ac:dyDescent="0.3">
      <c r="A612">
        <v>611</v>
      </c>
      <c r="B612" s="18" t="s">
        <v>897</v>
      </c>
      <c r="C612" s="18" t="s">
        <v>1707</v>
      </c>
      <c r="D612" s="22" t="s">
        <v>1152</v>
      </c>
    </row>
    <row r="613" spans="1:4" x14ac:dyDescent="0.3">
      <c r="A613">
        <v>612</v>
      </c>
      <c r="B613" s="18" t="s">
        <v>1029</v>
      </c>
      <c r="C613" s="18" t="s">
        <v>1708</v>
      </c>
      <c r="D613" s="22" t="s">
        <v>907</v>
      </c>
    </row>
    <row r="614" spans="1:4" x14ac:dyDescent="0.3">
      <c r="A614">
        <v>613</v>
      </c>
      <c r="B614" s="18" t="s">
        <v>913</v>
      </c>
      <c r="C614" s="18" t="s">
        <v>1709</v>
      </c>
      <c r="D614" s="22" t="s">
        <v>907</v>
      </c>
    </row>
    <row r="615" spans="1:4" x14ac:dyDescent="0.3">
      <c r="A615">
        <v>614</v>
      </c>
      <c r="B615" s="18" t="s">
        <v>1044</v>
      </c>
      <c r="C615" s="18" t="s">
        <v>1710</v>
      </c>
      <c r="D615" s="22" t="s">
        <v>907</v>
      </c>
    </row>
    <row r="616" spans="1:4" x14ac:dyDescent="0.3">
      <c r="A616">
        <v>615</v>
      </c>
      <c r="B616" s="18" t="s">
        <v>1044</v>
      </c>
      <c r="C616" s="18" t="s">
        <v>1711</v>
      </c>
      <c r="D616" s="22" t="s">
        <v>907</v>
      </c>
    </row>
    <row r="617" spans="1:4" x14ac:dyDescent="0.3">
      <c r="A617">
        <v>616</v>
      </c>
      <c r="B617" s="18" t="s">
        <v>926</v>
      </c>
      <c r="C617" s="18" t="s">
        <v>1712</v>
      </c>
      <c r="D617" s="22" t="s">
        <v>907</v>
      </c>
    </row>
    <row r="618" spans="1:4" x14ac:dyDescent="0.3">
      <c r="A618">
        <v>617</v>
      </c>
      <c r="B618" s="18" t="s">
        <v>926</v>
      </c>
      <c r="C618" s="18" t="s">
        <v>1713</v>
      </c>
      <c r="D618" s="22" t="s">
        <v>907</v>
      </c>
    </row>
    <row r="619" spans="1:4" x14ac:dyDescent="0.3">
      <c r="A619">
        <v>618</v>
      </c>
      <c r="B619" s="18" t="s">
        <v>935</v>
      </c>
      <c r="C619" s="18" t="s">
        <v>1714</v>
      </c>
      <c r="D619" s="22" t="s">
        <v>907</v>
      </c>
    </row>
    <row r="620" spans="1:4" x14ac:dyDescent="0.3">
      <c r="A620">
        <v>619</v>
      </c>
      <c r="B620" s="18" t="s">
        <v>935</v>
      </c>
      <c r="C620" s="18" t="s">
        <v>1715</v>
      </c>
      <c r="D620" s="22" t="s">
        <v>907</v>
      </c>
    </row>
    <row r="621" spans="1:4" x14ac:dyDescent="0.3">
      <c r="A621">
        <v>620</v>
      </c>
      <c r="B621" s="18" t="s">
        <v>937</v>
      </c>
      <c r="C621" s="18" t="s">
        <v>1716</v>
      </c>
      <c r="D621" s="22" t="s">
        <v>907</v>
      </c>
    </row>
    <row r="622" spans="1:4" x14ac:dyDescent="0.3">
      <c r="A622">
        <v>621</v>
      </c>
      <c r="B622" s="18" t="s">
        <v>1296</v>
      </c>
      <c r="C622" s="18" t="s">
        <v>1717</v>
      </c>
      <c r="D622" s="22" t="s">
        <v>907</v>
      </c>
    </row>
    <row r="623" spans="1:4" x14ac:dyDescent="0.3">
      <c r="A623">
        <v>622</v>
      </c>
      <c r="B623" s="18" t="s">
        <v>1296</v>
      </c>
      <c r="C623" s="18" t="s">
        <v>1718</v>
      </c>
      <c r="D623" s="22" t="s">
        <v>907</v>
      </c>
    </row>
    <row r="624" spans="1:4" x14ac:dyDescent="0.3">
      <c r="A624">
        <v>623</v>
      </c>
      <c r="B624" s="18" t="s">
        <v>1296</v>
      </c>
      <c r="C624" s="18" t="s">
        <v>1719</v>
      </c>
      <c r="D624" s="22" t="s">
        <v>907</v>
      </c>
    </row>
    <row r="625" spans="1:6" x14ac:dyDescent="0.3">
      <c r="A625">
        <v>624</v>
      </c>
      <c r="B625" s="18" t="s">
        <v>1050</v>
      </c>
      <c r="C625" s="18" t="s">
        <v>1721</v>
      </c>
      <c r="D625" s="22" t="s">
        <v>1720</v>
      </c>
    </row>
    <row r="626" spans="1:6" x14ac:dyDescent="0.3">
      <c r="A626">
        <v>625</v>
      </c>
      <c r="B626" s="18" t="s">
        <v>1050</v>
      </c>
      <c r="C626" s="18" t="s">
        <v>1722</v>
      </c>
      <c r="D626" s="22" t="s">
        <v>1054</v>
      </c>
      <c r="E626" s="23" t="s">
        <v>1149</v>
      </c>
    </row>
    <row r="627" spans="1:6" x14ac:dyDescent="0.3">
      <c r="A627">
        <v>626</v>
      </c>
      <c r="B627" s="18" t="s">
        <v>1050</v>
      </c>
      <c r="C627" s="18" t="s">
        <v>1723</v>
      </c>
      <c r="D627" s="22" t="s">
        <v>907</v>
      </c>
    </row>
    <row r="628" spans="1:6" x14ac:dyDescent="0.3">
      <c r="A628">
        <v>627</v>
      </c>
      <c r="B628" s="18" t="s">
        <v>942</v>
      </c>
      <c r="C628" s="18" t="s">
        <v>1724</v>
      </c>
      <c r="D628" s="22" t="s">
        <v>907</v>
      </c>
    </row>
    <row r="629" spans="1:6" x14ac:dyDescent="0.3">
      <c r="A629">
        <v>628</v>
      </c>
      <c r="B629" s="18" t="s">
        <v>946</v>
      </c>
      <c r="C629" s="18" t="s">
        <v>1725</v>
      </c>
      <c r="D629" s="22" t="s">
        <v>907</v>
      </c>
    </row>
    <row r="630" spans="1:6" x14ac:dyDescent="0.3">
      <c r="A630">
        <v>629</v>
      </c>
      <c r="B630" s="18" t="s">
        <v>946</v>
      </c>
      <c r="C630" s="18" t="s">
        <v>1726</v>
      </c>
      <c r="D630" s="22" t="s">
        <v>907</v>
      </c>
    </row>
    <row r="631" spans="1:6" x14ac:dyDescent="0.3">
      <c r="A631">
        <v>630</v>
      </c>
      <c r="B631" s="18" t="s">
        <v>902</v>
      </c>
      <c r="C631" s="18" t="s">
        <v>1727</v>
      </c>
      <c r="D631" s="22" t="s">
        <v>1109</v>
      </c>
      <c r="E631" s="23" t="s">
        <v>907</v>
      </c>
    </row>
    <row r="632" spans="1:6" x14ac:dyDescent="0.3">
      <c r="A632">
        <v>631</v>
      </c>
      <c r="B632" s="18" t="s">
        <v>897</v>
      </c>
      <c r="C632" s="18" t="s">
        <v>1728</v>
      </c>
      <c r="D632" s="22" t="s">
        <v>1177</v>
      </c>
      <c r="E632" s="23" t="s">
        <v>907</v>
      </c>
    </row>
    <row r="633" spans="1:6" x14ac:dyDescent="0.3">
      <c r="A633">
        <v>632</v>
      </c>
      <c r="B633" s="18" t="s">
        <v>902</v>
      </c>
      <c r="C633" s="18" t="s">
        <v>1179</v>
      </c>
      <c r="D633" s="22" t="s">
        <v>1180</v>
      </c>
      <c r="E633" s="23" t="s">
        <v>907</v>
      </c>
    </row>
    <row r="634" spans="1:6" x14ac:dyDescent="0.3">
      <c r="A634">
        <v>633</v>
      </c>
      <c r="B634" s="18" t="s">
        <v>902</v>
      </c>
      <c r="C634" s="18" t="s">
        <v>1729</v>
      </c>
      <c r="D634" s="22" t="s">
        <v>1177</v>
      </c>
      <c r="E634" s="23" t="s">
        <v>907</v>
      </c>
    </row>
    <row r="635" spans="1:6" x14ac:dyDescent="0.3">
      <c r="A635">
        <v>634</v>
      </c>
      <c r="B635" s="18" t="s">
        <v>902</v>
      </c>
      <c r="C635" s="18" t="s">
        <v>1730</v>
      </c>
      <c r="D635" s="22" t="s">
        <v>1177</v>
      </c>
      <c r="E635" s="23" t="s">
        <v>907</v>
      </c>
    </row>
    <row r="636" spans="1:6" x14ac:dyDescent="0.3">
      <c r="A636">
        <v>635</v>
      </c>
      <c r="B636" s="18" t="s">
        <v>902</v>
      </c>
      <c r="C636" s="18" t="s">
        <v>1731</v>
      </c>
      <c r="D636" s="22" t="s">
        <v>1096</v>
      </c>
      <c r="E636" s="23" t="s">
        <v>961</v>
      </c>
      <c r="F636" s="23" t="s">
        <v>1028</v>
      </c>
    </row>
    <row r="637" spans="1:6" x14ac:dyDescent="0.3">
      <c r="A637">
        <v>636</v>
      </c>
      <c r="B637" s="18" t="s">
        <v>902</v>
      </c>
      <c r="C637" s="18" t="s">
        <v>1732</v>
      </c>
      <c r="D637" s="22" t="s">
        <v>1733</v>
      </c>
      <c r="E637" s="23" t="s">
        <v>907</v>
      </c>
    </row>
    <row r="638" spans="1:6" x14ac:dyDescent="0.3">
      <c r="A638">
        <v>637</v>
      </c>
      <c r="B638" s="18" t="s">
        <v>902</v>
      </c>
      <c r="C638" s="18" t="s">
        <v>1734</v>
      </c>
      <c r="D638" s="22" t="s">
        <v>1733</v>
      </c>
      <c r="E638" s="23" t="s">
        <v>907</v>
      </c>
    </row>
    <row r="639" spans="1:6" x14ac:dyDescent="0.3">
      <c r="A639">
        <v>638</v>
      </c>
      <c r="B639" s="18" t="s">
        <v>902</v>
      </c>
      <c r="C639" s="18" t="s">
        <v>1735</v>
      </c>
      <c r="D639" s="22" t="s">
        <v>1733</v>
      </c>
      <c r="E639" s="23" t="s">
        <v>907</v>
      </c>
    </row>
    <row r="640" spans="1:6" x14ac:dyDescent="0.3">
      <c r="A640">
        <v>639</v>
      </c>
      <c r="B640" s="18" t="s">
        <v>902</v>
      </c>
      <c r="C640" s="18" t="s">
        <v>1736</v>
      </c>
      <c r="D640" s="22" t="s">
        <v>1733</v>
      </c>
      <c r="E640" s="23" t="s">
        <v>907</v>
      </c>
    </row>
    <row r="641" spans="1:5" x14ac:dyDescent="0.3">
      <c r="A641">
        <v>640</v>
      </c>
      <c r="B641" s="18" t="s">
        <v>902</v>
      </c>
      <c r="C641" s="18" t="s">
        <v>1737</v>
      </c>
      <c r="D641" s="22" t="s">
        <v>1109</v>
      </c>
      <c r="E641" s="23" t="s">
        <v>907</v>
      </c>
    </row>
    <row r="642" spans="1:5" x14ac:dyDescent="0.3">
      <c r="A642">
        <v>641</v>
      </c>
      <c r="B642" s="18" t="s">
        <v>908</v>
      </c>
      <c r="C642" s="18" t="s">
        <v>1738</v>
      </c>
      <c r="D642" s="22" t="s">
        <v>1113</v>
      </c>
      <c r="E642" s="23" t="s">
        <v>907</v>
      </c>
    </row>
    <row r="643" spans="1:5" x14ac:dyDescent="0.3">
      <c r="A643">
        <v>642</v>
      </c>
      <c r="B643" s="18" t="s">
        <v>908</v>
      </c>
      <c r="C643" s="18" t="s">
        <v>1739</v>
      </c>
      <c r="D643" s="22" t="s">
        <v>1010</v>
      </c>
      <c r="E643" s="23" t="s">
        <v>907</v>
      </c>
    </row>
    <row r="644" spans="1:5" x14ac:dyDescent="0.3">
      <c r="A644">
        <v>643</v>
      </c>
      <c r="B644" s="18" t="s">
        <v>908</v>
      </c>
      <c r="C644" s="18" t="s">
        <v>1740</v>
      </c>
      <c r="D644" s="22" t="s">
        <v>1010</v>
      </c>
      <c r="E644" s="23" t="s">
        <v>907</v>
      </c>
    </row>
    <row r="645" spans="1:5" x14ac:dyDescent="0.3">
      <c r="A645">
        <v>644</v>
      </c>
      <c r="B645" s="18" t="s">
        <v>913</v>
      </c>
      <c r="C645" s="18" t="s">
        <v>1610</v>
      </c>
      <c r="D645" s="22" t="s">
        <v>907</v>
      </c>
    </row>
    <row r="646" spans="1:5" x14ac:dyDescent="0.3">
      <c r="A646">
        <v>645</v>
      </c>
      <c r="B646" s="18" t="s">
        <v>1044</v>
      </c>
      <c r="C646" s="18" t="s">
        <v>1741</v>
      </c>
      <c r="D646" s="22" t="s">
        <v>1742</v>
      </c>
      <c r="E646" s="23" t="s">
        <v>907</v>
      </c>
    </row>
    <row r="647" spans="1:5" x14ac:dyDescent="0.3">
      <c r="A647">
        <v>646</v>
      </c>
      <c r="B647" s="18" t="s">
        <v>1044</v>
      </c>
      <c r="C647" s="18" t="s">
        <v>1743</v>
      </c>
      <c r="D647" s="22" t="s">
        <v>1742</v>
      </c>
      <c r="E647" s="23" t="s">
        <v>907</v>
      </c>
    </row>
    <row r="648" spans="1:5" x14ac:dyDescent="0.3">
      <c r="A648">
        <v>647</v>
      </c>
      <c r="B648" s="18" t="s">
        <v>926</v>
      </c>
      <c r="C648" s="18" t="s">
        <v>1744</v>
      </c>
      <c r="D648" s="22" t="s">
        <v>1742</v>
      </c>
      <c r="E648" s="23" t="s">
        <v>907</v>
      </c>
    </row>
    <row r="649" spans="1:5" x14ac:dyDescent="0.3">
      <c r="A649">
        <v>648</v>
      </c>
      <c r="B649" s="18" t="s">
        <v>926</v>
      </c>
      <c r="C649" s="18" t="s">
        <v>1745</v>
      </c>
      <c r="D649" s="22" t="s">
        <v>907</v>
      </c>
    </row>
    <row r="650" spans="1:5" x14ac:dyDescent="0.3">
      <c r="A650">
        <v>649</v>
      </c>
      <c r="B650" s="18" t="s">
        <v>926</v>
      </c>
      <c r="C650" s="18" t="s">
        <v>1746</v>
      </c>
      <c r="D650" s="22" t="s">
        <v>1742</v>
      </c>
      <c r="E650" s="23" t="s">
        <v>907</v>
      </c>
    </row>
    <row r="651" spans="1:5" x14ac:dyDescent="0.3">
      <c r="A651">
        <v>650</v>
      </c>
      <c r="B651" s="18" t="s">
        <v>929</v>
      </c>
      <c r="C651" s="18" t="s">
        <v>1747</v>
      </c>
      <c r="D651" s="22" t="s">
        <v>907</v>
      </c>
    </row>
    <row r="652" spans="1:5" x14ac:dyDescent="0.3">
      <c r="A652">
        <v>651</v>
      </c>
      <c r="B652" s="18" t="s">
        <v>1296</v>
      </c>
      <c r="C652" s="18" t="s">
        <v>1748</v>
      </c>
      <c r="D652" s="22" t="s">
        <v>907</v>
      </c>
    </row>
    <row r="653" spans="1:5" x14ac:dyDescent="0.3">
      <c r="A653">
        <v>652</v>
      </c>
      <c r="B653" s="18" t="s">
        <v>1296</v>
      </c>
      <c r="C653" s="18" t="s">
        <v>1749</v>
      </c>
      <c r="D653" s="22" t="s">
        <v>907</v>
      </c>
    </row>
    <row r="654" spans="1:5" x14ac:dyDescent="0.3">
      <c r="A654">
        <v>653</v>
      </c>
      <c r="B654" s="18" t="s">
        <v>1296</v>
      </c>
      <c r="C654" s="18" t="s">
        <v>1750</v>
      </c>
      <c r="D654" s="22" t="s">
        <v>907</v>
      </c>
    </row>
    <row r="655" spans="1:5" x14ac:dyDescent="0.3">
      <c r="A655">
        <v>654</v>
      </c>
      <c r="B655" s="18" t="s">
        <v>1050</v>
      </c>
      <c r="C655" s="18" t="s">
        <v>1751</v>
      </c>
      <c r="D655" s="22" t="s">
        <v>907</v>
      </c>
    </row>
    <row r="656" spans="1:5" x14ac:dyDescent="0.3">
      <c r="A656">
        <v>655</v>
      </c>
      <c r="B656" s="18" t="s">
        <v>1050</v>
      </c>
      <c r="C656" s="18" t="s">
        <v>1752</v>
      </c>
      <c r="D656" s="22" t="s">
        <v>907</v>
      </c>
    </row>
    <row r="657" spans="1:5" x14ac:dyDescent="0.3">
      <c r="A657">
        <v>656</v>
      </c>
      <c r="B657" s="18" t="s">
        <v>942</v>
      </c>
      <c r="C657" s="18" t="s">
        <v>1753</v>
      </c>
      <c r="D657" s="22" t="s">
        <v>907</v>
      </c>
    </row>
    <row r="658" spans="1:5" x14ac:dyDescent="0.3">
      <c r="A658">
        <v>657</v>
      </c>
      <c r="B658" s="18" t="s">
        <v>942</v>
      </c>
      <c r="C658" s="18" t="s">
        <v>1754</v>
      </c>
      <c r="D658" s="22" t="s">
        <v>907</v>
      </c>
    </row>
    <row r="659" spans="1:5" x14ac:dyDescent="0.3">
      <c r="A659">
        <v>658</v>
      </c>
      <c r="B659" s="18" t="s">
        <v>944</v>
      </c>
      <c r="C659" s="18" t="s">
        <v>1755</v>
      </c>
      <c r="D659" s="22" t="s">
        <v>907</v>
      </c>
    </row>
    <row r="660" spans="1:5" x14ac:dyDescent="0.3">
      <c r="A660">
        <v>659</v>
      </c>
      <c r="B660" s="18" t="s">
        <v>944</v>
      </c>
      <c r="C660" s="18" t="s">
        <v>1612</v>
      </c>
      <c r="D660" s="22" t="s">
        <v>907</v>
      </c>
    </row>
    <row r="661" spans="1:5" x14ac:dyDescent="0.3">
      <c r="A661">
        <v>660</v>
      </c>
      <c r="B661" s="18" t="s">
        <v>944</v>
      </c>
      <c r="C661" s="18" t="s">
        <v>1756</v>
      </c>
      <c r="D661" s="22" t="s">
        <v>907</v>
      </c>
    </row>
    <row r="662" spans="1:5" x14ac:dyDescent="0.3">
      <c r="A662">
        <v>661</v>
      </c>
      <c r="B662" s="18" t="s">
        <v>944</v>
      </c>
      <c r="C662" s="18" t="s">
        <v>1757</v>
      </c>
      <c r="D662" s="22" t="s">
        <v>1054</v>
      </c>
      <c r="E662" s="23" t="s">
        <v>1758</v>
      </c>
    </row>
    <row r="663" spans="1:5" x14ac:dyDescent="0.3">
      <c r="A663">
        <v>662</v>
      </c>
      <c r="B663" s="18" t="s">
        <v>946</v>
      </c>
      <c r="C663" s="18" t="s">
        <v>1759</v>
      </c>
      <c r="D663" s="22" t="s">
        <v>1444</v>
      </c>
      <c r="E663" s="23" t="s">
        <v>907</v>
      </c>
    </row>
    <row r="664" spans="1:5" x14ac:dyDescent="0.3">
      <c r="A664">
        <v>663</v>
      </c>
      <c r="B664" s="18" t="s">
        <v>949</v>
      </c>
      <c r="C664" s="18" t="s">
        <v>1760</v>
      </c>
      <c r="D664" s="22" t="s">
        <v>1166</v>
      </c>
      <c r="E664" s="23" t="s">
        <v>907</v>
      </c>
    </row>
    <row r="665" spans="1:5" x14ac:dyDescent="0.3">
      <c r="A665">
        <v>664</v>
      </c>
      <c r="B665" s="18" t="s">
        <v>949</v>
      </c>
      <c r="C665" s="18" t="s">
        <v>1761</v>
      </c>
      <c r="D665" s="22" t="s">
        <v>1054</v>
      </c>
      <c r="E665" s="23" t="s">
        <v>1055</v>
      </c>
    </row>
    <row r="666" spans="1:5" x14ac:dyDescent="0.3">
      <c r="A666">
        <v>665</v>
      </c>
      <c r="B666" s="18" t="s">
        <v>949</v>
      </c>
      <c r="C666" s="18" t="s">
        <v>1762</v>
      </c>
      <c r="D666" s="22" t="s">
        <v>907</v>
      </c>
    </row>
    <row r="667" spans="1:5" x14ac:dyDescent="0.3">
      <c r="A667">
        <v>666</v>
      </c>
      <c r="B667" s="18" t="s">
        <v>954</v>
      </c>
      <c r="C667" s="18" t="s">
        <v>1763</v>
      </c>
      <c r="D667" s="22" t="s">
        <v>907</v>
      </c>
    </row>
    <row r="668" spans="1:5" x14ac:dyDescent="0.3">
      <c r="A668">
        <v>667</v>
      </c>
      <c r="B668" s="18" t="s">
        <v>1081</v>
      </c>
      <c r="C668" s="18" t="s">
        <v>1764</v>
      </c>
      <c r="D668" s="22" t="s">
        <v>907</v>
      </c>
    </row>
    <row r="669" spans="1:5" x14ac:dyDescent="0.3">
      <c r="A669">
        <v>668</v>
      </c>
      <c r="B669" s="18" t="s">
        <v>1081</v>
      </c>
      <c r="C669" s="18" t="s">
        <v>1765</v>
      </c>
      <c r="D669" s="22" t="s">
        <v>907</v>
      </c>
    </row>
    <row r="670" spans="1:5" x14ac:dyDescent="0.3">
      <c r="A670">
        <v>669</v>
      </c>
      <c r="B670" s="18" t="s">
        <v>1694</v>
      </c>
      <c r="C670" s="18" t="s">
        <v>1766</v>
      </c>
      <c r="D670" s="22" t="s">
        <v>907</v>
      </c>
    </row>
    <row r="671" spans="1:5" x14ac:dyDescent="0.3">
      <c r="A671">
        <v>670</v>
      </c>
      <c r="B671" s="18" t="s">
        <v>1694</v>
      </c>
      <c r="C671" s="18" t="s">
        <v>1767</v>
      </c>
      <c r="D671" s="22" t="s">
        <v>907</v>
      </c>
    </row>
    <row r="672" spans="1:5" x14ac:dyDescent="0.3">
      <c r="A672">
        <v>671</v>
      </c>
      <c r="B672" s="18" t="s">
        <v>1694</v>
      </c>
      <c r="C672" s="18" t="s">
        <v>1768</v>
      </c>
      <c r="D672" s="22" t="s">
        <v>907</v>
      </c>
    </row>
    <row r="673" spans="1:4" x14ac:dyDescent="0.3">
      <c r="A673">
        <v>672</v>
      </c>
      <c r="B673" s="18" t="s">
        <v>1372</v>
      </c>
      <c r="C673" s="18" t="s">
        <v>1769</v>
      </c>
      <c r="D673" s="22" t="s">
        <v>907</v>
      </c>
    </row>
    <row r="674" spans="1:4" x14ac:dyDescent="0.3">
      <c r="A674">
        <v>673</v>
      </c>
      <c r="B674" s="18" t="s">
        <v>1703</v>
      </c>
      <c r="C674" s="18" t="s">
        <v>1770</v>
      </c>
      <c r="D674" s="22" t="s">
        <v>907</v>
      </c>
    </row>
    <row r="675" spans="1:4" x14ac:dyDescent="0.3">
      <c r="A675">
        <v>674</v>
      </c>
      <c r="B675" s="18" t="s">
        <v>1092</v>
      </c>
      <c r="C675" s="18" t="s">
        <v>1771</v>
      </c>
      <c r="D675" s="22" t="s">
        <v>907</v>
      </c>
    </row>
    <row r="676" spans="1:4" x14ac:dyDescent="0.3">
      <c r="A676">
        <v>675</v>
      </c>
      <c r="B676" s="18" t="s">
        <v>902</v>
      </c>
      <c r="C676" s="18" t="s">
        <v>1772</v>
      </c>
      <c r="D676" s="22" t="s">
        <v>907</v>
      </c>
    </row>
    <row r="677" spans="1:4" x14ac:dyDescent="0.3">
      <c r="A677">
        <v>676</v>
      </c>
      <c r="B677" s="18" t="s">
        <v>902</v>
      </c>
      <c r="C677" s="18" t="s">
        <v>1773</v>
      </c>
      <c r="D677" s="22" t="s">
        <v>907</v>
      </c>
    </row>
    <row r="678" spans="1:4" x14ac:dyDescent="0.3">
      <c r="A678">
        <v>677</v>
      </c>
      <c r="B678" s="18" t="s">
        <v>1296</v>
      </c>
      <c r="C678" s="18" t="s">
        <v>1774</v>
      </c>
      <c r="D678" s="22" t="s">
        <v>907</v>
      </c>
    </row>
    <row r="679" spans="1:4" x14ac:dyDescent="0.3">
      <c r="A679">
        <v>678</v>
      </c>
      <c r="B679" s="18" t="s">
        <v>1296</v>
      </c>
      <c r="C679" s="18" t="s">
        <v>1775</v>
      </c>
      <c r="D679" s="22" t="s">
        <v>907</v>
      </c>
    </row>
    <row r="680" spans="1:4" x14ac:dyDescent="0.3">
      <c r="A680">
        <v>679</v>
      </c>
      <c r="B680" s="18" t="s">
        <v>1050</v>
      </c>
      <c r="C680" s="18" t="s">
        <v>1776</v>
      </c>
      <c r="D680" s="22" t="s">
        <v>907</v>
      </c>
    </row>
    <row r="681" spans="1:4" x14ac:dyDescent="0.3">
      <c r="A681">
        <v>680</v>
      </c>
      <c r="B681" s="18" t="s">
        <v>942</v>
      </c>
      <c r="C681" s="18" t="s">
        <v>1777</v>
      </c>
      <c r="D681" s="22" t="s">
        <v>907</v>
      </c>
    </row>
    <row r="682" spans="1:4" x14ac:dyDescent="0.3">
      <c r="A682">
        <v>681</v>
      </c>
      <c r="B682" s="18" t="s">
        <v>944</v>
      </c>
      <c r="C682" s="18" t="s">
        <v>1778</v>
      </c>
      <c r="D682" s="22" t="s">
        <v>907</v>
      </c>
    </row>
    <row r="683" spans="1:4" x14ac:dyDescent="0.3">
      <c r="A683">
        <v>682</v>
      </c>
      <c r="B683" s="18" t="s">
        <v>949</v>
      </c>
      <c r="C683" s="18" t="s">
        <v>1686</v>
      </c>
      <c r="D683" s="22" t="s">
        <v>907</v>
      </c>
    </row>
    <row r="684" spans="1:4" x14ac:dyDescent="0.3">
      <c r="A684">
        <v>683</v>
      </c>
      <c r="B684" s="18" t="s">
        <v>1076</v>
      </c>
      <c r="C684" s="18" t="s">
        <v>1779</v>
      </c>
      <c r="D684" s="22" t="s">
        <v>907</v>
      </c>
    </row>
    <row r="685" spans="1:4" x14ac:dyDescent="0.3">
      <c r="A685">
        <v>684</v>
      </c>
      <c r="B685" s="18" t="s">
        <v>1087</v>
      </c>
      <c r="C685" s="18" t="s">
        <v>1367</v>
      </c>
      <c r="D685" s="22" t="s">
        <v>907</v>
      </c>
    </row>
    <row r="686" spans="1:4" x14ac:dyDescent="0.3">
      <c r="A686">
        <v>685</v>
      </c>
      <c r="B686" s="18" t="s">
        <v>977</v>
      </c>
      <c r="C686" s="18" t="s">
        <v>1780</v>
      </c>
      <c r="D686" s="22" t="s">
        <v>907</v>
      </c>
    </row>
    <row r="687" spans="1:4" x14ac:dyDescent="0.3">
      <c r="A687">
        <v>686</v>
      </c>
      <c r="B687" s="18" t="s">
        <v>977</v>
      </c>
      <c r="C687" s="18" t="s">
        <v>1781</v>
      </c>
      <c r="D687" s="22" t="s">
        <v>907</v>
      </c>
    </row>
    <row r="688" spans="1:4" x14ac:dyDescent="0.3">
      <c r="A688">
        <v>687</v>
      </c>
      <c r="B688" s="18" t="s">
        <v>977</v>
      </c>
      <c r="C688" s="18" t="s">
        <v>1782</v>
      </c>
      <c r="D688" s="22" t="s">
        <v>907</v>
      </c>
    </row>
    <row r="689" spans="1:4" x14ac:dyDescent="0.3">
      <c r="A689">
        <v>688</v>
      </c>
      <c r="B689" s="18" t="s">
        <v>977</v>
      </c>
      <c r="C689" s="18" t="s">
        <v>1783</v>
      </c>
      <c r="D689" s="22" t="s">
        <v>907</v>
      </c>
    </row>
    <row r="690" spans="1:4" x14ac:dyDescent="0.3">
      <c r="A690">
        <v>689</v>
      </c>
      <c r="B690" s="18" t="s">
        <v>977</v>
      </c>
      <c r="C690" s="18" t="s">
        <v>1784</v>
      </c>
      <c r="D690" s="22" t="s">
        <v>907</v>
      </c>
    </row>
    <row r="691" spans="1:4" x14ac:dyDescent="0.3">
      <c r="A691">
        <v>690</v>
      </c>
      <c r="B691" s="18" t="s">
        <v>1029</v>
      </c>
      <c r="C691" s="18" t="s">
        <v>1785</v>
      </c>
      <c r="D691" s="22" t="s">
        <v>907</v>
      </c>
    </row>
    <row r="692" spans="1:4" x14ac:dyDescent="0.3">
      <c r="A692">
        <v>691</v>
      </c>
      <c r="B692" s="18" t="s">
        <v>1029</v>
      </c>
      <c r="C692" s="18" t="s">
        <v>1786</v>
      </c>
      <c r="D692" s="22" t="s">
        <v>907</v>
      </c>
    </row>
    <row r="693" spans="1:4" x14ac:dyDescent="0.3">
      <c r="A693">
        <v>692</v>
      </c>
      <c r="B693" s="18" t="s">
        <v>1029</v>
      </c>
      <c r="C693" s="18" t="s">
        <v>1787</v>
      </c>
      <c r="D693" s="22" t="s">
        <v>907</v>
      </c>
    </row>
    <row r="694" spans="1:4" x14ac:dyDescent="0.3">
      <c r="A694">
        <v>693</v>
      </c>
      <c r="B694" s="18" t="s">
        <v>1029</v>
      </c>
      <c r="C694" s="18" t="s">
        <v>1788</v>
      </c>
      <c r="D694" s="22" t="s">
        <v>907</v>
      </c>
    </row>
    <row r="695" spans="1:4" x14ac:dyDescent="0.3">
      <c r="A695">
        <v>694</v>
      </c>
      <c r="B695" s="18" t="s">
        <v>1029</v>
      </c>
      <c r="C695" s="18" t="s">
        <v>1789</v>
      </c>
      <c r="D695" s="22" t="s">
        <v>907</v>
      </c>
    </row>
    <row r="696" spans="1:4" x14ac:dyDescent="0.3">
      <c r="A696">
        <v>695</v>
      </c>
      <c r="B696" s="18" t="s">
        <v>1029</v>
      </c>
      <c r="C696" s="18" t="s">
        <v>1790</v>
      </c>
      <c r="D696" s="22" t="s">
        <v>907</v>
      </c>
    </row>
    <row r="697" spans="1:4" x14ac:dyDescent="0.3">
      <c r="A697">
        <v>696</v>
      </c>
      <c r="B697" s="18" t="s">
        <v>1029</v>
      </c>
      <c r="C697" s="18" t="s">
        <v>1791</v>
      </c>
      <c r="D697" s="22" t="s">
        <v>907</v>
      </c>
    </row>
    <row r="698" spans="1:4" x14ac:dyDescent="0.3">
      <c r="A698">
        <v>697</v>
      </c>
      <c r="B698" s="18" t="s">
        <v>1029</v>
      </c>
      <c r="C698" s="18" t="s">
        <v>1792</v>
      </c>
      <c r="D698" s="22" t="s">
        <v>907</v>
      </c>
    </row>
    <row r="699" spans="1:4" x14ac:dyDescent="0.3">
      <c r="A699">
        <v>698</v>
      </c>
      <c r="B699" s="18" t="s">
        <v>1029</v>
      </c>
      <c r="C699" s="18" t="s">
        <v>1793</v>
      </c>
      <c r="D699" s="22" t="s">
        <v>907</v>
      </c>
    </row>
    <row r="700" spans="1:4" x14ac:dyDescent="0.3">
      <c r="A700">
        <v>699</v>
      </c>
      <c r="B700" s="18" t="s">
        <v>913</v>
      </c>
      <c r="C700" s="18" t="s">
        <v>1794</v>
      </c>
      <c r="D700" s="22" t="s">
        <v>907</v>
      </c>
    </row>
    <row r="701" spans="1:4" x14ac:dyDescent="0.3">
      <c r="A701">
        <v>700</v>
      </c>
      <c r="B701" s="18" t="s">
        <v>1050</v>
      </c>
      <c r="C701" s="18" t="s">
        <v>1795</v>
      </c>
      <c r="D701" s="22" t="s">
        <v>907</v>
      </c>
    </row>
    <row r="702" spans="1:4" x14ac:dyDescent="0.3">
      <c r="A702">
        <v>701</v>
      </c>
      <c r="B702" s="18" t="s">
        <v>942</v>
      </c>
      <c r="C702" s="18" t="s">
        <v>1796</v>
      </c>
      <c r="D702" s="22" t="s">
        <v>907</v>
      </c>
    </row>
    <row r="703" spans="1:4" x14ac:dyDescent="0.3">
      <c r="A703">
        <v>702</v>
      </c>
      <c r="B703" s="18" t="s">
        <v>942</v>
      </c>
      <c r="C703" s="18" t="s">
        <v>1797</v>
      </c>
      <c r="D703" s="22" t="s">
        <v>907</v>
      </c>
    </row>
    <row r="704" spans="1:4" x14ac:dyDescent="0.3">
      <c r="A704">
        <v>703</v>
      </c>
      <c r="B704" s="18" t="s">
        <v>942</v>
      </c>
      <c r="C704" s="18" t="s">
        <v>1798</v>
      </c>
      <c r="D704" s="22" t="s">
        <v>907</v>
      </c>
    </row>
    <row r="705" spans="1:6" x14ac:dyDescent="0.3">
      <c r="A705">
        <v>704</v>
      </c>
      <c r="B705" s="18" t="s">
        <v>944</v>
      </c>
      <c r="C705" s="18" t="s">
        <v>1799</v>
      </c>
      <c r="D705" s="22" t="s">
        <v>907</v>
      </c>
    </row>
    <row r="706" spans="1:6" x14ac:dyDescent="0.3">
      <c r="A706">
        <v>705</v>
      </c>
      <c r="B706" s="18" t="s">
        <v>946</v>
      </c>
      <c r="C706" s="18" t="s">
        <v>1800</v>
      </c>
      <c r="D706" s="22" t="s">
        <v>907</v>
      </c>
    </row>
    <row r="707" spans="1:6" x14ac:dyDescent="0.3">
      <c r="A707">
        <v>706</v>
      </c>
      <c r="B707" s="18" t="s">
        <v>946</v>
      </c>
      <c r="C707" s="18" t="s">
        <v>1801</v>
      </c>
      <c r="D707" s="22" t="s">
        <v>907</v>
      </c>
    </row>
    <row r="708" spans="1:6" x14ac:dyDescent="0.3">
      <c r="A708">
        <v>707</v>
      </c>
      <c r="B708" s="18" t="s">
        <v>946</v>
      </c>
      <c r="C708" s="18" t="s">
        <v>1802</v>
      </c>
      <c r="D708" s="22" t="s">
        <v>1166</v>
      </c>
      <c r="E708" s="23" t="s">
        <v>1054</v>
      </c>
      <c r="F708" s="23" t="s">
        <v>1758</v>
      </c>
    </row>
    <row r="709" spans="1:6" x14ac:dyDescent="0.3">
      <c r="A709">
        <v>708</v>
      </c>
      <c r="B709" s="18" t="s">
        <v>946</v>
      </c>
      <c r="C709" s="18" t="s">
        <v>1803</v>
      </c>
      <c r="D709" s="22" t="s">
        <v>907</v>
      </c>
    </row>
    <row r="710" spans="1:6" x14ac:dyDescent="0.3">
      <c r="A710">
        <v>709</v>
      </c>
      <c r="B710" s="18" t="s">
        <v>946</v>
      </c>
      <c r="C710" s="18" t="s">
        <v>1804</v>
      </c>
      <c r="D710" s="22" t="s">
        <v>907</v>
      </c>
    </row>
    <row r="711" spans="1:6" x14ac:dyDescent="0.3">
      <c r="A711">
        <v>710</v>
      </c>
      <c r="B711" s="18" t="s">
        <v>946</v>
      </c>
      <c r="C711" s="18" t="s">
        <v>1805</v>
      </c>
      <c r="D711" s="22" t="s">
        <v>907</v>
      </c>
    </row>
    <row r="712" spans="1:6" x14ac:dyDescent="0.3">
      <c r="A712">
        <v>711</v>
      </c>
      <c r="B712" s="18" t="s">
        <v>949</v>
      </c>
      <c r="C712" s="18" t="s">
        <v>1806</v>
      </c>
      <c r="D712" s="22" t="s">
        <v>907</v>
      </c>
    </row>
    <row r="713" spans="1:6" x14ac:dyDescent="0.3">
      <c r="A713">
        <v>712</v>
      </c>
      <c r="B713" s="18" t="s">
        <v>1076</v>
      </c>
      <c r="C713" s="18" t="s">
        <v>1807</v>
      </c>
      <c r="D713" s="22" t="s">
        <v>907</v>
      </c>
    </row>
    <row r="714" spans="1:6" x14ac:dyDescent="0.3">
      <c r="A714">
        <v>713</v>
      </c>
      <c r="B714" s="18" t="s">
        <v>1087</v>
      </c>
      <c r="C714" s="18" t="s">
        <v>1808</v>
      </c>
      <c r="D714" s="22" t="s">
        <v>907</v>
      </c>
    </row>
    <row r="715" spans="1:6" x14ac:dyDescent="0.3">
      <c r="A715">
        <v>714</v>
      </c>
      <c r="B715" s="18" t="s">
        <v>1087</v>
      </c>
      <c r="C715" s="18" t="s">
        <v>1809</v>
      </c>
      <c r="D715" s="22" t="s">
        <v>907</v>
      </c>
    </row>
    <row r="716" spans="1:6" x14ac:dyDescent="0.3">
      <c r="A716">
        <v>715</v>
      </c>
      <c r="B716" s="18" t="s">
        <v>1087</v>
      </c>
      <c r="C716" s="18" t="s">
        <v>1810</v>
      </c>
      <c r="D716" s="22" t="s">
        <v>907</v>
      </c>
    </row>
    <row r="717" spans="1:6" x14ac:dyDescent="0.3">
      <c r="A717">
        <v>716</v>
      </c>
      <c r="B717" s="18" t="s">
        <v>1087</v>
      </c>
      <c r="C717" s="18" t="s">
        <v>1811</v>
      </c>
      <c r="D717" s="22" t="s">
        <v>907</v>
      </c>
    </row>
    <row r="718" spans="1:6" x14ac:dyDescent="0.3">
      <c r="A718">
        <v>717</v>
      </c>
      <c r="B718" s="18" t="s">
        <v>1087</v>
      </c>
      <c r="C718" s="18" t="s">
        <v>1812</v>
      </c>
      <c r="D718" s="22" t="s">
        <v>907</v>
      </c>
    </row>
    <row r="719" spans="1:6" x14ac:dyDescent="0.3">
      <c r="A719">
        <v>718</v>
      </c>
      <c r="B719" s="18" t="s">
        <v>1081</v>
      </c>
      <c r="C719" s="18" t="s">
        <v>1813</v>
      </c>
      <c r="D719" s="22" t="s">
        <v>907</v>
      </c>
    </row>
    <row r="720" spans="1:6" x14ac:dyDescent="0.3">
      <c r="A720">
        <v>719</v>
      </c>
      <c r="B720" s="18" t="s">
        <v>1081</v>
      </c>
      <c r="C720" s="18" t="s">
        <v>1814</v>
      </c>
      <c r="D720" s="22" t="s">
        <v>907</v>
      </c>
    </row>
    <row r="721" spans="1:5" x14ac:dyDescent="0.3">
      <c r="A721">
        <v>720</v>
      </c>
      <c r="B721" s="18" t="s">
        <v>1694</v>
      </c>
      <c r="C721" s="18" t="s">
        <v>1815</v>
      </c>
      <c r="D721" s="22" t="s">
        <v>907</v>
      </c>
    </row>
    <row r="722" spans="1:5" x14ac:dyDescent="0.3">
      <c r="A722">
        <v>721</v>
      </c>
      <c r="B722" s="18" t="s">
        <v>1694</v>
      </c>
      <c r="C722" s="18" t="s">
        <v>1816</v>
      </c>
      <c r="D722" s="22" t="s">
        <v>907</v>
      </c>
    </row>
    <row r="723" spans="1:5" x14ac:dyDescent="0.3">
      <c r="A723">
        <v>722</v>
      </c>
      <c r="B723" s="18" t="s">
        <v>1694</v>
      </c>
      <c r="C723" s="18" t="s">
        <v>1817</v>
      </c>
      <c r="D723" s="22" t="s">
        <v>907</v>
      </c>
    </row>
    <row r="724" spans="1:5" x14ac:dyDescent="0.3">
      <c r="A724">
        <v>723</v>
      </c>
      <c r="B724" s="18" t="s">
        <v>1694</v>
      </c>
      <c r="C724" s="18" t="s">
        <v>1818</v>
      </c>
      <c r="D724" s="22" t="s">
        <v>907</v>
      </c>
    </row>
    <row r="725" spans="1:5" x14ac:dyDescent="0.3">
      <c r="A725">
        <v>724</v>
      </c>
      <c r="B725" s="18" t="s">
        <v>1694</v>
      </c>
      <c r="C725" s="18" t="s">
        <v>1819</v>
      </c>
      <c r="D725" s="22" t="s">
        <v>907</v>
      </c>
    </row>
    <row r="726" spans="1:5" x14ac:dyDescent="0.3">
      <c r="A726">
        <v>725</v>
      </c>
      <c r="B726" s="18" t="s">
        <v>1372</v>
      </c>
      <c r="C726" s="18" t="s">
        <v>1820</v>
      </c>
      <c r="D726" s="22" t="s">
        <v>907</v>
      </c>
    </row>
    <row r="727" spans="1:5" x14ac:dyDescent="0.3">
      <c r="A727">
        <v>726</v>
      </c>
      <c r="B727" s="18" t="s">
        <v>1372</v>
      </c>
      <c r="C727" s="18" t="s">
        <v>1821</v>
      </c>
      <c r="D727" s="22" t="s">
        <v>907</v>
      </c>
    </row>
    <row r="728" spans="1:5" x14ac:dyDescent="0.3">
      <c r="A728">
        <v>727</v>
      </c>
      <c r="B728" s="18" t="s">
        <v>1372</v>
      </c>
      <c r="C728" s="18" t="s">
        <v>1822</v>
      </c>
      <c r="D728" s="22" t="s">
        <v>907</v>
      </c>
    </row>
    <row r="729" spans="1:5" x14ac:dyDescent="0.3">
      <c r="A729">
        <v>728</v>
      </c>
      <c r="B729" s="18" t="s">
        <v>1372</v>
      </c>
      <c r="C729" s="18" t="s">
        <v>1823</v>
      </c>
      <c r="D729" s="22" t="s">
        <v>907</v>
      </c>
    </row>
    <row r="730" spans="1:5" x14ac:dyDescent="0.3">
      <c r="A730">
        <v>729</v>
      </c>
      <c r="B730" s="18" t="s">
        <v>1372</v>
      </c>
      <c r="C730" s="18" t="s">
        <v>1824</v>
      </c>
      <c r="D730" s="22" t="s">
        <v>907</v>
      </c>
    </row>
    <row r="731" spans="1:5" x14ac:dyDescent="0.3">
      <c r="A731">
        <v>730</v>
      </c>
      <c r="B731" s="18" t="s">
        <v>1090</v>
      </c>
      <c r="C731" s="18" t="s">
        <v>1825</v>
      </c>
      <c r="D731" s="22" t="s">
        <v>907</v>
      </c>
    </row>
    <row r="732" spans="1:5" x14ac:dyDescent="0.3">
      <c r="A732">
        <v>731</v>
      </c>
      <c r="B732" s="18" t="s">
        <v>1826</v>
      </c>
      <c r="C732" s="18" t="s">
        <v>1827</v>
      </c>
      <c r="D732" s="22" t="s">
        <v>907</v>
      </c>
    </row>
    <row r="733" spans="1:5" x14ac:dyDescent="0.3">
      <c r="A733">
        <v>732</v>
      </c>
      <c r="B733" s="18" t="s">
        <v>1826</v>
      </c>
      <c r="C733" s="18" t="s">
        <v>1828</v>
      </c>
      <c r="D733" s="22" t="s">
        <v>907</v>
      </c>
    </row>
    <row r="734" spans="1:5" x14ac:dyDescent="0.3">
      <c r="A734">
        <v>733</v>
      </c>
      <c r="B734" s="18" t="s">
        <v>1826</v>
      </c>
      <c r="C734" s="18" t="s">
        <v>1829</v>
      </c>
      <c r="D734" s="22" t="s">
        <v>907</v>
      </c>
    </row>
    <row r="735" spans="1:5" x14ac:dyDescent="0.3">
      <c r="A735">
        <v>734</v>
      </c>
      <c r="B735" s="18" t="s">
        <v>1830</v>
      </c>
      <c r="C735" s="18" t="s">
        <v>1831</v>
      </c>
      <c r="D735" s="22" t="s">
        <v>907</v>
      </c>
    </row>
    <row r="736" spans="1:5" x14ac:dyDescent="0.3">
      <c r="A736">
        <v>735</v>
      </c>
      <c r="B736" s="18" t="s">
        <v>897</v>
      </c>
      <c r="C736" s="18" t="s">
        <v>1832</v>
      </c>
      <c r="D736" s="22" t="s">
        <v>1206</v>
      </c>
      <c r="E736" s="23" t="s">
        <v>907</v>
      </c>
    </row>
    <row r="737" spans="1:6" x14ac:dyDescent="0.3">
      <c r="A737">
        <v>736</v>
      </c>
      <c r="B737" s="18" t="s">
        <v>897</v>
      </c>
      <c r="C737" s="18" t="s">
        <v>1833</v>
      </c>
      <c r="D737" s="22" t="s">
        <v>1027</v>
      </c>
      <c r="E737" s="23" t="s">
        <v>961</v>
      </c>
      <c r="F737" s="23" t="s">
        <v>1028</v>
      </c>
    </row>
    <row r="738" spans="1:6" x14ac:dyDescent="0.3">
      <c r="A738">
        <v>737</v>
      </c>
      <c r="B738" s="18" t="s">
        <v>902</v>
      </c>
      <c r="C738" s="18" t="s">
        <v>1834</v>
      </c>
      <c r="D738" s="22" t="s">
        <v>904</v>
      </c>
      <c r="E738" s="23" t="s">
        <v>907</v>
      </c>
    </row>
    <row r="739" spans="1:6" x14ac:dyDescent="0.3">
      <c r="A739">
        <v>738</v>
      </c>
      <c r="B739" s="18" t="s">
        <v>902</v>
      </c>
      <c r="C739" s="18" t="s">
        <v>1835</v>
      </c>
      <c r="D739" s="22" t="s">
        <v>1545</v>
      </c>
      <c r="E739" s="23" t="s">
        <v>911</v>
      </c>
    </row>
    <row r="740" spans="1:6" x14ac:dyDescent="0.3">
      <c r="A740">
        <v>739</v>
      </c>
      <c r="B740" s="18" t="s">
        <v>902</v>
      </c>
      <c r="C740" s="18" t="s">
        <v>1836</v>
      </c>
      <c r="D740" s="22" t="s">
        <v>1837</v>
      </c>
      <c r="E740" s="23" t="s">
        <v>911</v>
      </c>
    </row>
    <row r="741" spans="1:6" x14ac:dyDescent="0.3">
      <c r="A741">
        <v>740</v>
      </c>
      <c r="B741" s="18" t="s">
        <v>902</v>
      </c>
      <c r="C741" s="18" t="s">
        <v>1838</v>
      </c>
      <c r="D741" s="22" t="s">
        <v>1099</v>
      </c>
      <c r="E741" s="23" t="s">
        <v>907</v>
      </c>
    </row>
    <row r="742" spans="1:6" x14ac:dyDescent="0.3">
      <c r="A742">
        <v>741</v>
      </c>
      <c r="B742" s="18" t="s">
        <v>902</v>
      </c>
      <c r="C742" s="18" t="s">
        <v>1839</v>
      </c>
      <c r="D742" s="22" t="s">
        <v>1027</v>
      </c>
      <c r="E742" s="23" t="s">
        <v>961</v>
      </c>
      <c r="F742" s="23" t="s">
        <v>1028</v>
      </c>
    </row>
    <row r="743" spans="1:6" x14ac:dyDescent="0.3">
      <c r="A743">
        <v>742</v>
      </c>
      <c r="B743" s="18" t="s">
        <v>902</v>
      </c>
      <c r="C743" s="18" t="s">
        <v>1840</v>
      </c>
      <c r="D743" s="22" t="s">
        <v>968</v>
      </c>
      <c r="E743" s="23" t="s">
        <v>911</v>
      </c>
    </row>
    <row r="744" spans="1:6" x14ac:dyDescent="0.3">
      <c r="A744">
        <v>743</v>
      </c>
      <c r="B744" s="18" t="s">
        <v>902</v>
      </c>
      <c r="C744" s="18" t="s">
        <v>1841</v>
      </c>
      <c r="D744" s="22" t="s">
        <v>968</v>
      </c>
      <c r="E744" s="23" t="s">
        <v>911</v>
      </c>
    </row>
    <row r="745" spans="1:6" x14ac:dyDescent="0.3">
      <c r="A745">
        <v>744</v>
      </c>
      <c r="B745" s="18" t="s">
        <v>902</v>
      </c>
      <c r="C745" s="18" t="s">
        <v>1842</v>
      </c>
      <c r="D745" s="22" t="s">
        <v>1027</v>
      </c>
      <c r="E745" s="23" t="s">
        <v>961</v>
      </c>
      <c r="F745" s="23" t="s">
        <v>1028</v>
      </c>
    </row>
    <row r="746" spans="1:6" x14ac:dyDescent="0.3">
      <c r="A746">
        <v>745</v>
      </c>
      <c r="B746" s="18" t="s">
        <v>897</v>
      </c>
      <c r="C746" s="18" t="s">
        <v>1843</v>
      </c>
      <c r="D746" s="22" t="s">
        <v>1844</v>
      </c>
      <c r="E746" s="23" t="s">
        <v>1845</v>
      </c>
    </row>
    <row r="747" spans="1:6" x14ac:dyDescent="0.3">
      <c r="A747">
        <v>746</v>
      </c>
      <c r="B747" s="18" t="s">
        <v>902</v>
      </c>
      <c r="C747" s="18" t="s">
        <v>1846</v>
      </c>
      <c r="D747" s="22" t="s">
        <v>1844</v>
      </c>
      <c r="E747" s="23" t="s">
        <v>1845</v>
      </c>
    </row>
    <row r="748" spans="1:6" x14ac:dyDescent="0.3">
      <c r="A748">
        <v>747</v>
      </c>
      <c r="B748" s="18" t="s">
        <v>902</v>
      </c>
      <c r="C748" s="18" t="s">
        <v>1847</v>
      </c>
      <c r="D748" s="22" t="s">
        <v>904</v>
      </c>
      <c r="E748" s="23" t="s">
        <v>907</v>
      </c>
    </row>
    <row r="749" spans="1:6" x14ac:dyDescent="0.3">
      <c r="A749">
        <v>748</v>
      </c>
      <c r="B749" s="18" t="s">
        <v>902</v>
      </c>
      <c r="C749" s="18" t="s">
        <v>1848</v>
      </c>
      <c r="D749" s="22" t="s">
        <v>1054</v>
      </c>
      <c r="E749" s="23" t="s">
        <v>1849</v>
      </c>
      <c r="F749" s="23" t="s">
        <v>962</v>
      </c>
    </row>
    <row r="750" spans="1:6" x14ac:dyDescent="0.3">
      <c r="A750">
        <v>749</v>
      </c>
      <c r="B750" s="18" t="s">
        <v>902</v>
      </c>
      <c r="C750" s="18" t="s">
        <v>1850</v>
      </c>
      <c r="D750" s="22" t="s">
        <v>1851</v>
      </c>
      <c r="E750" s="23" t="s">
        <v>911</v>
      </c>
    </row>
    <row r="751" spans="1:6" x14ac:dyDescent="0.3">
      <c r="A751">
        <v>750</v>
      </c>
      <c r="B751" s="18" t="s">
        <v>902</v>
      </c>
      <c r="C751" s="18" t="s">
        <v>1852</v>
      </c>
      <c r="D751" s="22" t="s">
        <v>1206</v>
      </c>
      <c r="E751" s="23" t="s">
        <v>907</v>
      </c>
    </row>
    <row r="752" spans="1:6" x14ac:dyDescent="0.3">
      <c r="A752">
        <v>751</v>
      </c>
      <c r="B752" s="18" t="s">
        <v>908</v>
      </c>
      <c r="C752" s="18" t="s">
        <v>1853</v>
      </c>
      <c r="D752" s="22" t="s">
        <v>904</v>
      </c>
      <c r="E752" s="23" t="s">
        <v>907</v>
      </c>
    </row>
    <row r="753" spans="1:7" x14ac:dyDescent="0.3">
      <c r="A753">
        <v>752</v>
      </c>
      <c r="B753" s="18" t="s">
        <v>908</v>
      </c>
      <c r="C753" s="18" t="s">
        <v>1854</v>
      </c>
      <c r="D753" s="22" t="s">
        <v>904</v>
      </c>
      <c r="E753" s="23" t="s">
        <v>907</v>
      </c>
    </row>
    <row r="754" spans="1:7" x14ac:dyDescent="0.3">
      <c r="A754">
        <v>753</v>
      </c>
      <c r="B754" s="18" t="s">
        <v>908</v>
      </c>
      <c r="C754" s="18" t="s">
        <v>1855</v>
      </c>
      <c r="D754" s="22" t="s">
        <v>904</v>
      </c>
      <c r="E754" s="23" t="s">
        <v>907</v>
      </c>
    </row>
    <row r="755" spans="1:7" x14ac:dyDescent="0.3">
      <c r="A755">
        <v>754</v>
      </c>
      <c r="B755" s="18" t="s">
        <v>908</v>
      </c>
      <c r="C755" s="18" t="s">
        <v>1856</v>
      </c>
      <c r="D755" s="22" t="s">
        <v>968</v>
      </c>
      <c r="E755" s="23" t="s">
        <v>911</v>
      </c>
    </row>
    <row r="756" spans="1:7" x14ac:dyDescent="0.3">
      <c r="A756">
        <v>755</v>
      </c>
      <c r="B756" s="18" t="s">
        <v>908</v>
      </c>
      <c r="C756" s="18" t="s">
        <v>1857</v>
      </c>
      <c r="D756" s="22" t="s">
        <v>1206</v>
      </c>
      <c r="E756" s="23" t="s">
        <v>907</v>
      </c>
    </row>
    <row r="757" spans="1:7" x14ac:dyDescent="0.3">
      <c r="A757">
        <v>756</v>
      </c>
      <c r="B757" s="18" t="s">
        <v>908</v>
      </c>
      <c r="C757" s="18" t="s">
        <v>1858</v>
      </c>
      <c r="D757" s="22" t="s">
        <v>904</v>
      </c>
      <c r="E757" s="23" t="s">
        <v>972</v>
      </c>
      <c r="F757" s="23" t="s">
        <v>973</v>
      </c>
      <c r="G757" s="23" t="s">
        <v>907</v>
      </c>
    </row>
    <row r="758" spans="1:7" x14ac:dyDescent="0.3">
      <c r="A758">
        <v>757</v>
      </c>
      <c r="B758" s="18" t="s">
        <v>908</v>
      </c>
      <c r="C758" s="18" t="s">
        <v>1859</v>
      </c>
      <c r="D758" s="22" t="s">
        <v>1860</v>
      </c>
      <c r="E758" s="23" t="s">
        <v>1861</v>
      </c>
      <c r="F758" s="23" t="s">
        <v>961</v>
      </c>
      <c r="G758" s="23" t="s">
        <v>1862</v>
      </c>
    </row>
    <row r="759" spans="1:7" x14ac:dyDescent="0.3">
      <c r="A759">
        <v>758</v>
      </c>
      <c r="B759" s="18" t="s">
        <v>908</v>
      </c>
      <c r="C759" s="18" t="s">
        <v>1869</v>
      </c>
      <c r="D759" s="22" t="s">
        <v>981</v>
      </c>
      <c r="E759" s="23" t="s">
        <v>911</v>
      </c>
    </row>
    <row r="760" spans="1:7" x14ac:dyDescent="0.3">
      <c r="A760">
        <v>759</v>
      </c>
      <c r="B760" s="18" t="s">
        <v>908</v>
      </c>
      <c r="C760" s="18" t="s">
        <v>1870</v>
      </c>
      <c r="D760" s="22" t="s">
        <v>1871</v>
      </c>
      <c r="E760" s="23" t="s">
        <v>911</v>
      </c>
      <c r="F760" s="23" t="s">
        <v>1872</v>
      </c>
    </row>
    <row r="761" spans="1:7" x14ac:dyDescent="0.3">
      <c r="A761">
        <v>760</v>
      </c>
      <c r="B761" s="18" t="s">
        <v>908</v>
      </c>
      <c r="C761" s="18" t="s">
        <v>1873</v>
      </c>
      <c r="D761" s="22" t="s">
        <v>981</v>
      </c>
      <c r="E761" s="23" t="s">
        <v>911</v>
      </c>
    </row>
    <row r="762" spans="1:7" x14ac:dyDescent="0.3">
      <c r="A762">
        <v>761</v>
      </c>
      <c r="B762" s="18" t="s">
        <v>977</v>
      </c>
      <c r="C762" s="18" t="s">
        <v>1874</v>
      </c>
      <c r="D762" s="22" t="s">
        <v>1572</v>
      </c>
      <c r="E762" s="23" t="s">
        <v>907</v>
      </c>
    </row>
    <row r="763" spans="1:7" x14ac:dyDescent="0.3">
      <c r="A763">
        <v>762</v>
      </c>
      <c r="B763" s="18" t="s">
        <v>977</v>
      </c>
      <c r="C763" s="18" t="s">
        <v>1875</v>
      </c>
      <c r="D763" s="22" t="s">
        <v>1572</v>
      </c>
      <c r="E763" s="23" t="s">
        <v>907</v>
      </c>
    </row>
    <row r="764" spans="1:7" x14ac:dyDescent="0.3">
      <c r="A764">
        <v>763</v>
      </c>
      <c r="B764" s="18" t="s">
        <v>977</v>
      </c>
      <c r="C764" s="18" t="s">
        <v>1876</v>
      </c>
      <c r="D764" s="22" t="s">
        <v>981</v>
      </c>
      <c r="E764" s="23" t="s">
        <v>911</v>
      </c>
    </row>
    <row r="765" spans="1:7" x14ac:dyDescent="0.3">
      <c r="A765">
        <v>764</v>
      </c>
      <c r="B765" s="18" t="s">
        <v>977</v>
      </c>
      <c r="C765" s="18" t="s">
        <v>1877</v>
      </c>
      <c r="D765" s="22" t="s">
        <v>981</v>
      </c>
      <c r="E765" s="23" t="s">
        <v>911</v>
      </c>
    </row>
    <row r="766" spans="1:7" x14ac:dyDescent="0.3">
      <c r="A766">
        <v>765</v>
      </c>
      <c r="B766" s="18" t="s">
        <v>1019</v>
      </c>
      <c r="C766" s="18" t="s">
        <v>1878</v>
      </c>
      <c r="D766" s="22" t="s">
        <v>1012</v>
      </c>
      <c r="E766" s="23" t="s">
        <v>907</v>
      </c>
    </row>
    <row r="767" spans="1:7" x14ac:dyDescent="0.3">
      <c r="A767">
        <v>766</v>
      </c>
      <c r="B767" s="18" t="s">
        <v>1019</v>
      </c>
      <c r="C767" s="18" t="s">
        <v>1879</v>
      </c>
      <c r="D767" s="22" t="s">
        <v>1880</v>
      </c>
      <c r="E767" s="23" t="s">
        <v>1881</v>
      </c>
      <c r="F767" s="23" t="s">
        <v>1225</v>
      </c>
    </row>
    <row r="768" spans="1:7" x14ac:dyDescent="0.3">
      <c r="A768">
        <v>767</v>
      </c>
      <c r="B768" s="18" t="s">
        <v>1029</v>
      </c>
      <c r="C768" s="18" t="s">
        <v>1882</v>
      </c>
      <c r="D768" s="22" t="s">
        <v>1302</v>
      </c>
      <c r="E768" s="23" t="s">
        <v>911</v>
      </c>
      <c r="F768" s="23" t="s">
        <v>1883</v>
      </c>
    </row>
    <row r="769" spans="1:7" x14ac:dyDescent="0.3">
      <c r="A769">
        <v>768</v>
      </c>
      <c r="B769" s="18" t="s">
        <v>1029</v>
      </c>
      <c r="C769" s="18" t="s">
        <v>1884</v>
      </c>
      <c r="D769" s="22" t="s">
        <v>1265</v>
      </c>
      <c r="E769" s="23" t="s">
        <v>961</v>
      </c>
      <c r="F769" s="23" t="s">
        <v>1885</v>
      </c>
      <c r="G769" s="23" t="s">
        <v>1886</v>
      </c>
    </row>
    <row r="770" spans="1:7" x14ac:dyDescent="0.3">
      <c r="A770">
        <v>769</v>
      </c>
      <c r="B770" s="18" t="s">
        <v>1029</v>
      </c>
      <c r="C770" s="18" t="s">
        <v>1887</v>
      </c>
      <c r="D770" s="22" t="s">
        <v>915</v>
      </c>
      <c r="E770" s="23" t="s">
        <v>911</v>
      </c>
      <c r="F770" s="23" t="s">
        <v>1885</v>
      </c>
    </row>
    <row r="771" spans="1:7" x14ac:dyDescent="0.3">
      <c r="A771">
        <v>770</v>
      </c>
      <c r="B771" s="18" t="s">
        <v>1029</v>
      </c>
      <c r="C771" s="18" t="s">
        <v>1888</v>
      </c>
      <c r="D771" s="22" t="s">
        <v>1880</v>
      </c>
      <c r="E771" s="23" t="s">
        <v>1889</v>
      </c>
      <c r="F771" s="23" t="s">
        <v>907</v>
      </c>
    </row>
    <row r="772" spans="1:7" x14ac:dyDescent="0.3">
      <c r="A772">
        <v>771</v>
      </c>
      <c r="B772" s="18" t="s">
        <v>913</v>
      </c>
      <c r="C772" s="18" t="s">
        <v>1890</v>
      </c>
      <c r="D772" s="22" t="s">
        <v>910</v>
      </c>
      <c r="E772" s="23" t="s">
        <v>911</v>
      </c>
    </row>
    <row r="773" spans="1:7" x14ac:dyDescent="0.3">
      <c r="A773">
        <v>772</v>
      </c>
      <c r="B773" s="18" t="s">
        <v>913</v>
      </c>
      <c r="C773" s="18" t="s">
        <v>1891</v>
      </c>
      <c r="D773" s="22" t="s">
        <v>931</v>
      </c>
      <c r="E773" s="23" t="s">
        <v>1216</v>
      </c>
      <c r="F773" s="23" t="s">
        <v>911</v>
      </c>
    </row>
    <row r="774" spans="1:7" x14ac:dyDescent="0.3">
      <c r="A774">
        <v>773</v>
      </c>
      <c r="B774" s="18" t="s">
        <v>913</v>
      </c>
      <c r="C774" s="18" t="s">
        <v>1892</v>
      </c>
      <c r="D774" s="22" t="s">
        <v>931</v>
      </c>
      <c r="E774" s="23" t="s">
        <v>1216</v>
      </c>
      <c r="F774" s="23" t="s">
        <v>911</v>
      </c>
    </row>
    <row r="775" spans="1:7" x14ac:dyDescent="0.3">
      <c r="A775">
        <v>774</v>
      </c>
      <c r="B775" s="18" t="s">
        <v>913</v>
      </c>
      <c r="C775" s="18" t="s">
        <v>1890</v>
      </c>
      <c r="D775" s="22" t="s">
        <v>910</v>
      </c>
      <c r="E775" s="23" t="s">
        <v>911</v>
      </c>
    </row>
    <row r="776" spans="1:7" x14ac:dyDescent="0.3">
      <c r="A776">
        <v>775</v>
      </c>
      <c r="B776" s="18" t="s">
        <v>926</v>
      </c>
      <c r="C776" s="18" t="s">
        <v>1893</v>
      </c>
      <c r="D776" s="22" t="s">
        <v>917</v>
      </c>
      <c r="E776" s="23" t="s">
        <v>907</v>
      </c>
    </row>
    <row r="777" spans="1:7" x14ac:dyDescent="0.3">
      <c r="A777">
        <v>776</v>
      </c>
      <c r="B777" s="18" t="s">
        <v>926</v>
      </c>
      <c r="C777" s="18" t="s">
        <v>1894</v>
      </c>
      <c r="D777" s="22" t="s">
        <v>921</v>
      </c>
      <c r="E777" s="23" t="s">
        <v>907</v>
      </c>
    </row>
    <row r="778" spans="1:7" x14ac:dyDescent="0.3">
      <c r="A778">
        <v>777</v>
      </c>
      <c r="B778" s="18" t="s">
        <v>926</v>
      </c>
      <c r="C778" s="18" t="s">
        <v>1895</v>
      </c>
      <c r="D778" s="22" t="s">
        <v>907</v>
      </c>
    </row>
    <row r="779" spans="1:7" x14ac:dyDescent="0.3">
      <c r="A779">
        <v>778</v>
      </c>
      <c r="B779" s="18" t="s">
        <v>926</v>
      </c>
      <c r="C779" s="18" t="s">
        <v>918</v>
      </c>
      <c r="D779" s="22" t="s">
        <v>919</v>
      </c>
      <c r="E779" s="23" t="s">
        <v>907</v>
      </c>
    </row>
    <row r="780" spans="1:7" x14ac:dyDescent="0.3">
      <c r="A780">
        <v>779</v>
      </c>
      <c r="B780" s="18" t="s">
        <v>926</v>
      </c>
      <c r="C780" s="18" t="s">
        <v>1896</v>
      </c>
      <c r="D780" s="22" t="s">
        <v>1256</v>
      </c>
      <c r="E780" s="23" t="s">
        <v>911</v>
      </c>
    </row>
    <row r="781" spans="1:7" x14ac:dyDescent="0.3">
      <c r="A781">
        <v>780</v>
      </c>
      <c r="B781" s="18" t="s">
        <v>926</v>
      </c>
      <c r="C781" s="18" t="s">
        <v>1897</v>
      </c>
      <c r="D781" s="22" t="s">
        <v>1880</v>
      </c>
      <c r="E781" s="23" t="s">
        <v>1898</v>
      </c>
      <c r="F781" s="23" t="s">
        <v>911</v>
      </c>
    </row>
    <row r="782" spans="1:7" x14ac:dyDescent="0.3">
      <c r="A782">
        <v>781</v>
      </c>
      <c r="B782" s="18" t="s">
        <v>929</v>
      </c>
      <c r="C782" s="18" t="s">
        <v>916</v>
      </c>
      <c r="D782" s="22" t="s">
        <v>917</v>
      </c>
      <c r="E782" s="23" t="s">
        <v>907</v>
      </c>
    </row>
    <row r="783" spans="1:7" x14ac:dyDescent="0.3">
      <c r="A783">
        <v>782</v>
      </c>
      <c r="B783" s="18" t="s">
        <v>929</v>
      </c>
      <c r="C783" s="18" t="s">
        <v>1899</v>
      </c>
      <c r="D783" s="22" t="s">
        <v>917</v>
      </c>
      <c r="E783" s="23" t="s">
        <v>925</v>
      </c>
    </row>
    <row r="784" spans="1:7" x14ac:dyDescent="0.3">
      <c r="A784">
        <v>783</v>
      </c>
      <c r="B784" s="18" t="s">
        <v>929</v>
      </c>
      <c r="C784" s="18" t="s">
        <v>1900</v>
      </c>
      <c r="D784" s="22" t="s">
        <v>915</v>
      </c>
      <c r="E784" s="23" t="s">
        <v>907</v>
      </c>
    </row>
    <row r="785" spans="1:6" x14ac:dyDescent="0.3">
      <c r="A785">
        <v>784</v>
      </c>
      <c r="B785" s="18" t="s">
        <v>929</v>
      </c>
      <c r="C785" s="18" t="s">
        <v>1901</v>
      </c>
      <c r="D785" s="22" t="s">
        <v>915</v>
      </c>
      <c r="E785" s="23" t="s">
        <v>907</v>
      </c>
    </row>
    <row r="786" spans="1:6" x14ac:dyDescent="0.3">
      <c r="A786">
        <v>785</v>
      </c>
      <c r="B786" s="18" t="s">
        <v>935</v>
      </c>
      <c r="C786" s="18" t="s">
        <v>1902</v>
      </c>
      <c r="D786" s="22" t="s">
        <v>915</v>
      </c>
      <c r="E786" s="23" t="s">
        <v>907</v>
      </c>
    </row>
    <row r="787" spans="1:6" x14ac:dyDescent="0.3">
      <c r="A787">
        <v>786</v>
      </c>
      <c r="B787" s="18" t="s">
        <v>937</v>
      </c>
      <c r="C787" s="18" t="s">
        <v>1903</v>
      </c>
      <c r="D787" s="22" t="s">
        <v>1302</v>
      </c>
      <c r="E787" s="23" t="s">
        <v>907</v>
      </c>
    </row>
    <row r="788" spans="1:6" x14ac:dyDescent="0.3">
      <c r="A788">
        <v>787</v>
      </c>
      <c r="B788" s="18" t="s">
        <v>949</v>
      </c>
      <c r="C788" s="18" t="s">
        <v>1904</v>
      </c>
      <c r="D788" s="22" t="s">
        <v>907</v>
      </c>
    </row>
    <row r="789" spans="1:6" x14ac:dyDescent="0.3">
      <c r="A789">
        <v>788</v>
      </c>
      <c r="B789" s="18" t="s">
        <v>1087</v>
      </c>
      <c r="C789" s="18" t="s">
        <v>1370</v>
      </c>
      <c r="D789" s="22" t="s">
        <v>907</v>
      </c>
    </row>
    <row r="790" spans="1:6" x14ac:dyDescent="0.3">
      <c r="A790">
        <v>789</v>
      </c>
      <c r="B790" s="18" t="s">
        <v>902</v>
      </c>
      <c r="C790" s="18" t="s">
        <v>1905</v>
      </c>
      <c r="D790" s="22" t="s">
        <v>1906</v>
      </c>
      <c r="E790" s="23" t="s">
        <v>907</v>
      </c>
    </row>
    <row r="791" spans="1:6" x14ac:dyDescent="0.3">
      <c r="A791">
        <v>790</v>
      </c>
      <c r="B791" s="18" t="s">
        <v>902</v>
      </c>
      <c r="C791" s="18" t="s">
        <v>1907</v>
      </c>
      <c r="D791" s="22" t="s">
        <v>1027</v>
      </c>
      <c r="E791" s="23" t="s">
        <v>961</v>
      </c>
      <c r="F791" s="23" t="s">
        <v>1028</v>
      </c>
    </row>
    <row r="792" spans="1:6" x14ac:dyDescent="0.3">
      <c r="A792">
        <v>791</v>
      </c>
      <c r="B792" s="18" t="s">
        <v>902</v>
      </c>
      <c r="C792" s="18" t="s">
        <v>959</v>
      </c>
      <c r="D792" s="22" t="s">
        <v>1054</v>
      </c>
      <c r="E792" s="23" t="s">
        <v>1908</v>
      </c>
    </row>
    <row r="793" spans="1:6" x14ac:dyDescent="0.3">
      <c r="A793">
        <v>792</v>
      </c>
      <c r="B793" s="18" t="s">
        <v>902</v>
      </c>
      <c r="C793" s="18" t="s">
        <v>1909</v>
      </c>
      <c r="D793" s="22" t="s">
        <v>1910</v>
      </c>
      <c r="E793" s="23" t="s">
        <v>907</v>
      </c>
    </row>
    <row r="794" spans="1:6" x14ac:dyDescent="0.3">
      <c r="A794">
        <v>793</v>
      </c>
      <c r="B794" s="18" t="s">
        <v>902</v>
      </c>
      <c r="C794" s="18" t="s">
        <v>1911</v>
      </c>
      <c r="D794" s="22" t="s">
        <v>904</v>
      </c>
      <c r="E794" s="23" t="s">
        <v>907</v>
      </c>
    </row>
    <row r="795" spans="1:6" x14ac:dyDescent="0.3">
      <c r="A795">
        <v>794</v>
      </c>
      <c r="B795" s="18" t="s">
        <v>902</v>
      </c>
      <c r="C795" s="18" t="s">
        <v>1912</v>
      </c>
      <c r="D795" s="22" t="s">
        <v>904</v>
      </c>
      <c r="E795" s="23" t="s">
        <v>907</v>
      </c>
    </row>
    <row r="796" spans="1:6" x14ac:dyDescent="0.3">
      <c r="A796">
        <v>795</v>
      </c>
      <c r="B796" s="18" t="s">
        <v>902</v>
      </c>
      <c r="C796" s="18" t="s">
        <v>1913</v>
      </c>
      <c r="D796" s="22" t="s">
        <v>904</v>
      </c>
      <c r="E796" s="23" t="s">
        <v>907</v>
      </c>
    </row>
    <row r="797" spans="1:6" x14ac:dyDescent="0.3">
      <c r="A797">
        <v>796</v>
      </c>
      <c r="B797" s="18" t="s">
        <v>902</v>
      </c>
      <c r="C797" s="18" t="s">
        <v>1914</v>
      </c>
      <c r="D797" s="22" t="s">
        <v>1915</v>
      </c>
      <c r="E797" s="23" t="s">
        <v>907</v>
      </c>
    </row>
    <row r="798" spans="1:6" x14ac:dyDescent="0.3">
      <c r="A798">
        <v>797</v>
      </c>
      <c r="B798" s="18" t="s">
        <v>908</v>
      </c>
      <c r="C798" s="18" t="s">
        <v>1916</v>
      </c>
      <c r="D798" s="22" t="s">
        <v>1010</v>
      </c>
      <c r="E798" s="23" t="s">
        <v>907</v>
      </c>
    </row>
    <row r="799" spans="1:6" x14ac:dyDescent="0.3">
      <c r="A799">
        <v>798</v>
      </c>
      <c r="B799" s="18" t="s">
        <v>908</v>
      </c>
      <c r="C799" s="18" t="s">
        <v>1917</v>
      </c>
      <c r="D799" s="22" t="s">
        <v>1542</v>
      </c>
      <c r="E799" s="23" t="s">
        <v>907</v>
      </c>
    </row>
    <row r="800" spans="1:6" x14ac:dyDescent="0.3">
      <c r="A800">
        <v>799</v>
      </c>
      <c r="B800" s="18" t="s">
        <v>908</v>
      </c>
      <c r="C800" s="18" t="s">
        <v>1918</v>
      </c>
      <c r="D800" s="22" t="s">
        <v>1010</v>
      </c>
      <c r="E800" s="23" t="s">
        <v>907</v>
      </c>
    </row>
    <row r="801" spans="1:7" x14ac:dyDescent="0.3">
      <c r="A801">
        <v>800</v>
      </c>
      <c r="B801" s="18" t="s">
        <v>977</v>
      </c>
      <c r="C801" s="18" t="s">
        <v>1919</v>
      </c>
      <c r="D801" s="22" t="s">
        <v>1054</v>
      </c>
      <c r="E801" s="23" t="s">
        <v>1121</v>
      </c>
    </row>
    <row r="802" spans="1:7" x14ac:dyDescent="0.3">
      <c r="A802">
        <v>801</v>
      </c>
      <c r="B802" s="18" t="s">
        <v>977</v>
      </c>
      <c r="C802" s="18" t="s">
        <v>1423</v>
      </c>
      <c r="D802" s="22" t="s">
        <v>1054</v>
      </c>
      <c r="E802" s="23" t="s">
        <v>1424</v>
      </c>
    </row>
    <row r="803" spans="1:7" x14ac:dyDescent="0.3">
      <c r="A803">
        <v>802</v>
      </c>
      <c r="B803" s="18" t="s">
        <v>977</v>
      </c>
      <c r="C803" s="18" t="s">
        <v>1920</v>
      </c>
      <c r="D803" s="22" t="s">
        <v>1054</v>
      </c>
      <c r="E803" s="23" t="s">
        <v>1427</v>
      </c>
    </row>
    <row r="804" spans="1:7" x14ac:dyDescent="0.3">
      <c r="A804">
        <v>803</v>
      </c>
      <c r="B804" s="18" t="s">
        <v>1019</v>
      </c>
      <c r="C804" s="18" t="s">
        <v>1921</v>
      </c>
      <c r="D804" s="22" t="s">
        <v>1010</v>
      </c>
      <c r="E804" s="23" t="s">
        <v>907</v>
      </c>
    </row>
    <row r="805" spans="1:7" x14ac:dyDescent="0.3">
      <c r="A805">
        <v>804</v>
      </c>
      <c r="B805" s="18" t="s">
        <v>913</v>
      </c>
      <c r="C805" s="18" t="s">
        <v>1922</v>
      </c>
      <c r="D805" s="22" t="s">
        <v>1054</v>
      </c>
      <c r="E805" s="23" t="s">
        <v>1618</v>
      </c>
    </row>
    <row r="806" spans="1:7" x14ac:dyDescent="0.3">
      <c r="A806">
        <v>805</v>
      </c>
      <c r="B806" s="18" t="s">
        <v>913</v>
      </c>
      <c r="C806" s="18" t="s">
        <v>1923</v>
      </c>
      <c r="D806" s="22" t="s">
        <v>1054</v>
      </c>
      <c r="E806" s="23" t="s">
        <v>1618</v>
      </c>
    </row>
    <row r="807" spans="1:7" x14ac:dyDescent="0.3">
      <c r="A807">
        <v>806</v>
      </c>
      <c r="B807" s="18" t="s">
        <v>1044</v>
      </c>
      <c r="C807" s="18" t="s">
        <v>1432</v>
      </c>
      <c r="D807" s="22" t="s">
        <v>1433</v>
      </c>
      <c r="E807" s="23" t="s">
        <v>907</v>
      </c>
    </row>
    <row r="808" spans="1:7" x14ac:dyDescent="0.3">
      <c r="A808">
        <v>807</v>
      </c>
      <c r="B808" s="18" t="s">
        <v>929</v>
      </c>
      <c r="C808" s="18" t="s">
        <v>1924</v>
      </c>
      <c r="D808" s="22" t="s">
        <v>1925</v>
      </c>
      <c r="E808" s="23" t="s">
        <v>907</v>
      </c>
    </row>
    <row r="809" spans="1:7" x14ac:dyDescent="0.3">
      <c r="A809">
        <v>808</v>
      </c>
      <c r="B809" s="18" t="s">
        <v>929</v>
      </c>
      <c r="C809" s="18" t="s">
        <v>1926</v>
      </c>
      <c r="D809" s="22" t="s">
        <v>917</v>
      </c>
      <c r="E809" s="23" t="s">
        <v>907</v>
      </c>
    </row>
    <row r="810" spans="1:7" x14ac:dyDescent="0.3">
      <c r="A810">
        <v>809</v>
      </c>
      <c r="B810" s="18" t="s">
        <v>935</v>
      </c>
      <c r="C810" s="18" t="s">
        <v>1927</v>
      </c>
      <c r="D810" s="22" t="s">
        <v>1928</v>
      </c>
      <c r="E810" s="23" t="s">
        <v>911</v>
      </c>
    </row>
    <row r="811" spans="1:7" x14ac:dyDescent="0.3">
      <c r="A811">
        <v>810</v>
      </c>
      <c r="B811" s="18" t="s">
        <v>929</v>
      </c>
      <c r="C811" s="18" t="s">
        <v>1929</v>
      </c>
      <c r="D811" s="22" t="s">
        <v>1930</v>
      </c>
      <c r="E811" s="23" t="s">
        <v>907</v>
      </c>
    </row>
    <row r="812" spans="1:7" x14ac:dyDescent="0.3">
      <c r="A812">
        <v>811</v>
      </c>
      <c r="B812" s="18" t="s">
        <v>935</v>
      </c>
      <c r="C812" s="18" t="s">
        <v>1931</v>
      </c>
      <c r="D812" s="22" t="s">
        <v>915</v>
      </c>
      <c r="E812" s="23" t="s">
        <v>907</v>
      </c>
    </row>
    <row r="813" spans="1:7" x14ac:dyDescent="0.3">
      <c r="A813">
        <v>812</v>
      </c>
      <c r="B813" s="18" t="s">
        <v>1296</v>
      </c>
      <c r="C813" s="18" t="s">
        <v>1932</v>
      </c>
      <c r="D813" s="22" t="s">
        <v>1933</v>
      </c>
      <c r="E813" s="23" t="s">
        <v>1934</v>
      </c>
      <c r="F813" s="23" t="s">
        <v>1935</v>
      </c>
      <c r="G813" s="23" t="s">
        <v>1503</v>
      </c>
    </row>
    <row r="814" spans="1:7" x14ac:dyDescent="0.3">
      <c r="A814">
        <v>813</v>
      </c>
      <c r="B814" s="18" t="s">
        <v>937</v>
      </c>
      <c r="C814" s="18" t="s">
        <v>1944</v>
      </c>
      <c r="D814" s="22" t="s">
        <v>1302</v>
      </c>
      <c r="E814" s="23" t="s">
        <v>907</v>
      </c>
    </row>
    <row r="815" spans="1:7" x14ac:dyDescent="0.3">
      <c r="A815">
        <v>814</v>
      </c>
      <c r="B815" s="18" t="s">
        <v>937</v>
      </c>
      <c r="C815" s="18" t="s">
        <v>1945</v>
      </c>
      <c r="D815" s="22" t="s">
        <v>1293</v>
      </c>
      <c r="E815" s="23" t="s">
        <v>907</v>
      </c>
    </row>
    <row r="816" spans="1:7" x14ac:dyDescent="0.3">
      <c r="A816">
        <v>815</v>
      </c>
      <c r="B816" s="18" t="s">
        <v>937</v>
      </c>
      <c r="C816" s="18" t="s">
        <v>1946</v>
      </c>
      <c r="D816" s="22" t="s">
        <v>1054</v>
      </c>
      <c r="E816" s="23" t="s">
        <v>1947</v>
      </c>
      <c r="F816" s="23" t="s">
        <v>1948</v>
      </c>
    </row>
    <row r="817" spans="1:6" x14ac:dyDescent="0.3">
      <c r="A817">
        <v>816</v>
      </c>
      <c r="B817" s="18" t="s">
        <v>1048</v>
      </c>
      <c r="C817" s="18" t="s">
        <v>1949</v>
      </c>
      <c r="D817" s="22" t="s">
        <v>917</v>
      </c>
      <c r="E817" s="23" t="s">
        <v>907</v>
      </c>
    </row>
    <row r="818" spans="1:6" x14ac:dyDescent="0.3">
      <c r="A818">
        <v>817</v>
      </c>
      <c r="B818" s="18" t="s">
        <v>1048</v>
      </c>
      <c r="C818" s="18" t="s">
        <v>1950</v>
      </c>
      <c r="D818" s="22" t="s">
        <v>1054</v>
      </c>
      <c r="E818" s="23" t="s">
        <v>1951</v>
      </c>
    </row>
    <row r="819" spans="1:6" x14ac:dyDescent="0.3">
      <c r="A819">
        <v>818</v>
      </c>
      <c r="B819" s="18" t="s">
        <v>1296</v>
      </c>
      <c r="C819" s="18" t="s">
        <v>1952</v>
      </c>
      <c r="D819" s="22" t="s">
        <v>951</v>
      </c>
      <c r="E819" s="23" t="s">
        <v>1054</v>
      </c>
      <c r="F819" s="23" t="s">
        <v>1055</v>
      </c>
    </row>
    <row r="820" spans="1:6" x14ac:dyDescent="0.3">
      <c r="A820">
        <v>819</v>
      </c>
      <c r="B820" s="18" t="s">
        <v>1296</v>
      </c>
      <c r="C820" s="18" t="s">
        <v>1953</v>
      </c>
      <c r="D820" s="22" t="s">
        <v>951</v>
      </c>
      <c r="E820" s="23" t="s">
        <v>1054</v>
      </c>
      <c r="F820" s="23" t="s">
        <v>1055</v>
      </c>
    </row>
    <row r="821" spans="1:6" x14ac:dyDescent="0.3">
      <c r="A821">
        <v>820</v>
      </c>
      <c r="B821" s="18" t="s">
        <v>1296</v>
      </c>
      <c r="C821" s="18" t="s">
        <v>1954</v>
      </c>
      <c r="D821" s="22" t="s">
        <v>1955</v>
      </c>
      <c r="E821" s="23" t="s">
        <v>907</v>
      </c>
    </row>
    <row r="822" spans="1:6" x14ac:dyDescent="0.3">
      <c r="A822">
        <v>821</v>
      </c>
      <c r="B822" s="18" t="s">
        <v>1296</v>
      </c>
      <c r="C822" s="18" t="s">
        <v>1956</v>
      </c>
      <c r="D822" s="22" t="s">
        <v>1293</v>
      </c>
      <c r="E822" s="23" t="s">
        <v>1315</v>
      </c>
      <c r="F822" s="23" t="s">
        <v>907</v>
      </c>
    </row>
    <row r="823" spans="1:6" x14ac:dyDescent="0.3">
      <c r="A823">
        <v>822</v>
      </c>
      <c r="B823" s="18" t="s">
        <v>942</v>
      </c>
      <c r="C823" s="18" t="s">
        <v>1957</v>
      </c>
      <c r="D823" s="22" t="s">
        <v>951</v>
      </c>
      <c r="E823" s="23" t="s">
        <v>907</v>
      </c>
    </row>
    <row r="824" spans="1:6" x14ac:dyDescent="0.3">
      <c r="A824">
        <v>823</v>
      </c>
      <c r="B824" s="18" t="s">
        <v>942</v>
      </c>
      <c r="C824" s="18" t="s">
        <v>1958</v>
      </c>
      <c r="D824" s="22" t="s">
        <v>1959</v>
      </c>
      <c r="E824" s="23" t="s">
        <v>907</v>
      </c>
    </row>
    <row r="825" spans="1:6" x14ac:dyDescent="0.3">
      <c r="A825">
        <v>824</v>
      </c>
      <c r="B825" s="18" t="s">
        <v>944</v>
      </c>
      <c r="C825" s="18" t="s">
        <v>1960</v>
      </c>
      <c r="D825" s="22" t="s">
        <v>907</v>
      </c>
    </row>
    <row r="826" spans="1:6" x14ac:dyDescent="0.3">
      <c r="A826">
        <v>825</v>
      </c>
      <c r="B826" s="18" t="s">
        <v>944</v>
      </c>
      <c r="C826" s="18" t="s">
        <v>1961</v>
      </c>
      <c r="D826" s="22" t="s">
        <v>1962</v>
      </c>
      <c r="E826" s="23" t="s">
        <v>907</v>
      </c>
    </row>
    <row r="827" spans="1:6" x14ac:dyDescent="0.3">
      <c r="A827">
        <v>826</v>
      </c>
      <c r="B827" s="18" t="s">
        <v>944</v>
      </c>
      <c r="C827" s="18" t="s">
        <v>1963</v>
      </c>
      <c r="D827" s="22" t="s">
        <v>951</v>
      </c>
      <c r="E827" s="23" t="s">
        <v>907</v>
      </c>
    </row>
    <row r="828" spans="1:6" x14ac:dyDescent="0.3">
      <c r="A828">
        <v>827</v>
      </c>
      <c r="B828" s="18" t="s">
        <v>944</v>
      </c>
      <c r="C828" s="18" t="s">
        <v>1964</v>
      </c>
      <c r="D828" s="22" t="s">
        <v>1965</v>
      </c>
      <c r="E828" s="23" t="s">
        <v>907</v>
      </c>
    </row>
    <row r="829" spans="1:6" x14ac:dyDescent="0.3">
      <c r="A829">
        <v>828</v>
      </c>
      <c r="B829" s="18" t="s">
        <v>944</v>
      </c>
      <c r="C829" s="18" t="s">
        <v>1966</v>
      </c>
      <c r="D829" s="22" t="s">
        <v>951</v>
      </c>
      <c r="E829" s="23" t="s">
        <v>907</v>
      </c>
    </row>
    <row r="830" spans="1:6" x14ac:dyDescent="0.3">
      <c r="A830">
        <v>829</v>
      </c>
      <c r="B830" s="18" t="s">
        <v>944</v>
      </c>
      <c r="C830" s="18" t="s">
        <v>1967</v>
      </c>
      <c r="D830" s="22" t="s">
        <v>907</v>
      </c>
    </row>
    <row r="831" spans="1:6" x14ac:dyDescent="0.3">
      <c r="A831">
        <v>830</v>
      </c>
      <c r="B831" s="18" t="s">
        <v>946</v>
      </c>
      <c r="C831" s="18" t="s">
        <v>1968</v>
      </c>
      <c r="D831" s="22" t="s">
        <v>907</v>
      </c>
    </row>
    <row r="832" spans="1:6" x14ac:dyDescent="0.3">
      <c r="A832">
        <v>831</v>
      </c>
      <c r="B832" s="18" t="s">
        <v>954</v>
      </c>
      <c r="C832" s="18" t="s">
        <v>1969</v>
      </c>
      <c r="D832" s="22" t="s">
        <v>907</v>
      </c>
      <c r="E832" s="23" t="s">
        <v>941</v>
      </c>
    </row>
    <row r="833" spans="1:7" x14ac:dyDescent="0.3">
      <c r="A833">
        <v>832</v>
      </c>
      <c r="B833" s="18" t="s">
        <v>1076</v>
      </c>
      <c r="C833" s="18" t="s">
        <v>1970</v>
      </c>
      <c r="D833" s="22" t="s">
        <v>907</v>
      </c>
    </row>
    <row r="834" spans="1:7" x14ac:dyDescent="0.3">
      <c r="A834">
        <v>833</v>
      </c>
      <c r="B834" s="18" t="s">
        <v>1076</v>
      </c>
      <c r="C834" s="18" t="s">
        <v>1971</v>
      </c>
      <c r="D834" s="22" t="s">
        <v>907</v>
      </c>
    </row>
    <row r="835" spans="1:7" x14ac:dyDescent="0.3">
      <c r="A835">
        <v>834</v>
      </c>
      <c r="B835" s="18" t="s">
        <v>1087</v>
      </c>
      <c r="C835" s="18" t="s">
        <v>1972</v>
      </c>
      <c r="D835" s="22" t="s">
        <v>907</v>
      </c>
    </row>
    <row r="836" spans="1:7" x14ac:dyDescent="0.3">
      <c r="A836">
        <v>835</v>
      </c>
      <c r="B836" s="18" t="s">
        <v>1081</v>
      </c>
      <c r="C836" s="18" t="s">
        <v>1973</v>
      </c>
      <c r="D836" s="22" t="s">
        <v>907</v>
      </c>
    </row>
    <row r="837" spans="1:7" x14ac:dyDescent="0.3">
      <c r="A837">
        <v>836</v>
      </c>
      <c r="B837" s="18" t="s">
        <v>897</v>
      </c>
      <c r="C837" s="18" t="s">
        <v>1974</v>
      </c>
      <c r="D837" s="22" t="s">
        <v>904</v>
      </c>
      <c r="E837" s="23" t="s">
        <v>907</v>
      </c>
    </row>
    <row r="838" spans="1:7" x14ac:dyDescent="0.3">
      <c r="A838">
        <v>837</v>
      </c>
      <c r="B838" s="18" t="s">
        <v>902</v>
      </c>
      <c r="C838" s="18" t="s">
        <v>1975</v>
      </c>
      <c r="D838" s="22" t="s">
        <v>1014</v>
      </c>
      <c r="E838" s="23" t="s">
        <v>907</v>
      </c>
    </row>
    <row r="839" spans="1:7" x14ac:dyDescent="0.3">
      <c r="A839">
        <v>838</v>
      </c>
      <c r="B839" s="18" t="s">
        <v>908</v>
      </c>
      <c r="C839" s="18" t="s">
        <v>1976</v>
      </c>
      <c r="D839" s="22" t="s">
        <v>904</v>
      </c>
      <c r="E839" s="23" t="s">
        <v>907</v>
      </c>
    </row>
    <row r="840" spans="1:7" x14ac:dyDescent="0.3">
      <c r="A840">
        <v>839</v>
      </c>
      <c r="B840" s="18" t="s">
        <v>977</v>
      </c>
      <c r="C840" s="18" t="s">
        <v>1977</v>
      </c>
      <c r="D840" s="22" t="s">
        <v>1010</v>
      </c>
      <c r="E840" s="23" t="s">
        <v>907</v>
      </c>
    </row>
    <row r="841" spans="1:7" x14ac:dyDescent="0.3">
      <c r="A841">
        <v>840</v>
      </c>
      <c r="B841" s="18" t="s">
        <v>1029</v>
      </c>
      <c r="C841" s="18" t="s">
        <v>1978</v>
      </c>
      <c r="D841" s="22" t="s">
        <v>1037</v>
      </c>
      <c r="E841" s="23" t="s">
        <v>907</v>
      </c>
    </row>
    <row r="842" spans="1:7" x14ac:dyDescent="0.3">
      <c r="A842">
        <v>841</v>
      </c>
      <c r="B842" s="18" t="s">
        <v>1029</v>
      </c>
      <c r="C842" s="18" t="s">
        <v>1979</v>
      </c>
      <c r="D842" s="22" t="s">
        <v>1054</v>
      </c>
      <c r="E842" s="23" t="s">
        <v>1980</v>
      </c>
    </row>
    <row r="843" spans="1:7" x14ac:dyDescent="0.3">
      <c r="A843">
        <v>842</v>
      </c>
      <c r="B843" s="18" t="s">
        <v>913</v>
      </c>
      <c r="C843" s="18" t="s">
        <v>1981</v>
      </c>
      <c r="D843" s="22" t="s">
        <v>1925</v>
      </c>
      <c r="E843" s="23" t="s">
        <v>907</v>
      </c>
    </row>
    <row r="844" spans="1:7" x14ac:dyDescent="0.3">
      <c r="A844">
        <v>843</v>
      </c>
      <c r="B844" s="18" t="s">
        <v>926</v>
      </c>
      <c r="C844" s="18" t="s">
        <v>1983</v>
      </c>
      <c r="D844" s="22" t="s">
        <v>1982</v>
      </c>
    </row>
    <row r="845" spans="1:7" x14ac:dyDescent="0.3">
      <c r="A845">
        <v>844</v>
      </c>
      <c r="B845" s="18" t="s">
        <v>937</v>
      </c>
      <c r="C845" s="18" t="s">
        <v>1984</v>
      </c>
      <c r="D845" s="22" t="s">
        <v>907</v>
      </c>
    </row>
    <row r="846" spans="1:7" x14ac:dyDescent="0.3">
      <c r="A846">
        <v>845</v>
      </c>
      <c r="B846" s="18" t="s">
        <v>1296</v>
      </c>
      <c r="C846" s="18" t="s">
        <v>1985</v>
      </c>
      <c r="D846" s="22" t="s">
        <v>1986</v>
      </c>
      <c r="E846" s="23" t="s">
        <v>907</v>
      </c>
    </row>
    <row r="847" spans="1:7" x14ac:dyDescent="0.3">
      <c r="A847">
        <v>846</v>
      </c>
      <c r="B847" s="18" t="s">
        <v>942</v>
      </c>
      <c r="C847" s="18" t="s">
        <v>1987</v>
      </c>
      <c r="D847" s="22" t="s">
        <v>1965</v>
      </c>
      <c r="E847" s="23" t="s">
        <v>1054</v>
      </c>
      <c r="F847" s="23" t="s">
        <v>951</v>
      </c>
      <c r="G847" s="23" t="s">
        <v>1988</v>
      </c>
    </row>
    <row r="848" spans="1:7" x14ac:dyDescent="0.3">
      <c r="A848">
        <v>847</v>
      </c>
      <c r="B848" s="18" t="s">
        <v>944</v>
      </c>
      <c r="C848" s="18" t="s">
        <v>1989</v>
      </c>
      <c r="D848" s="22" t="s">
        <v>1054</v>
      </c>
      <c r="E848" s="23" t="s">
        <v>1990</v>
      </c>
    </row>
    <row r="849" spans="1:6" x14ac:dyDescent="0.3">
      <c r="A849">
        <v>848</v>
      </c>
      <c r="B849" s="18" t="s">
        <v>944</v>
      </c>
      <c r="C849" s="18" t="s">
        <v>1991</v>
      </c>
      <c r="D849" s="22" t="s">
        <v>907</v>
      </c>
    </row>
    <row r="850" spans="1:6" x14ac:dyDescent="0.3">
      <c r="A850">
        <v>849</v>
      </c>
      <c r="B850" s="18" t="s">
        <v>946</v>
      </c>
      <c r="C850" s="18" t="s">
        <v>1987</v>
      </c>
      <c r="D850" s="22" t="s">
        <v>1992</v>
      </c>
      <c r="E850" s="23" t="s">
        <v>1054</v>
      </c>
      <c r="F850" s="23" t="s">
        <v>1069</v>
      </c>
    </row>
  </sheetData>
  <conditionalFormatting sqref="D1:D1048576">
    <cfRule type="containsText" dxfId="3" priority="1" operator="containsText" text="#VALUE!">
      <formula>NOT(ISERROR(SEARCH("#VALUE!",D1)))</formula>
    </cfRule>
    <cfRule type="containsErrors" dxfId="2" priority="2">
      <formula>ISERROR(D1)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DB4FA-8F64-4A38-8533-8122F712E785}">
  <dimension ref="A1:F1000"/>
  <sheetViews>
    <sheetView zoomScale="85" workbookViewId="0">
      <selection activeCell="B1" sqref="B1"/>
    </sheetView>
  </sheetViews>
  <sheetFormatPr defaultRowHeight="14" x14ac:dyDescent="0.3"/>
  <cols>
    <col min="2" max="5" width="12.08203125" style="12" customWidth="1"/>
  </cols>
  <sheetData>
    <row r="1" spans="1:6" x14ac:dyDescent="0.3">
      <c r="A1">
        <v>1</v>
      </c>
      <c r="B1" s="12" t="s">
        <v>899</v>
      </c>
    </row>
    <row r="2" spans="1:6" x14ac:dyDescent="0.3">
      <c r="A2">
        <v>2</v>
      </c>
      <c r="B2" s="12" t="s">
        <v>904</v>
      </c>
    </row>
    <row r="3" spans="1:6" x14ac:dyDescent="0.3">
      <c r="A3">
        <v>3</v>
      </c>
      <c r="B3" s="12" t="s">
        <v>910</v>
      </c>
    </row>
    <row r="4" spans="1:6" x14ac:dyDescent="0.3">
      <c r="A4">
        <v>4</v>
      </c>
      <c r="B4" s="12" t="s">
        <v>915</v>
      </c>
    </row>
    <row r="5" spans="1:6" x14ac:dyDescent="0.3">
      <c r="A5">
        <v>5</v>
      </c>
      <c r="B5" s="12" t="s">
        <v>917</v>
      </c>
    </row>
    <row r="6" spans="1:6" x14ac:dyDescent="0.3">
      <c r="A6">
        <v>6</v>
      </c>
      <c r="B6" s="12" t="s">
        <v>919</v>
      </c>
    </row>
    <row r="7" spans="1:6" x14ac:dyDescent="0.3">
      <c r="A7">
        <v>7</v>
      </c>
      <c r="B7" s="12" t="s">
        <v>921</v>
      </c>
      <c r="C7" s="25"/>
    </row>
    <row r="8" spans="1:6" x14ac:dyDescent="0.3">
      <c r="A8">
        <v>8</v>
      </c>
      <c r="B8" s="12" t="s">
        <v>924</v>
      </c>
    </row>
    <row r="9" spans="1:6" x14ac:dyDescent="0.3">
      <c r="A9">
        <v>9</v>
      </c>
      <c r="B9" s="12" t="s">
        <v>928</v>
      </c>
    </row>
    <row r="10" spans="1:6" x14ac:dyDescent="0.3">
      <c r="A10">
        <v>10</v>
      </c>
      <c r="B10" s="12" t="s">
        <v>931</v>
      </c>
    </row>
    <row r="11" spans="1:6" x14ac:dyDescent="0.3">
      <c r="A11">
        <v>11</v>
      </c>
      <c r="B11" s="12" t="s">
        <v>934</v>
      </c>
    </row>
    <row r="12" spans="1:6" x14ac:dyDescent="0.3">
      <c r="A12">
        <v>12</v>
      </c>
      <c r="B12" s="12" t="s">
        <v>907</v>
      </c>
    </row>
    <row r="13" spans="1:6" x14ac:dyDescent="0.3">
      <c r="A13">
        <v>13</v>
      </c>
      <c r="B13" s="12" t="s">
        <v>951</v>
      </c>
    </row>
    <row r="14" spans="1:6" x14ac:dyDescent="0.3">
      <c r="A14">
        <v>14</v>
      </c>
      <c r="B14" s="12" t="s">
        <v>958</v>
      </c>
    </row>
    <row r="15" spans="1:6" x14ac:dyDescent="0.3">
      <c r="A15">
        <v>15</v>
      </c>
      <c r="B15" s="12" t="s">
        <v>960</v>
      </c>
      <c r="C15" s="15"/>
      <c r="D15" s="15"/>
      <c r="E15" s="15"/>
      <c r="F15" s="16"/>
    </row>
    <row r="16" spans="1:6" x14ac:dyDescent="0.3">
      <c r="A16">
        <v>16</v>
      </c>
      <c r="B16" s="12" t="s">
        <v>966</v>
      </c>
    </row>
    <row r="17" spans="1:2" x14ac:dyDescent="0.3">
      <c r="A17">
        <v>17</v>
      </c>
      <c r="B17" s="12" t="s">
        <v>968</v>
      </c>
    </row>
    <row r="18" spans="1:2" x14ac:dyDescent="0.3">
      <c r="A18">
        <v>18</v>
      </c>
      <c r="B18" s="12" t="s">
        <v>979</v>
      </c>
    </row>
    <row r="19" spans="1:2" x14ac:dyDescent="0.3">
      <c r="A19">
        <v>19</v>
      </c>
      <c r="B19" s="12" t="s">
        <v>981</v>
      </c>
    </row>
    <row r="20" spans="1:2" x14ac:dyDescent="0.3">
      <c r="A20">
        <v>20</v>
      </c>
      <c r="B20" s="12" t="s">
        <v>983</v>
      </c>
    </row>
    <row r="21" spans="1:2" x14ac:dyDescent="0.3">
      <c r="A21">
        <v>21</v>
      </c>
      <c r="B21" s="12" t="s">
        <v>985</v>
      </c>
    </row>
    <row r="22" spans="1:2" x14ac:dyDescent="0.3">
      <c r="A22">
        <v>22</v>
      </c>
      <c r="B22" s="12" t="s">
        <v>988</v>
      </c>
    </row>
    <row r="23" spans="1:2" x14ac:dyDescent="0.3">
      <c r="A23">
        <v>23</v>
      </c>
      <c r="B23" s="12" t="s">
        <v>991</v>
      </c>
    </row>
    <row r="24" spans="1:2" x14ac:dyDescent="0.3">
      <c r="A24">
        <v>24</v>
      </c>
      <c r="B24" s="12" t="s">
        <v>994</v>
      </c>
    </row>
    <row r="25" spans="1:2" x14ac:dyDescent="0.3">
      <c r="A25">
        <v>25</v>
      </c>
      <c r="B25" s="12" t="s">
        <v>996</v>
      </c>
    </row>
    <row r="26" spans="1:2" x14ac:dyDescent="0.3">
      <c r="A26">
        <v>26</v>
      </c>
      <c r="B26" s="12" t="s">
        <v>998</v>
      </c>
    </row>
    <row r="27" spans="1:2" x14ac:dyDescent="0.3">
      <c r="A27">
        <v>27</v>
      </c>
      <c r="B27" s="12" t="s">
        <v>1000</v>
      </c>
    </row>
    <row r="28" spans="1:2" x14ac:dyDescent="0.3">
      <c r="A28">
        <v>28</v>
      </c>
      <c r="B28" s="12" t="s">
        <v>1002</v>
      </c>
    </row>
    <row r="29" spans="1:2" x14ac:dyDescent="0.3">
      <c r="A29">
        <v>29</v>
      </c>
      <c r="B29" s="12" t="s">
        <v>1004</v>
      </c>
    </row>
    <row r="30" spans="1:2" x14ac:dyDescent="0.3">
      <c r="A30">
        <v>30</v>
      </c>
      <c r="B30" s="12" t="s">
        <v>1006</v>
      </c>
    </row>
    <row r="31" spans="1:2" x14ac:dyDescent="0.3">
      <c r="A31">
        <v>31</v>
      </c>
      <c r="B31" s="12" t="s">
        <v>1010</v>
      </c>
    </row>
    <row r="32" spans="1:2" x14ac:dyDescent="0.3">
      <c r="A32">
        <v>32</v>
      </c>
      <c r="B32" s="12" t="s">
        <v>1012</v>
      </c>
    </row>
    <row r="33" spans="1:2" x14ac:dyDescent="0.3">
      <c r="A33">
        <v>33</v>
      </c>
      <c r="B33" s="12" t="s">
        <v>1014</v>
      </c>
    </row>
    <row r="34" spans="1:2" x14ac:dyDescent="0.3">
      <c r="A34">
        <v>34</v>
      </c>
      <c r="B34" s="12" t="s">
        <v>1016</v>
      </c>
    </row>
    <row r="35" spans="1:2" x14ac:dyDescent="0.3">
      <c r="A35">
        <v>35</v>
      </c>
      <c r="B35" s="12" t="s">
        <v>1027</v>
      </c>
    </row>
    <row r="36" spans="1:2" x14ac:dyDescent="0.3">
      <c r="A36">
        <v>36</v>
      </c>
      <c r="B36" s="12" t="s">
        <v>1032</v>
      </c>
    </row>
    <row r="37" spans="1:2" x14ac:dyDescent="0.3">
      <c r="A37">
        <v>37</v>
      </c>
      <c r="B37" s="12" t="s">
        <v>1035</v>
      </c>
    </row>
    <row r="38" spans="1:2" x14ac:dyDescent="0.3">
      <c r="A38">
        <v>38</v>
      </c>
      <c r="B38" s="12" t="s">
        <v>1037</v>
      </c>
    </row>
    <row r="39" spans="1:2" x14ac:dyDescent="0.3">
      <c r="A39">
        <v>39</v>
      </c>
      <c r="B39" s="12" t="s">
        <v>1040</v>
      </c>
    </row>
    <row r="40" spans="1:2" x14ac:dyDescent="0.3">
      <c r="A40">
        <v>40</v>
      </c>
      <c r="B40" s="12" t="s">
        <v>1042</v>
      </c>
    </row>
    <row r="41" spans="1:2" x14ac:dyDescent="0.3">
      <c r="A41">
        <v>41</v>
      </c>
      <c r="B41" s="12" t="s">
        <v>1053</v>
      </c>
    </row>
    <row r="42" spans="1:2" x14ac:dyDescent="0.3">
      <c r="A42">
        <v>42</v>
      </c>
      <c r="B42" s="12" t="s">
        <v>1058</v>
      </c>
    </row>
    <row r="43" spans="1:2" x14ac:dyDescent="0.3">
      <c r="A43">
        <v>43</v>
      </c>
      <c r="B43" s="12" t="s">
        <v>1054</v>
      </c>
    </row>
    <row r="44" spans="1:2" x14ac:dyDescent="0.3">
      <c r="A44">
        <v>44</v>
      </c>
      <c r="B44" s="12" t="s">
        <v>1069</v>
      </c>
    </row>
    <row r="45" spans="1:2" x14ac:dyDescent="0.3">
      <c r="A45">
        <v>45</v>
      </c>
      <c r="B45" s="12" t="s">
        <v>1074</v>
      </c>
    </row>
    <row r="46" spans="1:2" x14ac:dyDescent="0.3">
      <c r="A46">
        <v>46</v>
      </c>
      <c r="B46" s="12" t="s">
        <v>1094</v>
      </c>
    </row>
    <row r="47" spans="1:2" x14ac:dyDescent="0.3">
      <c r="A47">
        <v>47</v>
      </c>
      <c r="B47" s="12" t="s">
        <v>1096</v>
      </c>
    </row>
    <row r="48" spans="1:2" x14ac:dyDescent="0.3">
      <c r="A48">
        <v>48</v>
      </c>
      <c r="B48" s="12" t="s">
        <v>1099</v>
      </c>
    </row>
    <row r="49" spans="1:2" x14ac:dyDescent="0.3">
      <c r="A49">
        <v>49</v>
      </c>
      <c r="B49" s="12" t="s">
        <v>1101</v>
      </c>
    </row>
    <row r="50" spans="1:2" x14ac:dyDescent="0.3">
      <c r="A50">
        <v>50</v>
      </c>
      <c r="B50" s="12" t="s">
        <v>1106</v>
      </c>
    </row>
    <row r="51" spans="1:2" x14ac:dyDescent="0.3">
      <c r="A51">
        <v>51</v>
      </c>
      <c r="B51" s="12" t="s">
        <v>1109</v>
      </c>
    </row>
    <row r="52" spans="1:2" x14ac:dyDescent="0.3">
      <c r="A52">
        <v>52</v>
      </c>
      <c r="B52" s="12" t="s">
        <v>1113</v>
      </c>
    </row>
    <row r="53" spans="1:2" x14ac:dyDescent="0.3">
      <c r="A53">
        <v>53</v>
      </c>
      <c r="B53" s="12" t="s">
        <v>1132</v>
      </c>
    </row>
    <row r="54" spans="1:2" x14ac:dyDescent="0.3">
      <c r="A54">
        <v>54</v>
      </c>
      <c r="B54" s="12" t="s">
        <v>1134</v>
      </c>
    </row>
    <row r="55" spans="1:2" x14ac:dyDescent="0.3">
      <c r="A55">
        <v>55</v>
      </c>
      <c r="B55" s="12" t="s">
        <v>1143</v>
      </c>
    </row>
    <row r="56" spans="1:2" x14ac:dyDescent="0.3">
      <c r="A56">
        <v>56</v>
      </c>
      <c r="B56" s="12" t="s">
        <v>1149</v>
      </c>
    </row>
    <row r="57" spans="1:2" x14ac:dyDescent="0.3">
      <c r="A57">
        <v>57</v>
      </c>
      <c r="B57" s="12" t="s">
        <v>1161</v>
      </c>
    </row>
    <row r="58" spans="1:2" x14ac:dyDescent="0.3">
      <c r="A58">
        <v>58</v>
      </c>
      <c r="B58" s="12" t="s">
        <v>1177</v>
      </c>
    </row>
    <row r="59" spans="1:2" x14ac:dyDescent="0.3">
      <c r="A59">
        <v>59</v>
      </c>
      <c r="B59" s="12" t="s">
        <v>1180</v>
      </c>
    </row>
    <row r="60" spans="1:2" x14ac:dyDescent="0.3">
      <c r="A60">
        <v>60</v>
      </c>
      <c r="B60" s="12" t="s">
        <v>1183</v>
      </c>
    </row>
    <row r="61" spans="1:2" x14ac:dyDescent="0.3">
      <c r="A61">
        <v>61</v>
      </c>
      <c r="B61" s="12" t="s">
        <v>1185</v>
      </c>
    </row>
    <row r="62" spans="1:2" x14ac:dyDescent="0.3">
      <c r="A62">
        <v>62</v>
      </c>
      <c r="B62" s="12" t="s">
        <v>1189</v>
      </c>
    </row>
    <row r="63" spans="1:2" x14ac:dyDescent="0.3">
      <c r="A63">
        <v>63</v>
      </c>
      <c r="B63" s="12" t="s">
        <v>1193</v>
      </c>
    </row>
    <row r="64" spans="1:2" x14ac:dyDescent="0.3">
      <c r="A64">
        <v>64</v>
      </c>
      <c r="B64" s="12" t="s">
        <v>1195</v>
      </c>
    </row>
    <row r="65" spans="1:2" x14ac:dyDescent="0.3">
      <c r="A65">
        <v>65</v>
      </c>
      <c r="B65" s="12" t="s">
        <v>1196</v>
      </c>
    </row>
    <row r="66" spans="1:2" x14ac:dyDescent="0.3">
      <c r="A66">
        <v>66</v>
      </c>
      <c r="B66" s="12" t="s">
        <v>1199</v>
      </c>
    </row>
    <row r="67" spans="1:2" x14ac:dyDescent="0.3">
      <c r="A67">
        <v>67</v>
      </c>
      <c r="B67" s="12" t="s">
        <v>1203</v>
      </c>
    </row>
    <row r="68" spans="1:2" x14ac:dyDescent="0.3">
      <c r="A68">
        <v>68</v>
      </c>
      <c r="B68" s="12" t="s">
        <v>1206</v>
      </c>
    </row>
    <row r="69" spans="1:2" x14ac:dyDescent="0.3">
      <c r="A69">
        <v>69</v>
      </c>
      <c r="B69" s="12" t="s">
        <v>1224</v>
      </c>
    </row>
    <row r="70" spans="1:2" x14ac:dyDescent="0.3">
      <c r="A70">
        <v>70</v>
      </c>
      <c r="B70" s="12" t="s">
        <v>1230</v>
      </c>
    </row>
    <row r="71" spans="1:2" x14ac:dyDescent="0.3">
      <c r="A71">
        <v>71</v>
      </c>
      <c r="B71" s="12" t="s">
        <v>1247</v>
      </c>
    </row>
    <row r="72" spans="1:2" x14ac:dyDescent="0.3">
      <c r="A72">
        <v>72</v>
      </c>
      <c r="B72" s="12" t="s">
        <v>1251</v>
      </c>
    </row>
    <row r="73" spans="1:2" x14ac:dyDescent="0.3">
      <c r="A73">
        <v>73</v>
      </c>
      <c r="B73" s="12" t="s">
        <v>1256</v>
      </c>
    </row>
    <row r="74" spans="1:2" x14ac:dyDescent="0.3">
      <c r="A74">
        <v>74</v>
      </c>
      <c r="B74" s="12" t="s">
        <v>1262</v>
      </c>
    </row>
    <row r="75" spans="1:2" x14ac:dyDescent="0.3">
      <c r="A75">
        <v>75</v>
      </c>
      <c r="B75" s="12" t="s">
        <v>1265</v>
      </c>
    </row>
    <row r="76" spans="1:2" x14ac:dyDescent="0.3">
      <c r="A76">
        <v>76</v>
      </c>
      <c r="B76" s="12" t="s">
        <v>1273</v>
      </c>
    </row>
    <row r="77" spans="1:2" x14ac:dyDescent="0.3">
      <c r="A77">
        <v>77</v>
      </c>
      <c r="B77" s="12" t="s">
        <v>1293</v>
      </c>
    </row>
    <row r="78" spans="1:2" x14ac:dyDescent="0.3">
      <c r="A78">
        <v>78</v>
      </c>
      <c r="B78" s="12" t="s">
        <v>1298</v>
      </c>
    </row>
    <row r="79" spans="1:2" x14ac:dyDescent="0.3">
      <c r="A79">
        <v>79</v>
      </c>
      <c r="B79" s="12" t="s">
        <v>1302</v>
      </c>
    </row>
    <row r="80" spans="1:2" x14ac:dyDescent="0.3">
      <c r="A80">
        <v>80</v>
      </c>
      <c r="B80" s="12" t="s">
        <v>1307</v>
      </c>
    </row>
    <row r="81" spans="1:2" x14ac:dyDescent="0.3">
      <c r="A81">
        <v>81</v>
      </c>
      <c r="B81" s="12" t="s">
        <v>1311</v>
      </c>
    </row>
    <row r="82" spans="1:2" x14ac:dyDescent="0.3">
      <c r="A82">
        <v>82</v>
      </c>
      <c r="B82" s="12" t="s">
        <v>1324</v>
      </c>
    </row>
    <row r="83" spans="1:2" x14ac:dyDescent="0.3">
      <c r="A83">
        <v>83</v>
      </c>
      <c r="B83" s="12" t="s">
        <v>1330</v>
      </c>
    </row>
    <row r="84" spans="1:2" x14ac:dyDescent="0.3">
      <c r="A84">
        <v>84</v>
      </c>
      <c r="B84" s="12" t="s">
        <v>1320</v>
      </c>
    </row>
    <row r="85" spans="1:2" x14ac:dyDescent="0.3">
      <c r="A85">
        <v>85</v>
      </c>
      <c r="B85" s="12" t="s">
        <v>1336</v>
      </c>
    </row>
    <row r="86" spans="1:2" x14ac:dyDescent="0.3">
      <c r="A86">
        <v>86</v>
      </c>
      <c r="B86" s="12" t="s">
        <v>1055</v>
      </c>
    </row>
    <row r="87" spans="1:2" x14ac:dyDescent="0.3">
      <c r="A87">
        <v>87</v>
      </c>
      <c r="B87" s="12" t="s">
        <v>1166</v>
      </c>
    </row>
    <row r="88" spans="1:2" x14ac:dyDescent="0.3">
      <c r="A88">
        <v>88</v>
      </c>
      <c r="B88" s="12" t="s">
        <v>1396</v>
      </c>
    </row>
    <row r="89" spans="1:2" x14ac:dyDescent="0.3">
      <c r="A89">
        <v>89</v>
      </c>
      <c r="B89" s="12" t="s">
        <v>1404</v>
      </c>
    </row>
    <row r="90" spans="1:2" x14ac:dyDescent="0.3">
      <c r="A90">
        <v>90</v>
      </c>
      <c r="B90" s="12" t="s">
        <v>1416</v>
      </c>
    </row>
    <row r="91" spans="1:2" x14ac:dyDescent="0.3">
      <c r="A91">
        <v>91</v>
      </c>
      <c r="B91" s="12" t="s">
        <v>1433</v>
      </c>
    </row>
    <row r="92" spans="1:2" x14ac:dyDescent="0.3">
      <c r="A92">
        <v>92</v>
      </c>
      <c r="B92" s="12" t="s">
        <v>1444</v>
      </c>
    </row>
    <row r="93" spans="1:2" x14ac:dyDescent="0.3">
      <c r="A93">
        <v>93</v>
      </c>
      <c r="B93" s="12" t="s">
        <v>1450</v>
      </c>
    </row>
    <row r="94" spans="1:2" x14ac:dyDescent="0.3">
      <c r="A94">
        <v>94</v>
      </c>
      <c r="B94" s="12" t="s">
        <v>1476</v>
      </c>
    </row>
    <row r="95" spans="1:2" x14ac:dyDescent="0.3">
      <c r="A95">
        <v>95</v>
      </c>
      <c r="B95" s="12" t="s">
        <v>1490</v>
      </c>
    </row>
    <row r="96" spans="1:2" x14ac:dyDescent="0.3">
      <c r="A96">
        <v>96</v>
      </c>
      <c r="B96" s="12" t="s">
        <v>2001</v>
      </c>
    </row>
    <row r="97" spans="1:2" x14ac:dyDescent="0.3">
      <c r="A97">
        <v>97</v>
      </c>
      <c r="B97" s="12" t="s">
        <v>1167</v>
      </c>
    </row>
    <row r="98" spans="1:2" x14ac:dyDescent="0.3">
      <c r="A98">
        <v>98</v>
      </c>
      <c r="B98" s="12" t="s">
        <v>2002</v>
      </c>
    </row>
    <row r="99" spans="1:2" x14ac:dyDescent="0.3">
      <c r="A99">
        <v>99</v>
      </c>
      <c r="B99" s="12" t="s">
        <v>1524</v>
      </c>
    </row>
    <row r="100" spans="1:2" x14ac:dyDescent="0.3">
      <c r="A100">
        <v>100</v>
      </c>
      <c r="B100" s="12" t="s">
        <v>1526</v>
      </c>
    </row>
    <row r="101" spans="1:2" x14ac:dyDescent="0.3">
      <c r="A101">
        <v>101</v>
      </c>
      <c r="B101" s="12" t="s">
        <v>1531</v>
      </c>
    </row>
    <row r="102" spans="1:2" x14ac:dyDescent="0.3">
      <c r="A102">
        <v>102</v>
      </c>
      <c r="B102" s="12" t="s">
        <v>1533</v>
      </c>
    </row>
    <row r="103" spans="1:2" x14ac:dyDescent="0.3">
      <c r="A103">
        <v>103</v>
      </c>
      <c r="B103" s="12" t="s">
        <v>1537</v>
      </c>
    </row>
    <row r="104" spans="1:2" x14ac:dyDescent="0.3">
      <c r="A104">
        <v>104</v>
      </c>
      <c r="B104" s="12" t="s">
        <v>1539</v>
      </c>
    </row>
    <row r="105" spans="1:2" x14ac:dyDescent="0.3">
      <c r="A105">
        <v>105</v>
      </c>
      <c r="B105" s="12" t="s">
        <v>1542</v>
      </c>
    </row>
    <row r="106" spans="1:2" x14ac:dyDescent="0.3">
      <c r="A106">
        <v>106</v>
      </c>
      <c r="B106" s="12" t="s">
        <v>1545</v>
      </c>
    </row>
    <row r="107" spans="1:2" x14ac:dyDescent="0.3">
      <c r="A107">
        <v>107</v>
      </c>
      <c r="B107" s="12" t="s">
        <v>1550</v>
      </c>
    </row>
    <row r="108" spans="1:2" x14ac:dyDescent="0.3">
      <c r="A108">
        <v>108</v>
      </c>
      <c r="B108" s="12" t="s">
        <v>1552</v>
      </c>
    </row>
    <row r="109" spans="1:2" x14ac:dyDescent="0.3">
      <c r="A109">
        <v>109</v>
      </c>
      <c r="B109" s="12" t="s">
        <v>1564</v>
      </c>
    </row>
    <row r="110" spans="1:2" x14ac:dyDescent="0.3">
      <c r="A110">
        <v>110</v>
      </c>
      <c r="B110" s="12" t="s">
        <v>1572</v>
      </c>
    </row>
    <row r="111" spans="1:2" x14ac:dyDescent="0.3">
      <c r="A111">
        <v>111</v>
      </c>
      <c r="B111" s="12" t="s">
        <v>1575</v>
      </c>
    </row>
    <row r="112" spans="1:2" x14ac:dyDescent="0.3">
      <c r="A112">
        <v>112</v>
      </c>
      <c r="B112" s="12" t="s">
        <v>1581</v>
      </c>
    </row>
    <row r="113" spans="1:2" x14ac:dyDescent="0.3">
      <c r="A113">
        <v>113</v>
      </c>
      <c r="B113" s="12" t="s">
        <v>1583</v>
      </c>
    </row>
    <row r="114" spans="1:2" x14ac:dyDescent="0.3">
      <c r="A114">
        <v>114</v>
      </c>
      <c r="B114" s="12" t="s">
        <v>1585</v>
      </c>
    </row>
    <row r="115" spans="1:2" x14ac:dyDescent="0.3">
      <c r="A115">
        <v>115</v>
      </c>
      <c r="B115" s="12" t="s">
        <v>1129</v>
      </c>
    </row>
    <row r="116" spans="1:2" x14ac:dyDescent="0.3">
      <c r="A116">
        <v>116</v>
      </c>
      <c r="B116" s="12" t="s">
        <v>2003</v>
      </c>
    </row>
    <row r="117" spans="1:2" x14ac:dyDescent="0.3">
      <c r="A117">
        <v>117</v>
      </c>
      <c r="B117" s="12" t="s">
        <v>1733</v>
      </c>
    </row>
    <row r="118" spans="1:2" x14ac:dyDescent="0.3">
      <c r="A118">
        <v>118</v>
      </c>
      <c r="B118" s="12" t="s">
        <v>2004</v>
      </c>
    </row>
    <row r="119" spans="1:2" x14ac:dyDescent="0.3">
      <c r="A119">
        <v>119</v>
      </c>
      <c r="B119" s="12" t="s">
        <v>1837</v>
      </c>
    </row>
    <row r="120" spans="1:2" x14ac:dyDescent="0.3">
      <c r="A120">
        <v>120</v>
      </c>
      <c r="B120" s="12" t="s">
        <v>1844</v>
      </c>
    </row>
    <row r="121" spans="1:2" x14ac:dyDescent="0.3">
      <c r="A121">
        <v>121</v>
      </c>
      <c r="B121" s="12" t="s">
        <v>1851</v>
      </c>
    </row>
    <row r="122" spans="1:2" x14ac:dyDescent="0.3">
      <c r="A122">
        <v>122</v>
      </c>
      <c r="B122" s="12" t="s">
        <v>1860</v>
      </c>
    </row>
    <row r="123" spans="1:2" x14ac:dyDescent="0.3">
      <c r="A123">
        <v>123</v>
      </c>
      <c r="B123" s="12" t="s">
        <v>1871</v>
      </c>
    </row>
    <row r="124" spans="1:2" x14ac:dyDescent="0.3">
      <c r="A124">
        <v>124</v>
      </c>
      <c r="B124" s="12" t="s">
        <v>1880</v>
      </c>
    </row>
    <row r="125" spans="1:2" x14ac:dyDescent="0.3">
      <c r="A125">
        <v>125</v>
      </c>
      <c r="B125" s="12" t="s">
        <v>1906</v>
      </c>
    </row>
    <row r="126" spans="1:2" x14ac:dyDescent="0.3">
      <c r="A126">
        <v>126</v>
      </c>
      <c r="B126" s="12" t="s">
        <v>1910</v>
      </c>
    </row>
    <row r="127" spans="1:2" x14ac:dyDescent="0.3">
      <c r="A127">
        <v>127</v>
      </c>
      <c r="B127" s="12" t="s">
        <v>1915</v>
      </c>
    </row>
    <row r="128" spans="1:2" x14ac:dyDescent="0.3">
      <c r="A128">
        <v>128</v>
      </c>
      <c r="B128" s="12" t="s">
        <v>1925</v>
      </c>
    </row>
    <row r="129" spans="1:2" x14ac:dyDescent="0.3">
      <c r="A129">
        <v>129</v>
      </c>
      <c r="B129" s="12" t="s">
        <v>1928</v>
      </c>
    </row>
    <row r="130" spans="1:2" x14ac:dyDescent="0.3">
      <c r="A130">
        <v>130</v>
      </c>
      <c r="B130" s="12" t="s">
        <v>1930</v>
      </c>
    </row>
    <row r="131" spans="1:2" x14ac:dyDescent="0.3">
      <c r="A131">
        <v>131</v>
      </c>
      <c r="B131" s="12" t="s">
        <v>1933</v>
      </c>
    </row>
    <row r="132" spans="1:2" x14ac:dyDescent="0.3">
      <c r="A132">
        <v>132</v>
      </c>
      <c r="B132" s="12" t="s">
        <v>1955</v>
      </c>
    </row>
    <row r="133" spans="1:2" x14ac:dyDescent="0.3">
      <c r="A133">
        <v>133</v>
      </c>
      <c r="B133" s="12" t="s">
        <v>1959</v>
      </c>
    </row>
    <row r="134" spans="1:2" x14ac:dyDescent="0.3">
      <c r="A134">
        <v>134</v>
      </c>
      <c r="B134" s="12" t="s">
        <v>1962</v>
      </c>
    </row>
    <row r="135" spans="1:2" x14ac:dyDescent="0.3">
      <c r="A135">
        <v>135</v>
      </c>
      <c r="B135" s="12" t="s">
        <v>1965</v>
      </c>
    </row>
    <row r="136" spans="1:2" x14ac:dyDescent="0.3">
      <c r="A136">
        <v>136</v>
      </c>
      <c r="B136" s="12" t="s">
        <v>1986</v>
      </c>
    </row>
    <row r="137" spans="1:2" x14ac:dyDescent="0.3">
      <c r="A137">
        <v>137</v>
      </c>
      <c r="B137" s="12" t="s">
        <v>1992</v>
      </c>
    </row>
    <row r="138" spans="1:2" x14ac:dyDescent="0.3">
      <c r="A138">
        <v>138</v>
      </c>
      <c r="B138" s="12" t="s">
        <v>1995</v>
      </c>
    </row>
    <row r="139" spans="1:2" x14ac:dyDescent="0.3">
      <c r="A139">
        <v>139</v>
      </c>
      <c r="B139" s="12" t="s">
        <v>900</v>
      </c>
    </row>
    <row r="140" spans="1:2" x14ac:dyDescent="0.3">
      <c r="A140">
        <v>140</v>
      </c>
      <c r="B140" s="12" t="s">
        <v>2000</v>
      </c>
    </row>
    <row r="141" spans="1:2" x14ac:dyDescent="0.3">
      <c r="A141">
        <v>141</v>
      </c>
      <c r="B141" s="12" t="s">
        <v>911</v>
      </c>
    </row>
    <row r="142" spans="1:2" x14ac:dyDescent="0.3">
      <c r="A142">
        <v>142</v>
      </c>
      <c r="B142" s="12" t="s">
        <v>922</v>
      </c>
    </row>
    <row r="143" spans="1:2" x14ac:dyDescent="0.3">
      <c r="A143">
        <v>143</v>
      </c>
      <c r="B143" s="12" t="s">
        <v>932</v>
      </c>
    </row>
    <row r="144" spans="1:2" x14ac:dyDescent="0.3">
      <c r="A144">
        <v>144</v>
      </c>
      <c r="B144" s="12" t="s">
        <v>948</v>
      </c>
    </row>
    <row r="145" spans="1:2" x14ac:dyDescent="0.3">
      <c r="A145">
        <v>145</v>
      </c>
      <c r="B145" s="12" t="s">
        <v>941</v>
      </c>
    </row>
    <row r="146" spans="1:2" x14ac:dyDescent="0.3">
      <c r="A146">
        <v>146</v>
      </c>
      <c r="B146" s="12" t="s">
        <v>961</v>
      </c>
    </row>
    <row r="147" spans="1:2" x14ac:dyDescent="0.3">
      <c r="A147">
        <v>147</v>
      </c>
      <c r="B147" s="12" t="s">
        <v>972</v>
      </c>
    </row>
    <row r="148" spans="1:2" x14ac:dyDescent="0.3">
      <c r="A148">
        <v>148</v>
      </c>
      <c r="B148" s="12" t="s">
        <v>975</v>
      </c>
    </row>
    <row r="149" spans="1:2" x14ac:dyDescent="0.3">
      <c r="A149">
        <v>149</v>
      </c>
      <c r="B149" s="12" t="s">
        <v>989</v>
      </c>
    </row>
    <row r="150" spans="1:2" x14ac:dyDescent="0.3">
      <c r="A150">
        <v>150</v>
      </c>
      <c r="B150" s="12" t="s">
        <v>1059</v>
      </c>
    </row>
    <row r="151" spans="1:2" x14ac:dyDescent="0.3">
      <c r="A151">
        <v>151</v>
      </c>
      <c r="B151" s="12" t="s">
        <v>1061</v>
      </c>
    </row>
    <row r="152" spans="1:2" x14ac:dyDescent="0.3">
      <c r="A152">
        <v>152</v>
      </c>
      <c r="B152" s="12" t="s">
        <v>1065</v>
      </c>
    </row>
    <row r="153" spans="1:2" x14ac:dyDescent="0.3">
      <c r="A153">
        <v>153</v>
      </c>
      <c r="B153" s="12" t="s">
        <v>1075</v>
      </c>
    </row>
    <row r="154" spans="1:2" x14ac:dyDescent="0.3">
      <c r="A154">
        <v>154</v>
      </c>
      <c r="B154" s="12" t="s">
        <v>1121</v>
      </c>
    </row>
    <row r="155" spans="1:2" x14ac:dyDescent="0.3">
      <c r="A155">
        <v>155</v>
      </c>
      <c r="B155" s="12" t="s">
        <v>1190</v>
      </c>
    </row>
    <row r="156" spans="1:2" x14ac:dyDescent="0.3">
      <c r="A156">
        <v>156</v>
      </c>
      <c r="B156" s="12" t="s">
        <v>1197</v>
      </c>
    </row>
    <row r="157" spans="1:2" x14ac:dyDescent="0.3">
      <c r="A157">
        <v>157</v>
      </c>
      <c r="B157" s="12" t="s">
        <v>1210</v>
      </c>
    </row>
    <row r="158" spans="1:2" x14ac:dyDescent="0.3">
      <c r="A158">
        <v>158</v>
      </c>
      <c r="B158" s="12" t="s">
        <v>1216</v>
      </c>
    </row>
    <row r="159" spans="1:2" x14ac:dyDescent="0.3">
      <c r="A159">
        <v>159</v>
      </c>
      <c r="B159" s="12" t="s">
        <v>1225</v>
      </c>
    </row>
    <row r="160" spans="1:2" x14ac:dyDescent="0.3">
      <c r="A160">
        <v>160</v>
      </c>
      <c r="B160" s="12" t="s">
        <v>1228</v>
      </c>
    </row>
    <row r="161" spans="1:2" x14ac:dyDescent="0.3">
      <c r="A161">
        <v>161</v>
      </c>
      <c r="B161" s="12" t="s">
        <v>1231</v>
      </c>
    </row>
    <row r="162" spans="1:2" x14ac:dyDescent="0.3">
      <c r="A162">
        <v>162</v>
      </c>
      <c r="B162" s="12" t="s">
        <v>1233</v>
      </c>
    </row>
    <row r="163" spans="1:2" x14ac:dyDescent="0.3">
      <c r="A163">
        <v>163</v>
      </c>
      <c r="B163" s="12" t="s">
        <v>1248</v>
      </c>
    </row>
    <row r="164" spans="1:2" x14ac:dyDescent="0.3">
      <c r="A164">
        <v>164</v>
      </c>
      <c r="B164" s="12" t="s">
        <v>1269</v>
      </c>
    </row>
    <row r="165" spans="1:2" x14ac:dyDescent="0.3">
      <c r="A165">
        <v>165</v>
      </c>
      <c r="B165" s="12" t="s">
        <v>1274</v>
      </c>
    </row>
    <row r="166" spans="1:2" x14ac:dyDescent="0.3">
      <c r="A166">
        <v>166</v>
      </c>
      <c r="B166" s="12" t="s">
        <v>1291</v>
      </c>
    </row>
    <row r="167" spans="1:2" x14ac:dyDescent="0.3">
      <c r="A167">
        <v>167</v>
      </c>
      <c r="B167" s="12" t="s">
        <v>1305</v>
      </c>
    </row>
    <row r="168" spans="1:2" x14ac:dyDescent="0.3">
      <c r="A168">
        <v>168</v>
      </c>
      <c r="B168" s="12" t="s">
        <v>1315</v>
      </c>
    </row>
    <row r="169" spans="1:2" x14ac:dyDescent="0.3">
      <c r="A169">
        <v>169</v>
      </c>
      <c r="B169" s="12" t="s">
        <v>1375</v>
      </c>
    </row>
    <row r="170" spans="1:2" x14ac:dyDescent="0.3">
      <c r="A170">
        <v>170</v>
      </c>
      <c r="B170" s="12" t="s">
        <v>1384</v>
      </c>
    </row>
    <row r="171" spans="1:2" x14ac:dyDescent="0.3">
      <c r="A171">
        <v>171</v>
      </c>
      <c r="B171" s="12" t="s">
        <v>1387</v>
      </c>
    </row>
    <row r="172" spans="1:2" x14ac:dyDescent="0.3">
      <c r="A172">
        <v>172</v>
      </c>
      <c r="B172" s="12" t="s">
        <v>1397</v>
      </c>
    </row>
    <row r="173" spans="1:2" x14ac:dyDescent="0.3">
      <c r="A173">
        <v>173</v>
      </c>
      <c r="B173" s="12" t="s">
        <v>1401</v>
      </c>
    </row>
    <row r="174" spans="1:2" x14ac:dyDescent="0.3">
      <c r="A174">
        <v>174</v>
      </c>
      <c r="B174" s="12" t="s">
        <v>1412</v>
      </c>
    </row>
    <row r="175" spans="1:2" x14ac:dyDescent="0.3">
      <c r="A175">
        <v>175</v>
      </c>
      <c r="B175" s="12" t="s">
        <v>1424</v>
      </c>
    </row>
    <row r="176" spans="1:2" x14ac:dyDescent="0.3">
      <c r="A176">
        <v>176</v>
      </c>
      <c r="B176" s="12" t="s">
        <v>1427</v>
      </c>
    </row>
    <row r="177" spans="1:2" x14ac:dyDescent="0.3">
      <c r="A177">
        <v>177</v>
      </c>
      <c r="B177" s="12" t="s">
        <v>1447</v>
      </c>
    </row>
    <row r="178" spans="1:2" x14ac:dyDescent="0.3">
      <c r="A178">
        <v>178</v>
      </c>
      <c r="B178" s="12" t="s">
        <v>1491</v>
      </c>
    </row>
    <row r="179" spans="1:2" x14ac:dyDescent="0.3">
      <c r="A179">
        <v>179</v>
      </c>
      <c r="B179" s="12" t="s">
        <v>1503</v>
      </c>
    </row>
    <row r="180" spans="1:2" x14ac:dyDescent="0.3">
      <c r="A180">
        <v>180</v>
      </c>
      <c r="B180" s="12" t="s">
        <v>1618</v>
      </c>
    </row>
    <row r="181" spans="1:2" x14ac:dyDescent="0.3">
      <c r="A181">
        <v>181</v>
      </c>
      <c r="B181" s="12" t="s">
        <v>1758</v>
      </c>
    </row>
    <row r="182" spans="1:2" x14ac:dyDescent="0.3">
      <c r="A182">
        <v>182</v>
      </c>
      <c r="B182" s="12" t="s">
        <v>1845</v>
      </c>
    </row>
    <row r="183" spans="1:2" x14ac:dyDescent="0.3">
      <c r="A183">
        <v>183</v>
      </c>
      <c r="B183" s="12" t="s">
        <v>1849</v>
      </c>
    </row>
    <row r="184" spans="1:2" x14ac:dyDescent="0.3">
      <c r="A184">
        <v>184</v>
      </c>
      <c r="B184" s="12" t="s">
        <v>1861</v>
      </c>
    </row>
    <row r="185" spans="1:2" x14ac:dyDescent="0.3">
      <c r="A185">
        <v>185</v>
      </c>
      <c r="B185" s="12" t="s">
        <v>1881</v>
      </c>
    </row>
    <row r="186" spans="1:2" x14ac:dyDescent="0.3">
      <c r="A186">
        <v>186</v>
      </c>
      <c r="B186" s="12" t="s">
        <v>1889</v>
      </c>
    </row>
    <row r="187" spans="1:2" x14ac:dyDescent="0.3">
      <c r="A187">
        <v>187</v>
      </c>
      <c r="B187" s="12" t="s">
        <v>1898</v>
      </c>
    </row>
    <row r="188" spans="1:2" x14ac:dyDescent="0.3">
      <c r="A188">
        <v>188</v>
      </c>
      <c r="B188" s="12" t="s">
        <v>1908</v>
      </c>
    </row>
    <row r="189" spans="1:2" x14ac:dyDescent="0.3">
      <c r="A189">
        <v>189</v>
      </c>
      <c r="B189" s="12" t="s">
        <v>1934</v>
      </c>
    </row>
    <row r="190" spans="1:2" x14ac:dyDescent="0.3">
      <c r="A190">
        <v>190</v>
      </c>
      <c r="B190" s="12" t="s">
        <v>1947</v>
      </c>
    </row>
    <row r="191" spans="1:2" x14ac:dyDescent="0.3">
      <c r="A191">
        <v>191</v>
      </c>
      <c r="B191" s="12" t="s">
        <v>1951</v>
      </c>
    </row>
    <row r="192" spans="1:2" x14ac:dyDescent="0.3">
      <c r="A192">
        <v>192</v>
      </c>
      <c r="B192" s="12" t="s">
        <v>1980</v>
      </c>
    </row>
    <row r="193" spans="1:2" x14ac:dyDescent="0.3">
      <c r="A193">
        <v>193</v>
      </c>
      <c r="B193" s="12" t="s">
        <v>1990</v>
      </c>
    </row>
    <row r="194" spans="1:2" x14ac:dyDescent="0.3">
      <c r="A194">
        <v>194</v>
      </c>
      <c r="B194" s="12" t="s">
        <v>901</v>
      </c>
    </row>
    <row r="195" spans="1:2" x14ac:dyDescent="0.3">
      <c r="A195">
        <v>195</v>
      </c>
      <c r="B195" s="12" t="s">
        <v>906</v>
      </c>
    </row>
    <row r="196" spans="1:2" x14ac:dyDescent="0.3">
      <c r="A196">
        <v>196</v>
      </c>
      <c r="B196" s="12" t="s">
        <v>962</v>
      </c>
    </row>
    <row r="197" spans="1:2" x14ac:dyDescent="0.3">
      <c r="A197">
        <v>197</v>
      </c>
      <c r="B197" s="12" t="s">
        <v>973</v>
      </c>
    </row>
    <row r="198" spans="1:2" x14ac:dyDescent="0.3">
      <c r="A198">
        <v>198</v>
      </c>
      <c r="B198" s="12" t="s">
        <v>976</v>
      </c>
    </row>
    <row r="199" spans="1:2" x14ac:dyDescent="0.3">
      <c r="A199">
        <v>199</v>
      </c>
      <c r="B199" s="12" t="s">
        <v>986</v>
      </c>
    </row>
    <row r="200" spans="1:2" x14ac:dyDescent="0.3">
      <c r="A200">
        <v>200</v>
      </c>
      <c r="B200" s="12" t="s">
        <v>992</v>
      </c>
    </row>
    <row r="201" spans="1:2" x14ac:dyDescent="0.3">
      <c r="A201">
        <v>201</v>
      </c>
      <c r="B201" s="12" t="s">
        <v>1023</v>
      </c>
    </row>
    <row r="202" spans="1:2" x14ac:dyDescent="0.3">
      <c r="A202">
        <v>202</v>
      </c>
      <c r="B202" s="12" t="s">
        <v>1028</v>
      </c>
    </row>
    <row r="203" spans="1:2" x14ac:dyDescent="0.3">
      <c r="A203">
        <v>203</v>
      </c>
      <c r="B203" s="12" t="s">
        <v>1066</v>
      </c>
    </row>
    <row r="204" spans="1:2" x14ac:dyDescent="0.3">
      <c r="A204">
        <v>204</v>
      </c>
      <c r="B204" s="12" t="s">
        <v>1078</v>
      </c>
    </row>
    <row r="205" spans="1:2" x14ac:dyDescent="0.3">
      <c r="A205">
        <v>205</v>
      </c>
      <c r="B205" s="12" t="s">
        <v>1080</v>
      </c>
    </row>
    <row r="206" spans="1:2" x14ac:dyDescent="0.3">
      <c r="A206">
        <v>206</v>
      </c>
      <c r="B206" s="12" t="s">
        <v>1191</v>
      </c>
    </row>
    <row r="207" spans="1:2" x14ac:dyDescent="0.3">
      <c r="A207">
        <v>207</v>
      </c>
      <c r="B207" s="12" t="s">
        <v>1217</v>
      </c>
    </row>
    <row r="208" spans="1:2" x14ac:dyDescent="0.3">
      <c r="A208">
        <v>208</v>
      </c>
      <c r="B208" s="12" t="s">
        <v>1238</v>
      </c>
    </row>
    <row r="209" spans="1:5" x14ac:dyDescent="0.3">
      <c r="A209">
        <v>209</v>
      </c>
      <c r="B209" s="12" t="s">
        <v>1259</v>
      </c>
    </row>
    <row r="210" spans="1:5" x14ac:dyDescent="0.3">
      <c r="A210">
        <v>210</v>
      </c>
      <c r="B210" s="12" t="s">
        <v>1275</v>
      </c>
    </row>
    <row r="211" spans="1:5" x14ac:dyDescent="0.3">
      <c r="A211">
        <v>211</v>
      </c>
      <c r="B211" s="12" t="s">
        <v>1308</v>
      </c>
    </row>
    <row r="212" spans="1:5" x14ac:dyDescent="0.3">
      <c r="A212">
        <v>212</v>
      </c>
      <c r="B212" s="12" t="s">
        <v>1337</v>
      </c>
    </row>
    <row r="213" spans="1:5" x14ac:dyDescent="0.3">
      <c r="A213">
        <v>213</v>
      </c>
      <c r="B213" s="12" t="s">
        <v>1398</v>
      </c>
    </row>
    <row r="214" spans="1:5" x14ac:dyDescent="0.3">
      <c r="A214">
        <v>214</v>
      </c>
      <c r="B214" s="12" t="s">
        <v>1472</v>
      </c>
    </row>
    <row r="215" spans="1:5" x14ac:dyDescent="0.3">
      <c r="A215">
        <v>215</v>
      </c>
      <c r="B215" s="12" t="s">
        <v>1492</v>
      </c>
    </row>
    <row r="216" spans="1:5" x14ac:dyDescent="0.3">
      <c r="A216">
        <v>216</v>
      </c>
      <c r="B216" s="12" t="s">
        <v>1522</v>
      </c>
    </row>
    <row r="217" spans="1:5" x14ac:dyDescent="0.3">
      <c r="A217">
        <v>217</v>
      </c>
      <c r="B217" s="12" t="s">
        <v>1527</v>
      </c>
    </row>
    <row r="218" spans="1:5" x14ac:dyDescent="0.3">
      <c r="A218">
        <v>218</v>
      </c>
      <c r="B218" s="12" t="s">
        <v>1540</v>
      </c>
    </row>
    <row r="219" spans="1:5" x14ac:dyDescent="0.3">
      <c r="A219">
        <v>219</v>
      </c>
      <c r="B219" s="12" t="s">
        <v>1570</v>
      </c>
      <c r="C219"/>
      <c r="D219"/>
      <c r="E219"/>
    </row>
    <row r="220" spans="1:5" x14ac:dyDescent="0.3">
      <c r="A220">
        <v>220</v>
      </c>
      <c r="B220" s="12" t="s">
        <v>1872</v>
      </c>
      <c r="C220"/>
      <c r="D220"/>
      <c r="E220"/>
    </row>
    <row r="221" spans="1:5" x14ac:dyDescent="0.3">
      <c r="A221">
        <v>221</v>
      </c>
      <c r="B221" s="12" t="s">
        <v>1883</v>
      </c>
      <c r="C221"/>
      <c r="D221"/>
      <c r="E221"/>
    </row>
    <row r="222" spans="1:5" x14ac:dyDescent="0.3">
      <c r="A222">
        <v>222</v>
      </c>
      <c r="B222" s="12" t="s">
        <v>1885</v>
      </c>
      <c r="C222"/>
      <c r="D222"/>
      <c r="E222"/>
    </row>
    <row r="223" spans="1:5" x14ac:dyDescent="0.3">
      <c r="A223">
        <v>223</v>
      </c>
      <c r="B223" s="12" t="s">
        <v>1935</v>
      </c>
      <c r="C223"/>
      <c r="D223"/>
      <c r="E223"/>
    </row>
    <row r="224" spans="1:5" x14ac:dyDescent="0.3">
      <c r="A224">
        <v>224</v>
      </c>
      <c r="B224" s="12" t="s">
        <v>1948</v>
      </c>
      <c r="C224"/>
      <c r="D224"/>
      <c r="E224"/>
    </row>
    <row r="225" spans="1:5" x14ac:dyDescent="0.3">
      <c r="A225">
        <v>225</v>
      </c>
      <c r="B225" s="12" t="s">
        <v>1996</v>
      </c>
      <c r="C225"/>
      <c r="D225"/>
      <c r="E225"/>
    </row>
    <row r="226" spans="1:5" x14ac:dyDescent="0.3">
      <c r="A226">
        <v>226</v>
      </c>
      <c r="B226" s="12" t="s">
        <v>1168</v>
      </c>
      <c r="C226"/>
      <c r="D226"/>
      <c r="E226"/>
    </row>
    <row r="227" spans="1:5" x14ac:dyDescent="0.3">
      <c r="A227">
        <v>227</v>
      </c>
      <c r="B227" s="12" t="s">
        <v>2005</v>
      </c>
      <c r="C227"/>
      <c r="D227"/>
      <c r="E227"/>
    </row>
    <row r="228" spans="1:5" x14ac:dyDescent="0.3">
      <c r="A228">
        <v>228</v>
      </c>
      <c r="B228" s="12" t="s">
        <v>1309</v>
      </c>
      <c r="C228"/>
      <c r="D228"/>
      <c r="E228"/>
    </row>
    <row r="229" spans="1:5" x14ac:dyDescent="0.3">
      <c r="A229">
        <v>229</v>
      </c>
      <c r="B229" s="12" t="s">
        <v>2006</v>
      </c>
      <c r="C229"/>
      <c r="D229"/>
      <c r="E229"/>
    </row>
    <row r="230" spans="1:5" x14ac:dyDescent="0.3">
      <c r="A230">
        <v>230</v>
      </c>
      <c r="B230" s="12" t="s">
        <v>1493</v>
      </c>
      <c r="C230"/>
      <c r="D230"/>
      <c r="E230"/>
    </row>
    <row r="231" spans="1:5" x14ac:dyDescent="0.3">
      <c r="A231">
        <v>231</v>
      </c>
      <c r="B231" s="12" t="s">
        <v>1504</v>
      </c>
      <c r="C231"/>
      <c r="D231"/>
      <c r="E231"/>
    </row>
    <row r="232" spans="1:5" x14ac:dyDescent="0.3">
      <c r="A232">
        <v>232</v>
      </c>
      <c r="B232" s="12" t="s">
        <v>1862</v>
      </c>
      <c r="C232"/>
      <c r="D232"/>
      <c r="E232"/>
    </row>
    <row r="233" spans="1:5" x14ac:dyDescent="0.3">
      <c r="A233">
        <v>233</v>
      </c>
      <c r="B233" s="12" t="s">
        <v>1886</v>
      </c>
      <c r="C233"/>
      <c r="D233"/>
      <c r="E233"/>
    </row>
    <row r="234" spans="1:5" x14ac:dyDescent="0.3">
      <c r="A234">
        <v>234</v>
      </c>
      <c r="B234" s="12" t="s">
        <v>1988</v>
      </c>
      <c r="C234"/>
      <c r="D234"/>
      <c r="E234"/>
    </row>
    <row r="235" spans="1:5" x14ac:dyDescent="0.3">
      <c r="B235"/>
      <c r="C235"/>
      <c r="D235"/>
      <c r="E235"/>
    </row>
    <row r="236" spans="1:5" x14ac:dyDescent="0.3">
      <c r="B236"/>
      <c r="C236"/>
      <c r="D236"/>
      <c r="E236"/>
    </row>
    <row r="237" spans="1:5" x14ac:dyDescent="0.3">
      <c r="B237"/>
      <c r="C237"/>
      <c r="D237"/>
      <c r="E237"/>
    </row>
    <row r="238" spans="1:5" x14ac:dyDescent="0.3">
      <c r="B238"/>
      <c r="C238"/>
      <c r="D238"/>
      <c r="E238"/>
    </row>
    <row r="239" spans="1:5" x14ac:dyDescent="0.3">
      <c r="B239"/>
      <c r="C239"/>
      <c r="D239"/>
      <c r="E239"/>
    </row>
    <row r="240" spans="1:5" x14ac:dyDescent="0.3">
      <c r="B240"/>
      <c r="C240"/>
      <c r="D240"/>
      <c r="E240"/>
    </row>
    <row r="241" spans="2:5" x14ac:dyDescent="0.3">
      <c r="B241"/>
      <c r="C241"/>
      <c r="D241"/>
      <c r="E241"/>
    </row>
    <row r="242" spans="2:5" x14ac:dyDescent="0.3">
      <c r="B242"/>
      <c r="C242"/>
      <c r="D242"/>
      <c r="E242"/>
    </row>
    <row r="243" spans="2:5" x14ac:dyDescent="0.3">
      <c r="B243"/>
      <c r="C243"/>
      <c r="D243"/>
      <c r="E243"/>
    </row>
    <row r="244" spans="2:5" x14ac:dyDescent="0.3">
      <c r="B244"/>
      <c r="C244"/>
      <c r="D244"/>
      <c r="E244"/>
    </row>
    <row r="245" spans="2:5" x14ac:dyDescent="0.3">
      <c r="B245"/>
      <c r="C245"/>
      <c r="D245"/>
      <c r="E245"/>
    </row>
    <row r="246" spans="2:5" x14ac:dyDescent="0.3">
      <c r="B246"/>
      <c r="C246"/>
      <c r="D246"/>
      <c r="E246"/>
    </row>
    <row r="247" spans="2:5" x14ac:dyDescent="0.3">
      <c r="B247"/>
      <c r="C247"/>
      <c r="D247"/>
      <c r="E247"/>
    </row>
    <row r="248" spans="2:5" x14ac:dyDescent="0.3">
      <c r="B248"/>
      <c r="C248"/>
      <c r="D248"/>
      <c r="E248"/>
    </row>
    <row r="249" spans="2:5" x14ac:dyDescent="0.3">
      <c r="B249"/>
      <c r="C249"/>
      <c r="D249"/>
      <c r="E249"/>
    </row>
    <row r="250" spans="2:5" x14ac:dyDescent="0.3">
      <c r="B250"/>
      <c r="C250"/>
      <c r="D250"/>
      <c r="E250"/>
    </row>
    <row r="251" spans="2:5" x14ac:dyDescent="0.3">
      <c r="B251"/>
      <c r="C251"/>
      <c r="D251"/>
      <c r="E251"/>
    </row>
    <row r="252" spans="2:5" x14ac:dyDescent="0.3">
      <c r="B252"/>
      <c r="C252"/>
      <c r="D252"/>
      <c r="E252"/>
    </row>
    <row r="253" spans="2:5" x14ac:dyDescent="0.3">
      <c r="B253"/>
      <c r="C253"/>
      <c r="D253"/>
      <c r="E253"/>
    </row>
    <row r="254" spans="2:5" x14ac:dyDescent="0.3">
      <c r="B254"/>
      <c r="C254"/>
      <c r="D254"/>
      <c r="E254"/>
    </row>
    <row r="255" spans="2:5" x14ac:dyDescent="0.3">
      <c r="B255"/>
      <c r="C255"/>
      <c r="D255"/>
      <c r="E255"/>
    </row>
    <row r="256" spans="2:5" x14ac:dyDescent="0.3">
      <c r="B256"/>
      <c r="C256"/>
      <c r="D256"/>
      <c r="E256"/>
    </row>
    <row r="257" spans="2:5" x14ac:dyDescent="0.3">
      <c r="B257"/>
      <c r="C257"/>
      <c r="D257"/>
      <c r="E257"/>
    </row>
    <row r="258" spans="2:5" x14ac:dyDescent="0.3">
      <c r="B258"/>
      <c r="C258"/>
      <c r="D258"/>
      <c r="E258"/>
    </row>
    <row r="259" spans="2:5" x14ac:dyDescent="0.3">
      <c r="B259"/>
      <c r="C259"/>
      <c r="D259"/>
      <c r="E259"/>
    </row>
    <row r="260" spans="2:5" x14ac:dyDescent="0.3">
      <c r="B260"/>
      <c r="C260"/>
      <c r="D260"/>
      <c r="E260"/>
    </row>
    <row r="261" spans="2:5" x14ac:dyDescent="0.3">
      <c r="B261"/>
      <c r="C261"/>
      <c r="D261"/>
      <c r="E261"/>
    </row>
    <row r="262" spans="2:5" x14ac:dyDescent="0.3">
      <c r="B262"/>
      <c r="C262"/>
      <c r="D262"/>
      <c r="E262"/>
    </row>
    <row r="263" spans="2:5" x14ac:dyDescent="0.3">
      <c r="B263"/>
      <c r="C263"/>
      <c r="D263"/>
      <c r="E263"/>
    </row>
    <row r="264" spans="2:5" x14ac:dyDescent="0.3">
      <c r="B264"/>
      <c r="C264"/>
      <c r="D264"/>
      <c r="E264"/>
    </row>
    <row r="265" spans="2:5" x14ac:dyDescent="0.3">
      <c r="B265"/>
      <c r="C265"/>
      <c r="D265"/>
      <c r="E265"/>
    </row>
    <row r="266" spans="2:5" x14ac:dyDescent="0.3">
      <c r="B266"/>
      <c r="C266"/>
      <c r="D266"/>
      <c r="E266"/>
    </row>
    <row r="267" spans="2:5" x14ac:dyDescent="0.3">
      <c r="B267"/>
      <c r="C267"/>
      <c r="D267"/>
      <c r="E267"/>
    </row>
    <row r="268" spans="2:5" x14ac:dyDescent="0.3">
      <c r="B268"/>
      <c r="C268"/>
      <c r="D268"/>
      <c r="E268"/>
    </row>
    <row r="269" spans="2:5" x14ac:dyDescent="0.3">
      <c r="B269"/>
      <c r="C269"/>
      <c r="D269"/>
      <c r="E269"/>
    </row>
    <row r="270" spans="2:5" x14ac:dyDescent="0.3">
      <c r="B270"/>
      <c r="C270"/>
      <c r="D270"/>
      <c r="E270"/>
    </row>
    <row r="271" spans="2:5" x14ac:dyDescent="0.3">
      <c r="B271"/>
      <c r="C271"/>
      <c r="D271"/>
      <c r="E271"/>
    </row>
    <row r="272" spans="2:5" x14ac:dyDescent="0.3">
      <c r="B272"/>
      <c r="C272"/>
      <c r="D272"/>
      <c r="E272"/>
    </row>
    <row r="273" spans="2:5" x14ac:dyDescent="0.3">
      <c r="B273"/>
      <c r="C273"/>
      <c r="D273"/>
      <c r="E273"/>
    </row>
    <row r="274" spans="2:5" x14ac:dyDescent="0.3">
      <c r="B274"/>
      <c r="C274"/>
      <c r="D274"/>
      <c r="E274"/>
    </row>
    <row r="275" spans="2:5" x14ac:dyDescent="0.3">
      <c r="B275"/>
      <c r="C275"/>
      <c r="D275"/>
      <c r="E275"/>
    </row>
    <row r="276" spans="2:5" x14ac:dyDescent="0.3">
      <c r="B276"/>
      <c r="C276"/>
      <c r="D276"/>
      <c r="E276"/>
    </row>
    <row r="277" spans="2:5" x14ac:dyDescent="0.3">
      <c r="B277"/>
      <c r="C277"/>
      <c r="D277"/>
      <c r="E277"/>
    </row>
    <row r="278" spans="2:5" x14ac:dyDescent="0.3">
      <c r="B278"/>
      <c r="C278"/>
      <c r="D278"/>
      <c r="E278"/>
    </row>
    <row r="279" spans="2:5" x14ac:dyDescent="0.3">
      <c r="B279"/>
      <c r="C279"/>
      <c r="D279"/>
      <c r="E279"/>
    </row>
    <row r="280" spans="2:5" x14ac:dyDescent="0.3">
      <c r="B280"/>
      <c r="C280"/>
      <c r="D280"/>
      <c r="E280"/>
    </row>
    <row r="281" spans="2:5" x14ac:dyDescent="0.3">
      <c r="B281"/>
      <c r="C281"/>
      <c r="D281"/>
      <c r="E281"/>
    </row>
    <row r="282" spans="2:5" x14ac:dyDescent="0.3">
      <c r="B282"/>
      <c r="C282"/>
      <c r="D282"/>
      <c r="E282"/>
    </row>
    <row r="283" spans="2:5" x14ac:dyDescent="0.3">
      <c r="B283"/>
      <c r="C283"/>
      <c r="D283"/>
      <c r="E283"/>
    </row>
    <row r="284" spans="2:5" x14ac:dyDescent="0.3">
      <c r="B284"/>
      <c r="C284"/>
      <c r="D284"/>
      <c r="E284"/>
    </row>
    <row r="285" spans="2:5" x14ac:dyDescent="0.3">
      <c r="B285"/>
      <c r="C285"/>
      <c r="D285"/>
      <c r="E285"/>
    </row>
    <row r="286" spans="2:5" x14ac:dyDescent="0.3">
      <c r="B286"/>
      <c r="C286"/>
      <c r="D286"/>
      <c r="E286"/>
    </row>
    <row r="287" spans="2:5" x14ac:dyDescent="0.3">
      <c r="B287"/>
      <c r="C287"/>
      <c r="D287"/>
      <c r="E287"/>
    </row>
    <row r="288" spans="2:5" x14ac:dyDescent="0.3">
      <c r="B288"/>
      <c r="C288"/>
      <c r="D288"/>
      <c r="E288"/>
    </row>
    <row r="289" spans="2:5" x14ac:dyDescent="0.3">
      <c r="B289"/>
      <c r="C289"/>
      <c r="D289"/>
      <c r="E289"/>
    </row>
    <row r="290" spans="2:5" x14ac:dyDescent="0.3">
      <c r="B290"/>
      <c r="C290"/>
      <c r="D290"/>
      <c r="E290"/>
    </row>
    <row r="291" spans="2:5" x14ac:dyDescent="0.3">
      <c r="B291"/>
      <c r="C291"/>
      <c r="D291"/>
      <c r="E291"/>
    </row>
    <row r="292" spans="2:5" x14ac:dyDescent="0.3">
      <c r="B292"/>
      <c r="C292"/>
      <c r="D292"/>
      <c r="E292"/>
    </row>
    <row r="293" spans="2:5" x14ac:dyDescent="0.3">
      <c r="B293"/>
      <c r="C293"/>
      <c r="D293"/>
      <c r="E293"/>
    </row>
    <row r="294" spans="2:5" x14ac:dyDescent="0.3">
      <c r="B294"/>
      <c r="C294"/>
      <c r="D294"/>
      <c r="E294"/>
    </row>
    <row r="295" spans="2:5" x14ac:dyDescent="0.3">
      <c r="B295"/>
      <c r="C295"/>
      <c r="D295"/>
      <c r="E295"/>
    </row>
    <row r="296" spans="2:5" x14ac:dyDescent="0.3">
      <c r="B296"/>
      <c r="C296"/>
      <c r="D296"/>
      <c r="E296"/>
    </row>
    <row r="297" spans="2:5" x14ac:dyDescent="0.3">
      <c r="B297"/>
      <c r="C297"/>
      <c r="D297"/>
      <c r="E297"/>
    </row>
    <row r="298" spans="2:5" x14ac:dyDescent="0.3">
      <c r="B298"/>
      <c r="C298"/>
      <c r="D298"/>
      <c r="E298"/>
    </row>
    <row r="299" spans="2:5" x14ac:dyDescent="0.3">
      <c r="B299"/>
      <c r="C299"/>
      <c r="D299"/>
      <c r="E299"/>
    </row>
    <row r="300" spans="2:5" x14ac:dyDescent="0.3">
      <c r="B300"/>
      <c r="C300"/>
      <c r="D300"/>
      <c r="E300"/>
    </row>
    <row r="301" spans="2:5" x14ac:dyDescent="0.3">
      <c r="B301"/>
      <c r="C301"/>
      <c r="D301"/>
      <c r="E301"/>
    </row>
    <row r="302" spans="2:5" x14ac:dyDescent="0.3">
      <c r="B302"/>
      <c r="C302"/>
      <c r="D302"/>
      <c r="E302"/>
    </row>
    <row r="303" spans="2:5" x14ac:dyDescent="0.3">
      <c r="B303"/>
      <c r="C303"/>
      <c r="D303"/>
      <c r="E303"/>
    </row>
    <row r="304" spans="2:5" x14ac:dyDescent="0.3">
      <c r="B304"/>
      <c r="C304"/>
      <c r="D304"/>
      <c r="E304"/>
    </row>
    <row r="305" spans="2:5" x14ac:dyDescent="0.3">
      <c r="B305"/>
      <c r="C305"/>
      <c r="D305"/>
      <c r="E305"/>
    </row>
    <row r="306" spans="2:5" x14ac:dyDescent="0.3">
      <c r="B306"/>
      <c r="C306"/>
      <c r="D306"/>
      <c r="E306"/>
    </row>
    <row r="307" spans="2:5" x14ac:dyDescent="0.3">
      <c r="B307"/>
      <c r="C307"/>
      <c r="D307"/>
      <c r="E307"/>
    </row>
    <row r="308" spans="2:5" x14ac:dyDescent="0.3">
      <c r="B308"/>
      <c r="C308"/>
      <c r="D308"/>
      <c r="E308"/>
    </row>
    <row r="309" spans="2:5" x14ac:dyDescent="0.3">
      <c r="B309"/>
      <c r="C309"/>
      <c r="D309"/>
      <c r="E309"/>
    </row>
    <row r="310" spans="2:5" x14ac:dyDescent="0.3">
      <c r="B310"/>
      <c r="C310"/>
      <c r="D310"/>
      <c r="E310"/>
    </row>
    <row r="311" spans="2:5" x14ac:dyDescent="0.3">
      <c r="B311"/>
      <c r="C311"/>
      <c r="D311"/>
      <c r="E311"/>
    </row>
    <row r="312" spans="2:5" x14ac:dyDescent="0.3">
      <c r="B312"/>
      <c r="C312"/>
      <c r="D312"/>
      <c r="E312"/>
    </row>
    <row r="313" spans="2:5" x14ac:dyDescent="0.3">
      <c r="B313"/>
      <c r="C313"/>
      <c r="D313"/>
      <c r="E313"/>
    </row>
    <row r="314" spans="2:5" x14ac:dyDescent="0.3">
      <c r="B314"/>
      <c r="C314"/>
      <c r="D314"/>
      <c r="E314"/>
    </row>
    <row r="315" spans="2:5" x14ac:dyDescent="0.3">
      <c r="B315"/>
      <c r="C315"/>
      <c r="D315"/>
      <c r="E315"/>
    </row>
    <row r="316" spans="2:5" x14ac:dyDescent="0.3">
      <c r="B316"/>
      <c r="C316"/>
      <c r="D316"/>
      <c r="E316"/>
    </row>
    <row r="317" spans="2:5" x14ac:dyDescent="0.3">
      <c r="B317"/>
      <c r="C317"/>
      <c r="D317"/>
      <c r="E317"/>
    </row>
    <row r="318" spans="2:5" x14ac:dyDescent="0.3">
      <c r="B318"/>
      <c r="C318"/>
      <c r="D318"/>
      <c r="E318"/>
    </row>
    <row r="319" spans="2:5" x14ac:dyDescent="0.3">
      <c r="B319"/>
      <c r="C319"/>
      <c r="D319"/>
      <c r="E319"/>
    </row>
    <row r="320" spans="2:5" x14ac:dyDescent="0.3">
      <c r="B320"/>
      <c r="C320"/>
      <c r="D320"/>
      <c r="E320"/>
    </row>
    <row r="321" spans="2:5" x14ac:dyDescent="0.3">
      <c r="B321"/>
      <c r="C321"/>
      <c r="D321"/>
      <c r="E321"/>
    </row>
    <row r="322" spans="2:5" x14ac:dyDescent="0.3">
      <c r="B322"/>
      <c r="C322"/>
      <c r="D322"/>
      <c r="E322"/>
    </row>
    <row r="323" spans="2:5" x14ac:dyDescent="0.3">
      <c r="B323"/>
      <c r="C323"/>
      <c r="D323"/>
      <c r="E323"/>
    </row>
    <row r="324" spans="2:5" x14ac:dyDescent="0.3">
      <c r="B324"/>
      <c r="C324"/>
      <c r="D324"/>
      <c r="E324"/>
    </row>
    <row r="325" spans="2:5" x14ac:dyDescent="0.3">
      <c r="B325"/>
      <c r="C325"/>
      <c r="D325"/>
      <c r="E325"/>
    </row>
    <row r="326" spans="2:5" x14ac:dyDescent="0.3">
      <c r="B326"/>
      <c r="C326"/>
      <c r="D326"/>
      <c r="E326"/>
    </row>
    <row r="327" spans="2:5" x14ac:dyDescent="0.3">
      <c r="B327"/>
      <c r="C327"/>
      <c r="D327"/>
      <c r="E327"/>
    </row>
    <row r="328" spans="2:5" x14ac:dyDescent="0.3">
      <c r="B328"/>
      <c r="C328"/>
      <c r="D328"/>
      <c r="E328"/>
    </row>
    <row r="329" spans="2:5" x14ac:dyDescent="0.3">
      <c r="B329"/>
      <c r="C329"/>
      <c r="D329"/>
      <c r="E329"/>
    </row>
    <row r="330" spans="2:5" x14ac:dyDescent="0.3">
      <c r="B330"/>
      <c r="C330"/>
      <c r="D330"/>
      <c r="E330"/>
    </row>
    <row r="331" spans="2:5" x14ac:dyDescent="0.3">
      <c r="B331"/>
      <c r="C331"/>
      <c r="D331"/>
      <c r="E331"/>
    </row>
    <row r="332" spans="2:5" x14ac:dyDescent="0.3">
      <c r="B332"/>
      <c r="C332"/>
      <c r="D332"/>
      <c r="E332"/>
    </row>
    <row r="333" spans="2:5" x14ac:dyDescent="0.3">
      <c r="B333"/>
      <c r="C333"/>
      <c r="D333"/>
      <c r="E333"/>
    </row>
    <row r="334" spans="2:5" x14ac:dyDescent="0.3">
      <c r="B334"/>
      <c r="C334"/>
      <c r="D334"/>
      <c r="E334"/>
    </row>
    <row r="335" spans="2:5" x14ac:dyDescent="0.3">
      <c r="B335"/>
      <c r="C335"/>
      <c r="D335"/>
      <c r="E335"/>
    </row>
    <row r="336" spans="2:5" x14ac:dyDescent="0.3">
      <c r="B336"/>
      <c r="C336"/>
      <c r="D336"/>
      <c r="E336"/>
    </row>
    <row r="337" spans="2:5" x14ac:dyDescent="0.3">
      <c r="B337"/>
      <c r="C337"/>
      <c r="D337"/>
      <c r="E337"/>
    </row>
    <row r="338" spans="2:5" x14ac:dyDescent="0.3">
      <c r="B338"/>
      <c r="C338"/>
      <c r="D338"/>
      <c r="E338"/>
    </row>
    <row r="339" spans="2:5" x14ac:dyDescent="0.3">
      <c r="B339"/>
      <c r="C339"/>
      <c r="D339"/>
      <c r="E339"/>
    </row>
    <row r="340" spans="2:5" x14ac:dyDescent="0.3">
      <c r="B340"/>
      <c r="C340"/>
      <c r="D340"/>
      <c r="E340"/>
    </row>
    <row r="341" spans="2:5" x14ac:dyDescent="0.3">
      <c r="B341"/>
      <c r="C341"/>
      <c r="D341"/>
      <c r="E341"/>
    </row>
    <row r="342" spans="2:5" x14ac:dyDescent="0.3">
      <c r="B342"/>
      <c r="C342"/>
      <c r="D342"/>
      <c r="E342"/>
    </row>
    <row r="343" spans="2:5" x14ac:dyDescent="0.3">
      <c r="B343"/>
      <c r="C343"/>
      <c r="D343"/>
      <c r="E343"/>
    </row>
    <row r="344" spans="2:5" x14ac:dyDescent="0.3">
      <c r="B344"/>
      <c r="C344"/>
      <c r="D344"/>
      <c r="E344"/>
    </row>
    <row r="345" spans="2:5" x14ac:dyDescent="0.3">
      <c r="B345"/>
      <c r="C345"/>
      <c r="D345"/>
      <c r="E345"/>
    </row>
    <row r="346" spans="2:5" x14ac:dyDescent="0.3">
      <c r="B346"/>
      <c r="C346"/>
      <c r="D346"/>
      <c r="E346"/>
    </row>
    <row r="347" spans="2:5" x14ac:dyDescent="0.3">
      <c r="B347"/>
      <c r="C347"/>
      <c r="D347"/>
      <c r="E347"/>
    </row>
    <row r="348" spans="2:5" x14ac:dyDescent="0.3">
      <c r="B348"/>
      <c r="C348"/>
      <c r="D348"/>
      <c r="E348"/>
    </row>
    <row r="349" spans="2:5" x14ac:dyDescent="0.3">
      <c r="B349"/>
      <c r="C349"/>
      <c r="D349"/>
      <c r="E349"/>
    </row>
    <row r="350" spans="2:5" x14ac:dyDescent="0.3">
      <c r="B350"/>
      <c r="C350"/>
      <c r="D350"/>
      <c r="E350"/>
    </row>
    <row r="351" spans="2:5" x14ac:dyDescent="0.3">
      <c r="B351"/>
      <c r="C351"/>
      <c r="D351"/>
      <c r="E351"/>
    </row>
    <row r="352" spans="2:5" x14ac:dyDescent="0.3">
      <c r="B352"/>
      <c r="C352"/>
      <c r="D352"/>
      <c r="E352"/>
    </row>
    <row r="353" spans="2:5" x14ac:dyDescent="0.3">
      <c r="B353"/>
      <c r="C353"/>
      <c r="D353"/>
      <c r="E353"/>
    </row>
    <row r="354" spans="2:5" x14ac:dyDescent="0.3">
      <c r="B354"/>
      <c r="C354"/>
      <c r="D354"/>
      <c r="E354"/>
    </row>
    <row r="355" spans="2:5" x14ac:dyDescent="0.3">
      <c r="B355"/>
      <c r="C355"/>
      <c r="D355"/>
      <c r="E355"/>
    </row>
    <row r="356" spans="2:5" x14ac:dyDescent="0.3">
      <c r="B356"/>
      <c r="C356"/>
      <c r="D356"/>
      <c r="E356"/>
    </row>
    <row r="357" spans="2:5" x14ac:dyDescent="0.3">
      <c r="B357"/>
      <c r="C357"/>
      <c r="D357"/>
      <c r="E357"/>
    </row>
    <row r="358" spans="2:5" x14ac:dyDescent="0.3">
      <c r="B358"/>
      <c r="C358"/>
      <c r="D358"/>
      <c r="E358"/>
    </row>
    <row r="359" spans="2:5" x14ac:dyDescent="0.3">
      <c r="B359"/>
      <c r="C359"/>
      <c r="D359"/>
      <c r="E359"/>
    </row>
    <row r="360" spans="2:5" x14ac:dyDescent="0.3">
      <c r="B360"/>
      <c r="C360"/>
      <c r="D360"/>
      <c r="E360"/>
    </row>
    <row r="361" spans="2:5" x14ac:dyDescent="0.3">
      <c r="B361"/>
      <c r="C361"/>
      <c r="D361"/>
      <c r="E361"/>
    </row>
    <row r="362" spans="2:5" x14ac:dyDescent="0.3">
      <c r="B362"/>
      <c r="C362"/>
      <c r="D362"/>
      <c r="E362"/>
    </row>
    <row r="363" spans="2:5" x14ac:dyDescent="0.3">
      <c r="B363"/>
      <c r="C363"/>
      <c r="D363"/>
      <c r="E363"/>
    </row>
    <row r="364" spans="2:5" x14ac:dyDescent="0.3">
      <c r="B364"/>
      <c r="C364"/>
      <c r="D364"/>
      <c r="E364"/>
    </row>
    <row r="365" spans="2:5" x14ac:dyDescent="0.3">
      <c r="B365"/>
      <c r="C365"/>
      <c r="D365"/>
      <c r="E365"/>
    </row>
    <row r="366" spans="2:5" x14ac:dyDescent="0.3">
      <c r="B366"/>
      <c r="C366"/>
      <c r="D366"/>
      <c r="E366"/>
    </row>
    <row r="367" spans="2:5" x14ac:dyDescent="0.3">
      <c r="B367"/>
      <c r="C367"/>
      <c r="D367"/>
      <c r="E367"/>
    </row>
    <row r="368" spans="2:5" x14ac:dyDescent="0.3">
      <c r="B368"/>
      <c r="C368"/>
      <c r="D368"/>
      <c r="E368"/>
    </row>
    <row r="369" spans="2:5" x14ac:dyDescent="0.3">
      <c r="B369"/>
      <c r="C369"/>
      <c r="D369"/>
      <c r="E369"/>
    </row>
    <row r="370" spans="2:5" x14ac:dyDescent="0.3">
      <c r="B370"/>
      <c r="C370"/>
      <c r="D370"/>
      <c r="E370"/>
    </row>
    <row r="371" spans="2:5" x14ac:dyDescent="0.3">
      <c r="B371"/>
      <c r="C371"/>
      <c r="D371"/>
      <c r="E371"/>
    </row>
    <row r="372" spans="2:5" x14ac:dyDescent="0.3">
      <c r="B372"/>
      <c r="C372"/>
      <c r="D372"/>
      <c r="E372"/>
    </row>
    <row r="373" spans="2:5" x14ac:dyDescent="0.3">
      <c r="B373"/>
      <c r="C373"/>
      <c r="D373"/>
      <c r="E373"/>
    </row>
    <row r="374" spans="2:5" x14ac:dyDescent="0.3">
      <c r="B374"/>
      <c r="C374"/>
      <c r="D374"/>
      <c r="E374"/>
    </row>
    <row r="375" spans="2:5" x14ac:dyDescent="0.3">
      <c r="B375"/>
      <c r="C375"/>
      <c r="D375"/>
      <c r="E375"/>
    </row>
    <row r="376" spans="2:5" x14ac:dyDescent="0.3">
      <c r="B376"/>
      <c r="C376"/>
      <c r="D376"/>
      <c r="E376"/>
    </row>
    <row r="377" spans="2:5" x14ac:dyDescent="0.3">
      <c r="B377"/>
      <c r="C377"/>
      <c r="D377"/>
      <c r="E377"/>
    </row>
    <row r="378" spans="2:5" x14ac:dyDescent="0.3">
      <c r="B378"/>
      <c r="C378"/>
      <c r="D378"/>
      <c r="E378"/>
    </row>
    <row r="379" spans="2:5" x14ac:dyDescent="0.3">
      <c r="B379"/>
      <c r="C379"/>
      <c r="D379"/>
      <c r="E379"/>
    </row>
    <row r="380" spans="2:5" x14ac:dyDescent="0.3">
      <c r="B380"/>
      <c r="C380"/>
      <c r="D380"/>
      <c r="E380"/>
    </row>
    <row r="381" spans="2:5" x14ac:dyDescent="0.3">
      <c r="B381"/>
      <c r="C381"/>
      <c r="D381"/>
      <c r="E381"/>
    </row>
    <row r="382" spans="2:5" x14ac:dyDescent="0.3">
      <c r="B382"/>
      <c r="C382"/>
      <c r="D382"/>
      <c r="E382"/>
    </row>
    <row r="383" spans="2:5" x14ac:dyDescent="0.3">
      <c r="B383"/>
      <c r="C383"/>
      <c r="D383"/>
      <c r="E383"/>
    </row>
    <row r="384" spans="2:5" x14ac:dyDescent="0.3">
      <c r="B384"/>
      <c r="C384"/>
      <c r="D384"/>
      <c r="E384"/>
    </row>
    <row r="385" spans="2:5" x14ac:dyDescent="0.3">
      <c r="B385"/>
      <c r="C385"/>
      <c r="D385"/>
      <c r="E385"/>
    </row>
    <row r="386" spans="2:5" x14ac:dyDescent="0.3">
      <c r="B386"/>
      <c r="C386"/>
      <c r="D386"/>
      <c r="E386"/>
    </row>
    <row r="387" spans="2:5" x14ac:dyDescent="0.3">
      <c r="B387"/>
      <c r="C387"/>
      <c r="D387"/>
      <c r="E387"/>
    </row>
    <row r="388" spans="2:5" x14ac:dyDescent="0.3">
      <c r="B388"/>
      <c r="C388"/>
      <c r="D388"/>
      <c r="E388"/>
    </row>
    <row r="389" spans="2:5" x14ac:dyDescent="0.3">
      <c r="B389"/>
      <c r="C389"/>
      <c r="D389"/>
      <c r="E389"/>
    </row>
    <row r="390" spans="2:5" x14ac:dyDescent="0.3">
      <c r="B390"/>
      <c r="C390"/>
      <c r="D390"/>
      <c r="E390"/>
    </row>
    <row r="391" spans="2:5" x14ac:dyDescent="0.3">
      <c r="B391"/>
      <c r="C391"/>
      <c r="D391"/>
      <c r="E391"/>
    </row>
    <row r="392" spans="2:5" x14ac:dyDescent="0.3">
      <c r="B392"/>
      <c r="C392"/>
      <c r="D392"/>
      <c r="E392"/>
    </row>
    <row r="393" spans="2:5" x14ac:dyDescent="0.3">
      <c r="B393"/>
      <c r="C393"/>
      <c r="D393"/>
      <c r="E393"/>
    </row>
    <row r="394" spans="2:5" x14ac:dyDescent="0.3">
      <c r="B394"/>
      <c r="C394"/>
      <c r="D394"/>
      <c r="E394"/>
    </row>
    <row r="395" spans="2:5" x14ac:dyDescent="0.3">
      <c r="B395"/>
      <c r="C395"/>
      <c r="D395"/>
      <c r="E395"/>
    </row>
    <row r="396" spans="2:5" x14ac:dyDescent="0.3">
      <c r="B396"/>
      <c r="C396"/>
      <c r="D396"/>
      <c r="E396"/>
    </row>
    <row r="397" spans="2:5" x14ac:dyDescent="0.3">
      <c r="B397"/>
      <c r="C397"/>
      <c r="D397"/>
      <c r="E397"/>
    </row>
    <row r="398" spans="2:5" x14ac:dyDescent="0.3">
      <c r="B398"/>
      <c r="C398"/>
      <c r="D398"/>
      <c r="E398"/>
    </row>
    <row r="399" spans="2:5" x14ac:dyDescent="0.3">
      <c r="B399"/>
      <c r="C399"/>
      <c r="D399"/>
      <c r="E399"/>
    </row>
    <row r="400" spans="2:5" x14ac:dyDescent="0.3">
      <c r="B400"/>
      <c r="C400"/>
      <c r="D400"/>
      <c r="E400"/>
    </row>
    <row r="401" spans="2:5" x14ac:dyDescent="0.3">
      <c r="B401"/>
      <c r="C401"/>
      <c r="D401"/>
      <c r="E401"/>
    </row>
    <row r="402" spans="2:5" x14ac:dyDescent="0.3">
      <c r="B402"/>
      <c r="C402"/>
      <c r="D402"/>
      <c r="E402"/>
    </row>
    <row r="403" spans="2:5" x14ac:dyDescent="0.3">
      <c r="B403"/>
      <c r="C403"/>
      <c r="D403"/>
      <c r="E403"/>
    </row>
    <row r="404" spans="2:5" x14ac:dyDescent="0.3">
      <c r="B404"/>
      <c r="C404"/>
      <c r="D404"/>
      <c r="E404"/>
    </row>
    <row r="405" spans="2:5" x14ac:dyDescent="0.3">
      <c r="B405"/>
      <c r="C405"/>
      <c r="D405"/>
      <c r="E405"/>
    </row>
    <row r="406" spans="2:5" x14ac:dyDescent="0.3">
      <c r="B406"/>
      <c r="C406"/>
      <c r="D406"/>
      <c r="E406"/>
    </row>
    <row r="407" spans="2:5" x14ac:dyDescent="0.3">
      <c r="B407"/>
      <c r="C407"/>
      <c r="D407"/>
      <c r="E407"/>
    </row>
    <row r="408" spans="2:5" x14ac:dyDescent="0.3">
      <c r="B408"/>
      <c r="C408"/>
      <c r="D408"/>
      <c r="E408"/>
    </row>
    <row r="409" spans="2:5" x14ac:dyDescent="0.3">
      <c r="B409"/>
      <c r="C409"/>
      <c r="D409"/>
      <c r="E409"/>
    </row>
    <row r="410" spans="2:5" x14ac:dyDescent="0.3">
      <c r="B410"/>
      <c r="C410"/>
      <c r="D410"/>
      <c r="E410"/>
    </row>
    <row r="411" spans="2:5" x14ac:dyDescent="0.3">
      <c r="B411"/>
      <c r="C411"/>
      <c r="D411"/>
      <c r="E411"/>
    </row>
    <row r="412" spans="2:5" x14ac:dyDescent="0.3">
      <c r="B412"/>
      <c r="C412"/>
      <c r="D412"/>
      <c r="E412"/>
    </row>
    <row r="413" spans="2:5" x14ac:dyDescent="0.3">
      <c r="B413"/>
      <c r="C413"/>
      <c r="D413"/>
      <c r="E413"/>
    </row>
    <row r="414" spans="2:5" x14ac:dyDescent="0.3">
      <c r="B414"/>
      <c r="C414"/>
      <c r="D414"/>
      <c r="E414"/>
    </row>
    <row r="415" spans="2:5" x14ac:dyDescent="0.3">
      <c r="B415"/>
      <c r="C415"/>
      <c r="D415"/>
      <c r="E415"/>
    </row>
    <row r="416" spans="2:5" x14ac:dyDescent="0.3">
      <c r="B416"/>
      <c r="C416"/>
      <c r="D416"/>
      <c r="E416"/>
    </row>
    <row r="417" spans="2:5" x14ac:dyDescent="0.3">
      <c r="B417"/>
      <c r="C417"/>
      <c r="D417"/>
      <c r="E417"/>
    </row>
    <row r="418" spans="2:5" x14ac:dyDescent="0.3">
      <c r="B418"/>
      <c r="C418"/>
      <c r="D418"/>
      <c r="E418"/>
    </row>
    <row r="419" spans="2:5" x14ac:dyDescent="0.3">
      <c r="B419"/>
      <c r="C419"/>
      <c r="D419"/>
      <c r="E419"/>
    </row>
    <row r="420" spans="2:5" x14ac:dyDescent="0.3">
      <c r="B420"/>
      <c r="C420"/>
      <c r="D420"/>
      <c r="E420"/>
    </row>
    <row r="421" spans="2:5" x14ac:dyDescent="0.3">
      <c r="B421"/>
      <c r="C421"/>
      <c r="D421"/>
      <c r="E421"/>
    </row>
    <row r="422" spans="2:5" x14ac:dyDescent="0.3">
      <c r="B422"/>
      <c r="C422"/>
      <c r="D422"/>
      <c r="E422"/>
    </row>
    <row r="423" spans="2:5" x14ac:dyDescent="0.3">
      <c r="B423"/>
      <c r="C423"/>
      <c r="D423"/>
      <c r="E423"/>
    </row>
    <row r="424" spans="2:5" x14ac:dyDescent="0.3">
      <c r="B424"/>
      <c r="C424"/>
      <c r="D424"/>
      <c r="E424"/>
    </row>
    <row r="425" spans="2:5" x14ac:dyDescent="0.3">
      <c r="B425"/>
      <c r="C425"/>
      <c r="D425"/>
      <c r="E425"/>
    </row>
    <row r="426" spans="2:5" x14ac:dyDescent="0.3">
      <c r="B426"/>
      <c r="C426"/>
      <c r="D426"/>
      <c r="E426"/>
    </row>
    <row r="427" spans="2:5" x14ac:dyDescent="0.3">
      <c r="B427"/>
      <c r="C427"/>
      <c r="D427"/>
      <c r="E427"/>
    </row>
    <row r="428" spans="2:5" x14ac:dyDescent="0.3">
      <c r="B428"/>
      <c r="C428"/>
      <c r="D428"/>
      <c r="E428"/>
    </row>
    <row r="429" spans="2:5" x14ac:dyDescent="0.3">
      <c r="B429"/>
      <c r="C429"/>
      <c r="D429"/>
      <c r="E429"/>
    </row>
    <row r="430" spans="2:5" x14ac:dyDescent="0.3">
      <c r="B430"/>
      <c r="C430"/>
      <c r="D430"/>
      <c r="E430"/>
    </row>
    <row r="431" spans="2:5" x14ac:dyDescent="0.3">
      <c r="B431"/>
      <c r="C431"/>
      <c r="D431"/>
      <c r="E431"/>
    </row>
    <row r="432" spans="2:5" x14ac:dyDescent="0.3">
      <c r="B432"/>
      <c r="C432"/>
      <c r="D432"/>
      <c r="E432"/>
    </row>
    <row r="433" spans="2:5" x14ac:dyDescent="0.3">
      <c r="B433"/>
      <c r="C433"/>
      <c r="D433"/>
      <c r="E433"/>
    </row>
    <row r="434" spans="2:5" x14ac:dyDescent="0.3">
      <c r="B434"/>
      <c r="C434"/>
      <c r="D434"/>
      <c r="E434"/>
    </row>
    <row r="435" spans="2:5" x14ac:dyDescent="0.3">
      <c r="B435"/>
      <c r="C435"/>
      <c r="D435"/>
      <c r="E435"/>
    </row>
    <row r="436" spans="2:5" x14ac:dyDescent="0.3">
      <c r="B436"/>
      <c r="C436"/>
      <c r="D436"/>
      <c r="E436"/>
    </row>
    <row r="437" spans="2:5" x14ac:dyDescent="0.3">
      <c r="B437"/>
      <c r="C437"/>
      <c r="D437"/>
      <c r="E437"/>
    </row>
    <row r="438" spans="2:5" x14ac:dyDescent="0.3">
      <c r="B438"/>
      <c r="C438"/>
      <c r="D438"/>
      <c r="E438"/>
    </row>
    <row r="439" spans="2:5" x14ac:dyDescent="0.3">
      <c r="B439"/>
      <c r="C439"/>
      <c r="D439"/>
      <c r="E439"/>
    </row>
    <row r="440" spans="2:5" x14ac:dyDescent="0.3">
      <c r="B440"/>
      <c r="C440"/>
      <c r="D440"/>
      <c r="E440"/>
    </row>
    <row r="441" spans="2:5" x14ac:dyDescent="0.3">
      <c r="B441"/>
      <c r="C441"/>
      <c r="D441"/>
      <c r="E441"/>
    </row>
    <row r="442" spans="2:5" x14ac:dyDescent="0.3">
      <c r="B442"/>
      <c r="C442"/>
      <c r="D442"/>
      <c r="E442"/>
    </row>
    <row r="443" spans="2:5" x14ac:dyDescent="0.3">
      <c r="B443"/>
      <c r="C443"/>
      <c r="D443"/>
      <c r="E443"/>
    </row>
    <row r="444" spans="2:5" x14ac:dyDescent="0.3">
      <c r="B444"/>
      <c r="C444"/>
      <c r="D444"/>
      <c r="E444"/>
    </row>
    <row r="445" spans="2:5" x14ac:dyDescent="0.3">
      <c r="B445"/>
      <c r="C445"/>
      <c r="D445"/>
      <c r="E445"/>
    </row>
    <row r="446" spans="2:5" x14ac:dyDescent="0.3">
      <c r="B446"/>
      <c r="C446"/>
      <c r="D446"/>
      <c r="E446"/>
    </row>
    <row r="447" spans="2:5" x14ac:dyDescent="0.3">
      <c r="B447"/>
      <c r="C447"/>
      <c r="D447"/>
      <c r="E447"/>
    </row>
    <row r="448" spans="2:5" x14ac:dyDescent="0.3">
      <c r="B448"/>
      <c r="C448"/>
      <c r="D448"/>
      <c r="E448"/>
    </row>
    <row r="449" spans="2:5" x14ac:dyDescent="0.3">
      <c r="B449"/>
      <c r="C449"/>
      <c r="D449"/>
      <c r="E449"/>
    </row>
    <row r="450" spans="2:5" x14ac:dyDescent="0.3">
      <c r="B450"/>
      <c r="C450"/>
      <c r="D450"/>
      <c r="E450"/>
    </row>
    <row r="451" spans="2:5" x14ac:dyDescent="0.3">
      <c r="B451"/>
      <c r="C451"/>
      <c r="D451"/>
      <c r="E451"/>
    </row>
    <row r="452" spans="2:5" x14ac:dyDescent="0.3">
      <c r="B452"/>
      <c r="C452"/>
      <c r="D452"/>
      <c r="E452"/>
    </row>
    <row r="453" spans="2:5" x14ac:dyDescent="0.3">
      <c r="B453"/>
      <c r="C453"/>
      <c r="D453"/>
      <c r="E453"/>
    </row>
    <row r="454" spans="2:5" x14ac:dyDescent="0.3">
      <c r="B454"/>
      <c r="C454"/>
      <c r="D454"/>
      <c r="E454"/>
    </row>
    <row r="455" spans="2:5" x14ac:dyDescent="0.3">
      <c r="B455"/>
      <c r="C455"/>
      <c r="D455"/>
      <c r="E455"/>
    </row>
    <row r="456" spans="2:5" x14ac:dyDescent="0.3">
      <c r="B456"/>
      <c r="C456"/>
      <c r="D456"/>
      <c r="E456"/>
    </row>
    <row r="457" spans="2:5" x14ac:dyDescent="0.3">
      <c r="B457"/>
      <c r="C457"/>
      <c r="D457"/>
      <c r="E457"/>
    </row>
    <row r="458" spans="2:5" x14ac:dyDescent="0.3">
      <c r="B458"/>
      <c r="C458"/>
      <c r="D458"/>
      <c r="E458"/>
    </row>
    <row r="459" spans="2:5" x14ac:dyDescent="0.3">
      <c r="B459"/>
      <c r="C459"/>
      <c r="D459"/>
      <c r="E459"/>
    </row>
    <row r="460" spans="2:5" x14ac:dyDescent="0.3">
      <c r="B460"/>
      <c r="C460"/>
      <c r="D460"/>
      <c r="E460"/>
    </row>
    <row r="461" spans="2:5" x14ac:dyDescent="0.3">
      <c r="B461"/>
      <c r="C461"/>
      <c r="D461"/>
      <c r="E461"/>
    </row>
    <row r="462" spans="2:5" x14ac:dyDescent="0.3">
      <c r="B462"/>
      <c r="C462"/>
      <c r="D462"/>
      <c r="E462"/>
    </row>
    <row r="463" spans="2:5" x14ac:dyDescent="0.3">
      <c r="B463"/>
      <c r="C463"/>
      <c r="D463"/>
      <c r="E463"/>
    </row>
    <row r="464" spans="2:5" x14ac:dyDescent="0.3">
      <c r="B464"/>
      <c r="C464"/>
      <c r="D464"/>
      <c r="E464"/>
    </row>
    <row r="465" spans="2:5" x14ac:dyDescent="0.3">
      <c r="B465"/>
      <c r="C465"/>
      <c r="D465"/>
      <c r="E465"/>
    </row>
    <row r="466" spans="2:5" x14ac:dyDescent="0.3">
      <c r="B466"/>
      <c r="C466"/>
      <c r="D466"/>
      <c r="E466"/>
    </row>
    <row r="467" spans="2:5" x14ac:dyDescent="0.3">
      <c r="B467"/>
      <c r="C467"/>
      <c r="D467"/>
      <c r="E467"/>
    </row>
    <row r="468" spans="2:5" x14ac:dyDescent="0.3">
      <c r="B468"/>
      <c r="C468"/>
      <c r="D468"/>
      <c r="E468"/>
    </row>
    <row r="469" spans="2:5" x14ac:dyDescent="0.3">
      <c r="B469"/>
      <c r="C469"/>
      <c r="D469"/>
      <c r="E469"/>
    </row>
    <row r="470" spans="2:5" x14ac:dyDescent="0.3">
      <c r="B470"/>
      <c r="C470"/>
      <c r="D470"/>
      <c r="E470"/>
    </row>
    <row r="471" spans="2:5" x14ac:dyDescent="0.3">
      <c r="B471"/>
      <c r="C471"/>
      <c r="D471"/>
      <c r="E471"/>
    </row>
    <row r="472" spans="2:5" x14ac:dyDescent="0.3">
      <c r="B472"/>
      <c r="C472"/>
      <c r="D472"/>
      <c r="E472"/>
    </row>
    <row r="473" spans="2:5" x14ac:dyDescent="0.3">
      <c r="B473"/>
      <c r="C473"/>
      <c r="D473"/>
      <c r="E473"/>
    </row>
    <row r="474" spans="2:5" x14ac:dyDescent="0.3">
      <c r="B474"/>
      <c r="C474"/>
      <c r="D474"/>
      <c r="E474"/>
    </row>
    <row r="475" spans="2:5" x14ac:dyDescent="0.3">
      <c r="B475"/>
      <c r="C475"/>
      <c r="D475"/>
      <c r="E475"/>
    </row>
    <row r="476" spans="2:5" x14ac:dyDescent="0.3">
      <c r="B476"/>
      <c r="C476"/>
      <c r="D476"/>
      <c r="E476"/>
    </row>
    <row r="477" spans="2:5" x14ac:dyDescent="0.3">
      <c r="B477"/>
      <c r="C477"/>
      <c r="D477"/>
      <c r="E477"/>
    </row>
    <row r="478" spans="2:5" x14ac:dyDescent="0.3">
      <c r="B478"/>
      <c r="C478"/>
      <c r="D478"/>
      <c r="E478"/>
    </row>
    <row r="479" spans="2:5" x14ac:dyDescent="0.3">
      <c r="B479"/>
      <c r="C479"/>
      <c r="D479"/>
      <c r="E479"/>
    </row>
    <row r="480" spans="2:5" x14ac:dyDescent="0.3">
      <c r="B480"/>
      <c r="C480"/>
      <c r="D480"/>
      <c r="E480"/>
    </row>
    <row r="481" spans="2:5" x14ac:dyDescent="0.3">
      <c r="B481"/>
      <c r="C481"/>
      <c r="D481"/>
      <c r="E481"/>
    </row>
    <row r="482" spans="2:5" x14ac:dyDescent="0.3">
      <c r="B482"/>
      <c r="C482"/>
      <c r="D482"/>
      <c r="E482"/>
    </row>
    <row r="483" spans="2:5" x14ac:dyDescent="0.3">
      <c r="B483"/>
      <c r="C483"/>
      <c r="D483"/>
      <c r="E483"/>
    </row>
    <row r="484" spans="2:5" x14ac:dyDescent="0.3">
      <c r="B484"/>
      <c r="C484"/>
      <c r="D484"/>
      <c r="E484"/>
    </row>
    <row r="485" spans="2:5" x14ac:dyDescent="0.3">
      <c r="B485"/>
      <c r="C485"/>
      <c r="D485"/>
      <c r="E485"/>
    </row>
    <row r="486" spans="2:5" x14ac:dyDescent="0.3">
      <c r="B486"/>
      <c r="C486"/>
      <c r="D486"/>
      <c r="E486"/>
    </row>
    <row r="487" spans="2:5" x14ac:dyDescent="0.3">
      <c r="B487"/>
      <c r="C487"/>
      <c r="D487"/>
      <c r="E487"/>
    </row>
    <row r="488" spans="2:5" x14ac:dyDescent="0.3">
      <c r="B488"/>
      <c r="C488"/>
      <c r="D488"/>
      <c r="E488"/>
    </row>
    <row r="489" spans="2:5" x14ac:dyDescent="0.3">
      <c r="B489"/>
      <c r="C489"/>
      <c r="D489"/>
      <c r="E489"/>
    </row>
    <row r="490" spans="2:5" x14ac:dyDescent="0.3">
      <c r="B490"/>
      <c r="C490"/>
      <c r="D490"/>
      <c r="E490"/>
    </row>
    <row r="491" spans="2:5" x14ac:dyDescent="0.3">
      <c r="B491"/>
      <c r="C491"/>
      <c r="D491"/>
      <c r="E491"/>
    </row>
    <row r="492" spans="2:5" x14ac:dyDescent="0.3">
      <c r="B492"/>
      <c r="C492"/>
      <c r="D492"/>
      <c r="E492"/>
    </row>
    <row r="493" spans="2:5" x14ac:dyDescent="0.3">
      <c r="B493"/>
      <c r="C493"/>
      <c r="D493"/>
      <c r="E493"/>
    </row>
    <row r="494" spans="2:5" x14ac:dyDescent="0.3">
      <c r="B494"/>
      <c r="C494"/>
      <c r="D494"/>
      <c r="E494"/>
    </row>
    <row r="495" spans="2:5" x14ac:dyDescent="0.3">
      <c r="B495"/>
      <c r="C495"/>
      <c r="D495"/>
      <c r="E495"/>
    </row>
    <row r="496" spans="2:5" x14ac:dyDescent="0.3">
      <c r="B496"/>
      <c r="C496"/>
      <c r="D496"/>
      <c r="E496"/>
    </row>
    <row r="497" spans="2:5" x14ac:dyDescent="0.3">
      <c r="B497"/>
      <c r="C497"/>
      <c r="D497"/>
      <c r="E497"/>
    </row>
    <row r="498" spans="2:5" x14ac:dyDescent="0.3">
      <c r="B498"/>
      <c r="C498"/>
      <c r="D498"/>
      <c r="E498"/>
    </row>
    <row r="499" spans="2:5" x14ac:dyDescent="0.3">
      <c r="B499"/>
      <c r="C499"/>
      <c r="D499"/>
      <c r="E499"/>
    </row>
    <row r="500" spans="2:5" x14ac:dyDescent="0.3">
      <c r="B500"/>
      <c r="C500"/>
      <c r="D500"/>
      <c r="E500"/>
    </row>
    <row r="501" spans="2:5" x14ac:dyDescent="0.3">
      <c r="B501"/>
      <c r="C501"/>
      <c r="D501"/>
      <c r="E501"/>
    </row>
    <row r="502" spans="2:5" x14ac:dyDescent="0.3">
      <c r="B502"/>
      <c r="C502"/>
      <c r="D502"/>
      <c r="E502"/>
    </row>
    <row r="503" spans="2:5" x14ac:dyDescent="0.3">
      <c r="B503"/>
      <c r="C503"/>
      <c r="D503"/>
      <c r="E503"/>
    </row>
    <row r="504" spans="2:5" x14ac:dyDescent="0.3">
      <c r="B504"/>
      <c r="C504"/>
      <c r="D504"/>
      <c r="E504"/>
    </row>
    <row r="505" spans="2:5" x14ac:dyDescent="0.3">
      <c r="B505"/>
      <c r="C505"/>
      <c r="D505"/>
      <c r="E505"/>
    </row>
    <row r="506" spans="2:5" x14ac:dyDescent="0.3">
      <c r="B506"/>
      <c r="C506"/>
      <c r="D506"/>
      <c r="E506"/>
    </row>
    <row r="507" spans="2:5" x14ac:dyDescent="0.3">
      <c r="B507"/>
      <c r="C507"/>
      <c r="D507"/>
      <c r="E507"/>
    </row>
    <row r="508" spans="2:5" x14ac:dyDescent="0.3">
      <c r="B508"/>
      <c r="C508"/>
      <c r="D508"/>
      <c r="E508"/>
    </row>
    <row r="509" spans="2:5" x14ac:dyDescent="0.3">
      <c r="B509"/>
      <c r="C509"/>
      <c r="D509"/>
      <c r="E509"/>
    </row>
    <row r="510" spans="2:5" x14ac:dyDescent="0.3">
      <c r="B510"/>
      <c r="C510"/>
      <c r="D510"/>
      <c r="E510"/>
    </row>
    <row r="511" spans="2:5" x14ac:dyDescent="0.3">
      <c r="B511"/>
      <c r="C511"/>
      <c r="D511"/>
      <c r="E511"/>
    </row>
    <row r="512" spans="2:5" x14ac:dyDescent="0.3">
      <c r="B512"/>
      <c r="C512"/>
      <c r="D512"/>
      <c r="E512"/>
    </row>
    <row r="513" spans="2:5" x14ac:dyDescent="0.3">
      <c r="B513"/>
      <c r="C513"/>
      <c r="D513"/>
      <c r="E513"/>
    </row>
    <row r="514" spans="2:5" x14ac:dyDescent="0.3">
      <c r="B514"/>
      <c r="C514"/>
      <c r="D514"/>
      <c r="E514"/>
    </row>
    <row r="515" spans="2:5" x14ac:dyDescent="0.3">
      <c r="B515"/>
      <c r="C515"/>
      <c r="D515"/>
      <c r="E515"/>
    </row>
    <row r="516" spans="2:5" x14ac:dyDescent="0.3">
      <c r="B516"/>
      <c r="C516"/>
      <c r="D516"/>
      <c r="E516"/>
    </row>
    <row r="517" spans="2:5" x14ac:dyDescent="0.3">
      <c r="B517"/>
      <c r="C517"/>
      <c r="D517"/>
      <c r="E517"/>
    </row>
    <row r="518" spans="2:5" x14ac:dyDescent="0.3">
      <c r="B518"/>
      <c r="C518"/>
      <c r="D518"/>
      <c r="E518"/>
    </row>
    <row r="519" spans="2:5" x14ac:dyDescent="0.3">
      <c r="B519"/>
      <c r="C519"/>
      <c r="D519"/>
      <c r="E519"/>
    </row>
    <row r="520" spans="2:5" x14ac:dyDescent="0.3">
      <c r="B520"/>
      <c r="C520"/>
      <c r="D520"/>
      <c r="E520"/>
    </row>
    <row r="521" spans="2:5" x14ac:dyDescent="0.3">
      <c r="B521"/>
      <c r="C521"/>
      <c r="D521"/>
      <c r="E521"/>
    </row>
    <row r="522" spans="2:5" x14ac:dyDescent="0.3">
      <c r="B522"/>
      <c r="C522"/>
      <c r="D522"/>
      <c r="E522"/>
    </row>
    <row r="523" spans="2:5" x14ac:dyDescent="0.3">
      <c r="B523"/>
      <c r="C523"/>
      <c r="D523"/>
      <c r="E523"/>
    </row>
    <row r="524" spans="2:5" x14ac:dyDescent="0.3">
      <c r="B524"/>
      <c r="C524"/>
      <c r="D524"/>
      <c r="E524"/>
    </row>
    <row r="525" spans="2:5" x14ac:dyDescent="0.3">
      <c r="B525"/>
      <c r="C525"/>
      <c r="D525"/>
      <c r="E525"/>
    </row>
    <row r="526" spans="2:5" x14ac:dyDescent="0.3">
      <c r="B526"/>
      <c r="C526"/>
      <c r="D526"/>
      <c r="E526"/>
    </row>
    <row r="527" spans="2:5" x14ac:dyDescent="0.3">
      <c r="B527"/>
      <c r="C527"/>
      <c r="D527"/>
      <c r="E527"/>
    </row>
    <row r="528" spans="2:5" x14ac:dyDescent="0.3">
      <c r="B528"/>
      <c r="C528"/>
      <c r="D528"/>
      <c r="E528"/>
    </row>
    <row r="529" spans="2:5" x14ac:dyDescent="0.3">
      <c r="B529"/>
      <c r="C529"/>
      <c r="D529"/>
      <c r="E529"/>
    </row>
    <row r="530" spans="2:5" x14ac:dyDescent="0.3">
      <c r="B530"/>
      <c r="C530"/>
      <c r="D530"/>
      <c r="E530"/>
    </row>
    <row r="531" spans="2:5" x14ac:dyDescent="0.3">
      <c r="B531"/>
      <c r="C531"/>
      <c r="D531"/>
      <c r="E531"/>
    </row>
    <row r="532" spans="2:5" x14ac:dyDescent="0.3">
      <c r="B532"/>
      <c r="C532"/>
      <c r="D532"/>
      <c r="E532"/>
    </row>
    <row r="533" spans="2:5" x14ac:dyDescent="0.3">
      <c r="B533"/>
      <c r="C533"/>
      <c r="D533"/>
      <c r="E533"/>
    </row>
    <row r="534" spans="2:5" x14ac:dyDescent="0.3">
      <c r="B534"/>
      <c r="C534"/>
      <c r="D534"/>
      <c r="E534"/>
    </row>
    <row r="535" spans="2:5" x14ac:dyDescent="0.3">
      <c r="B535"/>
      <c r="C535"/>
      <c r="D535"/>
      <c r="E535"/>
    </row>
    <row r="536" spans="2:5" x14ac:dyDescent="0.3">
      <c r="B536"/>
      <c r="C536"/>
      <c r="D536"/>
      <c r="E536"/>
    </row>
    <row r="537" spans="2:5" x14ac:dyDescent="0.3">
      <c r="B537"/>
      <c r="C537"/>
      <c r="D537"/>
      <c r="E537"/>
    </row>
    <row r="538" spans="2:5" x14ac:dyDescent="0.3">
      <c r="B538"/>
      <c r="C538"/>
      <c r="D538"/>
      <c r="E538"/>
    </row>
    <row r="539" spans="2:5" x14ac:dyDescent="0.3">
      <c r="B539"/>
      <c r="C539"/>
      <c r="D539"/>
      <c r="E539"/>
    </row>
    <row r="540" spans="2:5" x14ac:dyDescent="0.3">
      <c r="B540"/>
      <c r="C540"/>
      <c r="D540"/>
      <c r="E540"/>
    </row>
    <row r="541" spans="2:5" x14ac:dyDescent="0.3">
      <c r="B541"/>
      <c r="C541"/>
      <c r="D541"/>
      <c r="E541"/>
    </row>
    <row r="542" spans="2:5" x14ac:dyDescent="0.3">
      <c r="B542"/>
      <c r="C542"/>
      <c r="D542"/>
      <c r="E542"/>
    </row>
    <row r="543" spans="2:5" x14ac:dyDescent="0.3">
      <c r="B543"/>
      <c r="C543"/>
      <c r="D543"/>
      <c r="E543"/>
    </row>
    <row r="544" spans="2:5" x14ac:dyDescent="0.3">
      <c r="B544"/>
      <c r="C544"/>
      <c r="D544"/>
      <c r="E544"/>
    </row>
    <row r="545" spans="2:5" x14ac:dyDescent="0.3">
      <c r="B545"/>
      <c r="C545"/>
      <c r="D545"/>
      <c r="E545"/>
    </row>
    <row r="546" spans="2:5" x14ac:dyDescent="0.3">
      <c r="B546"/>
      <c r="C546"/>
      <c r="D546"/>
      <c r="E546"/>
    </row>
    <row r="547" spans="2:5" x14ac:dyDescent="0.3">
      <c r="B547"/>
      <c r="C547"/>
      <c r="D547"/>
      <c r="E547"/>
    </row>
    <row r="548" spans="2:5" x14ac:dyDescent="0.3">
      <c r="B548"/>
      <c r="C548"/>
      <c r="D548"/>
      <c r="E548"/>
    </row>
    <row r="549" spans="2:5" x14ac:dyDescent="0.3">
      <c r="B549"/>
      <c r="C549"/>
      <c r="D549"/>
      <c r="E549"/>
    </row>
    <row r="550" spans="2:5" x14ac:dyDescent="0.3">
      <c r="B550"/>
      <c r="C550"/>
      <c r="D550"/>
      <c r="E550"/>
    </row>
    <row r="551" spans="2:5" x14ac:dyDescent="0.3">
      <c r="B551"/>
      <c r="C551"/>
      <c r="D551"/>
      <c r="E551"/>
    </row>
    <row r="552" spans="2:5" x14ac:dyDescent="0.3">
      <c r="B552"/>
      <c r="C552"/>
      <c r="D552"/>
      <c r="E552"/>
    </row>
    <row r="553" spans="2:5" x14ac:dyDescent="0.3">
      <c r="B553"/>
      <c r="C553"/>
      <c r="D553"/>
      <c r="E553"/>
    </row>
    <row r="554" spans="2:5" x14ac:dyDescent="0.3">
      <c r="B554"/>
      <c r="C554"/>
      <c r="D554"/>
      <c r="E554"/>
    </row>
    <row r="555" spans="2:5" x14ac:dyDescent="0.3">
      <c r="B555"/>
      <c r="C555"/>
      <c r="D555"/>
      <c r="E555"/>
    </row>
    <row r="556" spans="2:5" x14ac:dyDescent="0.3">
      <c r="B556"/>
      <c r="C556"/>
      <c r="D556"/>
      <c r="E556"/>
    </row>
    <row r="557" spans="2:5" x14ac:dyDescent="0.3">
      <c r="B557"/>
      <c r="C557"/>
      <c r="D557"/>
      <c r="E557"/>
    </row>
    <row r="558" spans="2:5" x14ac:dyDescent="0.3">
      <c r="B558"/>
      <c r="C558"/>
      <c r="D558"/>
      <c r="E558"/>
    </row>
    <row r="559" spans="2:5" x14ac:dyDescent="0.3">
      <c r="B559"/>
      <c r="C559"/>
      <c r="D559"/>
      <c r="E559"/>
    </row>
    <row r="560" spans="2:5" x14ac:dyDescent="0.3">
      <c r="B560"/>
      <c r="C560"/>
      <c r="D560"/>
      <c r="E560"/>
    </row>
    <row r="561" spans="2:5" x14ac:dyDescent="0.3">
      <c r="B561"/>
      <c r="C561"/>
      <c r="D561"/>
      <c r="E561"/>
    </row>
    <row r="562" spans="2:5" x14ac:dyDescent="0.3">
      <c r="B562"/>
      <c r="C562"/>
      <c r="D562"/>
      <c r="E562"/>
    </row>
    <row r="563" spans="2:5" x14ac:dyDescent="0.3">
      <c r="B563"/>
      <c r="C563"/>
      <c r="D563"/>
      <c r="E563"/>
    </row>
    <row r="564" spans="2:5" x14ac:dyDescent="0.3">
      <c r="B564"/>
      <c r="C564"/>
      <c r="D564"/>
      <c r="E564"/>
    </row>
    <row r="565" spans="2:5" x14ac:dyDescent="0.3">
      <c r="B565"/>
      <c r="C565"/>
      <c r="D565"/>
      <c r="E565"/>
    </row>
    <row r="566" spans="2:5" x14ac:dyDescent="0.3">
      <c r="B566"/>
      <c r="C566"/>
      <c r="D566"/>
      <c r="E566"/>
    </row>
    <row r="567" spans="2:5" x14ac:dyDescent="0.3">
      <c r="B567"/>
      <c r="C567"/>
      <c r="D567"/>
      <c r="E567"/>
    </row>
    <row r="568" spans="2:5" x14ac:dyDescent="0.3">
      <c r="B568"/>
      <c r="C568"/>
      <c r="D568"/>
      <c r="E568"/>
    </row>
    <row r="569" spans="2:5" x14ac:dyDescent="0.3">
      <c r="B569"/>
      <c r="C569"/>
      <c r="D569"/>
      <c r="E569"/>
    </row>
    <row r="570" spans="2:5" x14ac:dyDescent="0.3">
      <c r="B570"/>
      <c r="C570"/>
      <c r="D570"/>
      <c r="E570"/>
    </row>
    <row r="571" spans="2:5" x14ac:dyDescent="0.3">
      <c r="B571"/>
      <c r="C571"/>
      <c r="D571"/>
      <c r="E571"/>
    </row>
    <row r="572" spans="2:5" x14ac:dyDescent="0.3">
      <c r="B572"/>
      <c r="C572"/>
      <c r="D572"/>
      <c r="E572"/>
    </row>
    <row r="573" spans="2:5" x14ac:dyDescent="0.3">
      <c r="B573"/>
      <c r="C573"/>
      <c r="D573"/>
      <c r="E573"/>
    </row>
    <row r="574" spans="2:5" x14ac:dyDescent="0.3">
      <c r="B574"/>
      <c r="C574"/>
      <c r="D574"/>
      <c r="E574"/>
    </row>
    <row r="575" spans="2:5" x14ac:dyDescent="0.3">
      <c r="B575"/>
      <c r="C575"/>
      <c r="D575"/>
      <c r="E575"/>
    </row>
    <row r="576" spans="2:5" x14ac:dyDescent="0.3">
      <c r="B576"/>
      <c r="C576"/>
      <c r="D576"/>
      <c r="E576"/>
    </row>
    <row r="577" spans="2:5" x14ac:dyDescent="0.3">
      <c r="B577"/>
      <c r="C577"/>
      <c r="D577"/>
      <c r="E577"/>
    </row>
    <row r="578" spans="2:5" x14ac:dyDescent="0.3">
      <c r="B578"/>
      <c r="C578"/>
      <c r="D578"/>
      <c r="E578"/>
    </row>
    <row r="579" spans="2:5" x14ac:dyDescent="0.3">
      <c r="B579"/>
      <c r="C579"/>
      <c r="D579"/>
      <c r="E579"/>
    </row>
    <row r="580" spans="2:5" x14ac:dyDescent="0.3">
      <c r="B580"/>
      <c r="C580"/>
      <c r="D580"/>
      <c r="E580"/>
    </row>
    <row r="581" spans="2:5" x14ac:dyDescent="0.3">
      <c r="B581"/>
      <c r="C581"/>
      <c r="D581"/>
      <c r="E581"/>
    </row>
    <row r="582" spans="2:5" x14ac:dyDescent="0.3">
      <c r="B582"/>
      <c r="C582"/>
      <c r="D582"/>
      <c r="E582"/>
    </row>
    <row r="583" spans="2:5" x14ac:dyDescent="0.3">
      <c r="B583"/>
      <c r="C583"/>
      <c r="D583"/>
      <c r="E583"/>
    </row>
    <row r="584" spans="2:5" x14ac:dyDescent="0.3">
      <c r="B584"/>
      <c r="C584"/>
      <c r="D584"/>
      <c r="E584"/>
    </row>
    <row r="585" spans="2:5" x14ac:dyDescent="0.3">
      <c r="B585"/>
      <c r="C585"/>
      <c r="D585"/>
      <c r="E585"/>
    </row>
    <row r="586" spans="2:5" x14ac:dyDescent="0.3">
      <c r="B586"/>
      <c r="C586"/>
      <c r="D586"/>
      <c r="E586"/>
    </row>
    <row r="587" spans="2:5" x14ac:dyDescent="0.3">
      <c r="B587"/>
      <c r="C587"/>
      <c r="D587"/>
      <c r="E587"/>
    </row>
    <row r="588" spans="2:5" x14ac:dyDescent="0.3">
      <c r="B588"/>
      <c r="C588"/>
      <c r="D588"/>
      <c r="E588"/>
    </row>
    <row r="589" spans="2:5" x14ac:dyDescent="0.3">
      <c r="B589"/>
      <c r="C589"/>
      <c r="D589"/>
      <c r="E589"/>
    </row>
    <row r="590" spans="2:5" x14ac:dyDescent="0.3">
      <c r="B590"/>
      <c r="C590"/>
      <c r="D590"/>
      <c r="E590"/>
    </row>
    <row r="591" spans="2:5" x14ac:dyDescent="0.3">
      <c r="B591"/>
      <c r="C591"/>
      <c r="D591"/>
      <c r="E591"/>
    </row>
    <row r="592" spans="2:5" x14ac:dyDescent="0.3">
      <c r="B592"/>
      <c r="C592"/>
      <c r="D592"/>
      <c r="E592"/>
    </row>
    <row r="593" spans="2:5" x14ac:dyDescent="0.3">
      <c r="B593"/>
      <c r="C593"/>
      <c r="D593"/>
      <c r="E593"/>
    </row>
    <row r="594" spans="2:5" x14ac:dyDescent="0.3">
      <c r="B594"/>
      <c r="C594"/>
      <c r="D594"/>
      <c r="E594"/>
    </row>
    <row r="595" spans="2:5" x14ac:dyDescent="0.3">
      <c r="B595"/>
      <c r="C595"/>
      <c r="D595"/>
      <c r="E595"/>
    </row>
    <row r="596" spans="2:5" x14ac:dyDescent="0.3">
      <c r="B596"/>
      <c r="C596"/>
      <c r="D596"/>
      <c r="E596"/>
    </row>
    <row r="597" spans="2:5" x14ac:dyDescent="0.3">
      <c r="B597"/>
      <c r="C597"/>
      <c r="D597"/>
      <c r="E597"/>
    </row>
    <row r="598" spans="2:5" x14ac:dyDescent="0.3">
      <c r="B598"/>
      <c r="C598"/>
      <c r="D598"/>
      <c r="E598"/>
    </row>
    <row r="599" spans="2:5" x14ac:dyDescent="0.3">
      <c r="B599"/>
      <c r="C599"/>
      <c r="D599"/>
      <c r="E599"/>
    </row>
    <row r="600" spans="2:5" x14ac:dyDescent="0.3">
      <c r="B600"/>
      <c r="C600"/>
      <c r="D600"/>
      <c r="E600"/>
    </row>
    <row r="601" spans="2:5" x14ac:dyDescent="0.3">
      <c r="B601"/>
      <c r="C601"/>
      <c r="D601"/>
      <c r="E601"/>
    </row>
    <row r="602" spans="2:5" x14ac:dyDescent="0.3">
      <c r="B602"/>
      <c r="C602"/>
      <c r="D602"/>
      <c r="E602"/>
    </row>
    <row r="603" spans="2:5" x14ac:dyDescent="0.3">
      <c r="B603"/>
      <c r="C603"/>
      <c r="D603"/>
      <c r="E603"/>
    </row>
    <row r="604" spans="2:5" x14ac:dyDescent="0.3">
      <c r="B604"/>
      <c r="C604"/>
      <c r="D604"/>
      <c r="E604"/>
    </row>
    <row r="605" spans="2:5" x14ac:dyDescent="0.3">
      <c r="B605"/>
      <c r="C605"/>
      <c r="D605"/>
      <c r="E605"/>
    </row>
    <row r="606" spans="2:5" x14ac:dyDescent="0.3">
      <c r="B606"/>
      <c r="C606"/>
      <c r="D606"/>
      <c r="E606"/>
    </row>
    <row r="607" spans="2:5" x14ac:dyDescent="0.3">
      <c r="B607"/>
      <c r="C607"/>
      <c r="D607"/>
      <c r="E607"/>
    </row>
    <row r="608" spans="2:5" x14ac:dyDescent="0.3">
      <c r="B608"/>
      <c r="C608"/>
      <c r="D608"/>
      <c r="E608"/>
    </row>
    <row r="609" spans="2:5" x14ac:dyDescent="0.3">
      <c r="B609"/>
      <c r="C609"/>
      <c r="D609"/>
      <c r="E609"/>
    </row>
    <row r="610" spans="2:5" x14ac:dyDescent="0.3">
      <c r="B610"/>
      <c r="C610"/>
      <c r="D610"/>
      <c r="E610"/>
    </row>
    <row r="611" spans="2:5" x14ac:dyDescent="0.3">
      <c r="B611"/>
      <c r="C611"/>
      <c r="D611"/>
      <c r="E611"/>
    </row>
    <row r="612" spans="2:5" x14ac:dyDescent="0.3">
      <c r="B612"/>
      <c r="C612"/>
      <c r="D612"/>
      <c r="E612"/>
    </row>
    <row r="613" spans="2:5" x14ac:dyDescent="0.3">
      <c r="B613"/>
      <c r="C613"/>
      <c r="D613"/>
      <c r="E613"/>
    </row>
    <row r="614" spans="2:5" x14ac:dyDescent="0.3">
      <c r="B614"/>
      <c r="C614"/>
      <c r="D614"/>
      <c r="E614"/>
    </row>
    <row r="615" spans="2:5" x14ac:dyDescent="0.3">
      <c r="B615"/>
      <c r="C615"/>
      <c r="D615"/>
      <c r="E615"/>
    </row>
    <row r="616" spans="2:5" x14ac:dyDescent="0.3">
      <c r="B616"/>
      <c r="C616"/>
      <c r="D616"/>
      <c r="E616"/>
    </row>
    <row r="617" spans="2:5" x14ac:dyDescent="0.3">
      <c r="B617"/>
      <c r="C617"/>
      <c r="D617"/>
      <c r="E617"/>
    </row>
    <row r="618" spans="2:5" x14ac:dyDescent="0.3">
      <c r="B618"/>
      <c r="C618"/>
      <c r="D618"/>
      <c r="E618"/>
    </row>
    <row r="619" spans="2:5" x14ac:dyDescent="0.3">
      <c r="B619"/>
      <c r="C619"/>
      <c r="D619"/>
      <c r="E619"/>
    </row>
    <row r="620" spans="2:5" x14ac:dyDescent="0.3">
      <c r="B620"/>
      <c r="C620"/>
      <c r="D620"/>
      <c r="E620"/>
    </row>
    <row r="621" spans="2:5" x14ac:dyDescent="0.3">
      <c r="B621"/>
      <c r="C621"/>
      <c r="D621"/>
      <c r="E621"/>
    </row>
    <row r="622" spans="2:5" x14ac:dyDescent="0.3">
      <c r="B622"/>
      <c r="C622"/>
      <c r="D622"/>
      <c r="E622"/>
    </row>
    <row r="623" spans="2:5" x14ac:dyDescent="0.3">
      <c r="B623"/>
      <c r="C623"/>
      <c r="D623"/>
      <c r="E623"/>
    </row>
    <row r="624" spans="2:5" x14ac:dyDescent="0.3">
      <c r="B624"/>
      <c r="C624"/>
      <c r="D624"/>
      <c r="E624"/>
    </row>
    <row r="625" spans="2:5" x14ac:dyDescent="0.3">
      <c r="B625"/>
      <c r="C625"/>
      <c r="D625"/>
      <c r="E625"/>
    </row>
    <row r="626" spans="2:5" x14ac:dyDescent="0.3">
      <c r="B626"/>
      <c r="C626"/>
      <c r="D626"/>
      <c r="E626"/>
    </row>
    <row r="627" spans="2:5" x14ac:dyDescent="0.3">
      <c r="B627"/>
      <c r="C627"/>
      <c r="D627"/>
      <c r="E627"/>
    </row>
    <row r="628" spans="2:5" x14ac:dyDescent="0.3">
      <c r="B628"/>
      <c r="C628"/>
      <c r="D628"/>
      <c r="E628"/>
    </row>
    <row r="629" spans="2:5" x14ac:dyDescent="0.3">
      <c r="B629"/>
      <c r="C629"/>
      <c r="D629"/>
      <c r="E629"/>
    </row>
    <row r="630" spans="2:5" x14ac:dyDescent="0.3">
      <c r="B630"/>
      <c r="C630"/>
      <c r="D630"/>
      <c r="E630"/>
    </row>
    <row r="631" spans="2:5" x14ac:dyDescent="0.3">
      <c r="B631"/>
      <c r="C631"/>
      <c r="D631"/>
      <c r="E631"/>
    </row>
    <row r="632" spans="2:5" x14ac:dyDescent="0.3">
      <c r="B632"/>
      <c r="C632"/>
      <c r="D632"/>
      <c r="E632"/>
    </row>
    <row r="633" spans="2:5" x14ac:dyDescent="0.3">
      <c r="B633"/>
      <c r="C633"/>
      <c r="D633"/>
      <c r="E633"/>
    </row>
    <row r="634" spans="2:5" x14ac:dyDescent="0.3">
      <c r="B634"/>
      <c r="C634"/>
      <c r="D634"/>
      <c r="E634"/>
    </row>
    <row r="635" spans="2:5" x14ac:dyDescent="0.3">
      <c r="B635"/>
      <c r="C635"/>
      <c r="D635"/>
      <c r="E635"/>
    </row>
    <row r="636" spans="2:5" x14ac:dyDescent="0.3">
      <c r="B636"/>
      <c r="C636"/>
      <c r="D636"/>
      <c r="E636"/>
    </row>
    <row r="637" spans="2:5" x14ac:dyDescent="0.3">
      <c r="B637"/>
      <c r="C637"/>
      <c r="D637"/>
      <c r="E637"/>
    </row>
    <row r="638" spans="2:5" x14ac:dyDescent="0.3">
      <c r="B638"/>
      <c r="C638"/>
      <c r="D638"/>
      <c r="E638"/>
    </row>
    <row r="639" spans="2:5" x14ac:dyDescent="0.3">
      <c r="B639"/>
      <c r="C639"/>
      <c r="D639"/>
      <c r="E639"/>
    </row>
    <row r="640" spans="2:5" x14ac:dyDescent="0.3">
      <c r="B640"/>
      <c r="C640"/>
      <c r="D640"/>
      <c r="E640"/>
    </row>
    <row r="641" spans="2:5" x14ac:dyDescent="0.3">
      <c r="B641"/>
      <c r="C641"/>
      <c r="D641"/>
      <c r="E641"/>
    </row>
    <row r="642" spans="2:5" x14ac:dyDescent="0.3">
      <c r="B642"/>
      <c r="C642"/>
      <c r="D642"/>
      <c r="E642"/>
    </row>
    <row r="643" spans="2:5" x14ac:dyDescent="0.3">
      <c r="B643"/>
      <c r="C643"/>
      <c r="D643"/>
      <c r="E643"/>
    </row>
    <row r="644" spans="2:5" x14ac:dyDescent="0.3">
      <c r="B644"/>
      <c r="C644"/>
      <c r="D644"/>
      <c r="E644"/>
    </row>
    <row r="645" spans="2:5" x14ac:dyDescent="0.3">
      <c r="B645"/>
      <c r="C645"/>
      <c r="D645"/>
      <c r="E645"/>
    </row>
    <row r="646" spans="2:5" x14ac:dyDescent="0.3">
      <c r="B646"/>
      <c r="C646"/>
      <c r="D646"/>
      <c r="E646"/>
    </row>
    <row r="647" spans="2:5" x14ac:dyDescent="0.3">
      <c r="B647"/>
      <c r="C647"/>
      <c r="D647"/>
      <c r="E647"/>
    </row>
    <row r="648" spans="2:5" x14ac:dyDescent="0.3">
      <c r="B648"/>
      <c r="C648"/>
      <c r="D648"/>
      <c r="E648"/>
    </row>
    <row r="649" spans="2:5" x14ac:dyDescent="0.3">
      <c r="B649"/>
      <c r="C649"/>
      <c r="D649"/>
      <c r="E649"/>
    </row>
    <row r="650" spans="2:5" x14ac:dyDescent="0.3">
      <c r="B650"/>
      <c r="C650"/>
      <c r="D650"/>
      <c r="E650"/>
    </row>
    <row r="651" spans="2:5" x14ac:dyDescent="0.3">
      <c r="B651"/>
      <c r="C651"/>
      <c r="D651"/>
      <c r="E651"/>
    </row>
    <row r="652" spans="2:5" x14ac:dyDescent="0.3">
      <c r="B652"/>
      <c r="C652"/>
      <c r="D652"/>
      <c r="E652"/>
    </row>
    <row r="653" spans="2:5" x14ac:dyDescent="0.3">
      <c r="B653"/>
      <c r="C653"/>
      <c r="D653"/>
      <c r="E653"/>
    </row>
    <row r="654" spans="2:5" x14ac:dyDescent="0.3">
      <c r="B654"/>
      <c r="C654"/>
      <c r="D654"/>
      <c r="E654"/>
    </row>
    <row r="655" spans="2:5" x14ac:dyDescent="0.3">
      <c r="B655"/>
      <c r="C655"/>
      <c r="D655"/>
      <c r="E655"/>
    </row>
    <row r="656" spans="2:5" x14ac:dyDescent="0.3">
      <c r="B656"/>
      <c r="C656"/>
      <c r="D656"/>
      <c r="E656"/>
    </row>
    <row r="657" spans="2:5" x14ac:dyDescent="0.3">
      <c r="B657"/>
      <c r="C657"/>
      <c r="D657"/>
      <c r="E657"/>
    </row>
    <row r="658" spans="2:5" x14ac:dyDescent="0.3">
      <c r="B658"/>
      <c r="C658"/>
      <c r="D658"/>
      <c r="E658"/>
    </row>
    <row r="659" spans="2:5" x14ac:dyDescent="0.3">
      <c r="B659"/>
      <c r="C659"/>
      <c r="D659"/>
      <c r="E659"/>
    </row>
    <row r="660" spans="2:5" x14ac:dyDescent="0.3">
      <c r="B660"/>
      <c r="C660"/>
      <c r="D660"/>
      <c r="E660"/>
    </row>
    <row r="661" spans="2:5" x14ac:dyDescent="0.3">
      <c r="B661"/>
      <c r="C661"/>
      <c r="D661"/>
      <c r="E661"/>
    </row>
    <row r="662" spans="2:5" x14ac:dyDescent="0.3">
      <c r="B662"/>
      <c r="C662"/>
      <c r="D662"/>
      <c r="E662"/>
    </row>
    <row r="663" spans="2:5" x14ac:dyDescent="0.3">
      <c r="B663"/>
      <c r="C663"/>
      <c r="D663"/>
      <c r="E663"/>
    </row>
    <row r="664" spans="2:5" x14ac:dyDescent="0.3">
      <c r="B664"/>
      <c r="C664"/>
      <c r="D664"/>
      <c r="E664"/>
    </row>
    <row r="665" spans="2:5" x14ac:dyDescent="0.3">
      <c r="B665"/>
      <c r="C665"/>
      <c r="D665"/>
      <c r="E665"/>
    </row>
    <row r="666" spans="2:5" x14ac:dyDescent="0.3">
      <c r="B666"/>
      <c r="C666"/>
      <c r="D666"/>
      <c r="E666"/>
    </row>
    <row r="667" spans="2:5" x14ac:dyDescent="0.3">
      <c r="B667"/>
      <c r="C667"/>
      <c r="D667"/>
      <c r="E667"/>
    </row>
    <row r="668" spans="2:5" x14ac:dyDescent="0.3">
      <c r="B668"/>
      <c r="C668"/>
      <c r="D668"/>
      <c r="E668"/>
    </row>
    <row r="669" spans="2:5" x14ac:dyDescent="0.3">
      <c r="B669"/>
      <c r="C669"/>
      <c r="D669"/>
      <c r="E669"/>
    </row>
    <row r="670" spans="2:5" x14ac:dyDescent="0.3">
      <c r="B670"/>
      <c r="C670"/>
      <c r="D670"/>
      <c r="E670"/>
    </row>
    <row r="671" spans="2:5" x14ac:dyDescent="0.3">
      <c r="B671"/>
      <c r="C671"/>
      <c r="D671"/>
      <c r="E671"/>
    </row>
    <row r="672" spans="2:5" x14ac:dyDescent="0.3">
      <c r="B672"/>
      <c r="C672"/>
      <c r="D672"/>
      <c r="E672"/>
    </row>
    <row r="673" spans="2:5" x14ac:dyDescent="0.3">
      <c r="B673"/>
      <c r="C673"/>
      <c r="D673"/>
      <c r="E673"/>
    </row>
    <row r="674" spans="2:5" x14ac:dyDescent="0.3">
      <c r="B674"/>
      <c r="C674"/>
      <c r="D674"/>
      <c r="E674"/>
    </row>
    <row r="675" spans="2:5" x14ac:dyDescent="0.3">
      <c r="B675"/>
      <c r="C675"/>
      <c r="D675"/>
      <c r="E675"/>
    </row>
    <row r="676" spans="2:5" x14ac:dyDescent="0.3">
      <c r="B676"/>
      <c r="C676"/>
      <c r="D676"/>
      <c r="E676"/>
    </row>
    <row r="677" spans="2:5" x14ac:dyDescent="0.3">
      <c r="B677"/>
      <c r="C677"/>
      <c r="D677"/>
      <c r="E677"/>
    </row>
    <row r="678" spans="2:5" x14ac:dyDescent="0.3">
      <c r="B678"/>
      <c r="C678"/>
      <c r="D678"/>
      <c r="E678"/>
    </row>
    <row r="679" spans="2:5" x14ac:dyDescent="0.3">
      <c r="B679"/>
      <c r="C679"/>
      <c r="D679"/>
      <c r="E679"/>
    </row>
    <row r="680" spans="2:5" x14ac:dyDescent="0.3">
      <c r="B680"/>
      <c r="C680"/>
      <c r="D680"/>
      <c r="E680"/>
    </row>
    <row r="681" spans="2:5" x14ac:dyDescent="0.3">
      <c r="B681"/>
      <c r="C681"/>
      <c r="D681"/>
      <c r="E681"/>
    </row>
    <row r="682" spans="2:5" x14ac:dyDescent="0.3">
      <c r="B682"/>
      <c r="C682"/>
      <c r="D682"/>
      <c r="E682"/>
    </row>
    <row r="683" spans="2:5" x14ac:dyDescent="0.3">
      <c r="B683"/>
      <c r="C683"/>
      <c r="D683"/>
      <c r="E683"/>
    </row>
    <row r="684" spans="2:5" x14ac:dyDescent="0.3">
      <c r="B684"/>
      <c r="C684"/>
      <c r="D684"/>
      <c r="E684"/>
    </row>
    <row r="685" spans="2:5" x14ac:dyDescent="0.3">
      <c r="B685"/>
      <c r="C685"/>
      <c r="D685"/>
      <c r="E685"/>
    </row>
    <row r="686" spans="2:5" x14ac:dyDescent="0.3">
      <c r="B686"/>
      <c r="C686"/>
      <c r="D686"/>
      <c r="E686"/>
    </row>
    <row r="687" spans="2:5" x14ac:dyDescent="0.3">
      <c r="B687"/>
      <c r="C687"/>
      <c r="D687"/>
      <c r="E687"/>
    </row>
    <row r="688" spans="2:5" x14ac:dyDescent="0.3">
      <c r="B688"/>
      <c r="C688"/>
      <c r="D688"/>
      <c r="E688"/>
    </row>
    <row r="689" spans="2:5" x14ac:dyDescent="0.3">
      <c r="B689"/>
      <c r="C689"/>
      <c r="D689"/>
      <c r="E689"/>
    </row>
    <row r="690" spans="2:5" x14ac:dyDescent="0.3">
      <c r="B690"/>
      <c r="C690"/>
      <c r="D690"/>
      <c r="E690"/>
    </row>
    <row r="691" spans="2:5" x14ac:dyDescent="0.3">
      <c r="B691"/>
      <c r="C691"/>
      <c r="D691"/>
      <c r="E691"/>
    </row>
    <row r="692" spans="2:5" x14ac:dyDescent="0.3">
      <c r="B692"/>
      <c r="C692"/>
      <c r="D692"/>
      <c r="E692"/>
    </row>
    <row r="693" spans="2:5" x14ac:dyDescent="0.3">
      <c r="B693"/>
      <c r="C693"/>
      <c r="D693"/>
      <c r="E693"/>
    </row>
    <row r="694" spans="2:5" x14ac:dyDescent="0.3">
      <c r="B694"/>
      <c r="C694"/>
      <c r="D694"/>
      <c r="E694"/>
    </row>
    <row r="695" spans="2:5" x14ac:dyDescent="0.3">
      <c r="B695"/>
      <c r="C695"/>
      <c r="D695"/>
      <c r="E695"/>
    </row>
    <row r="696" spans="2:5" x14ac:dyDescent="0.3">
      <c r="B696"/>
      <c r="C696"/>
      <c r="D696"/>
      <c r="E696"/>
    </row>
    <row r="697" spans="2:5" x14ac:dyDescent="0.3">
      <c r="B697"/>
      <c r="C697"/>
      <c r="D697"/>
      <c r="E697"/>
    </row>
    <row r="698" spans="2:5" x14ac:dyDescent="0.3">
      <c r="B698"/>
      <c r="C698"/>
      <c r="D698"/>
      <c r="E698"/>
    </row>
    <row r="699" spans="2:5" x14ac:dyDescent="0.3">
      <c r="B699"/>
      <c r="C699"/>
      <c r="D699"/>
      <c r="E699"/>
    </row>
    <row r="700" spans="2:5" x14ac:dyDescent="0.3">
      <c r="B700"/>
      <c r="C700"/>
      <c r="D700"/>
      <c r="E700"/>
    </row>
    <row r="701" spans="2:5" x14ac:dyDescent="0.3">
      <c r="B701"/>
      <c r="C701"/>
      <c r="D701"/>
      <c r="E701"/>
    </row>
    <row r="702" spans="2:5" x14ac:dyDescent="0.3">
      <c r="B702"/>
      <c r="C702"/>
      <c r="D702"/>
      <c r="E702"/>
    </row>
    <row r="703" spans="2:5" x14ac:dyDescent="0.3">
      <c r="B703"/>
      <c r="C703"/>
      <c r="D703"/>
      <c r="E703"/>
    </row>
    <row r="704" spans="2:5" x14ac:dyDescent="0.3">
      <c r="B704"/>
      <c r="C704"/>
      <c r="D704"/>
      <c r="E704"/>
    </row>
    <row r="705" spans="2:5" x14ac:dyDescent="0.3">
      <c r="B705"/>
      <c r="C705"/>
      <c r="D705"/>
      <c r="E705"/>
    </row>
    <row r="706" spans="2:5" x14ac:dyDescent="0.3">
      <c r="B706"/>
      <c r="C706"/>
      <c r="D706"/>
      <c r="E706"/>
    </row>
    <row r="707" spans="2:5" x14ac:dyDescent="0.3">
      <c r="B707"/>
      <c r="C707"/>
      <c r="D707"/>
      <c r="E707"/>
    </row>
    <row r="708" spans="2:5" x14ac:dyDescent="0.3">
      <c r="B708"/>
      <c r="C708"/>
      <c r="D708"/>
      <c r="E708"/>
    </row>
    <row r="709" spans="2:5" x14ac:dyDescent="0.3">
      <c r="B709"/>
      <c r="C709"/>
      <c r="D709"/>
      <c r="E709"/>
    </row>
    <row r="710" spans="2:5" x14ac:dyDescent="0.3">
      <c r="B710"/>
      <c r="C710"/>
      <c r="D710"/>
      <c r="E710"/>
    </row>
    <row r="711" spans="2:5" x14ac:dyDescent="0.3">
      <c r="B711"/>
      <c r="C711"/>
      <c r="D711"/>
      <c r="E711"/>
    </row>
    <row r="712" spans="2:5" x14ac:dyDescent="0.3">
      <c r="B712"/>
      <c r="C712"/>
      <c r="D712"/>
      <c r="E712"/>
    </row>
    <row r="713" spans="2:5" x14ac:dyDescent="0.3">
      <c r="B713"/>
      <c r="C713"/>
      <c r="D713"/>
      <c r="E713"/>
    </row>
    <row r="714" spans="2:5" x14ac:dyDescent="0.3">
      <c r="B714"/>
      <c r="C714"/>
      <c r="D714"/>
      <c r="E714"/>
    </row>
    <row r="715" spans="2:5" x14ac:dyDescent="0.3">
      <c r="B715"/>
      <c r="C715"/>
      <c r="D715"/>
      <c r="E715"/>
    </row>
    <row r="716" spans="2:5" x14ac:dyDescent="0.3">
      <c r="B716"/>
      <c r="C716"/>
      <c r="D716"/>
      <c r="E716"/>
    </row>
    <row r="717" spans="2:5" x14ac:dyDescent="0.3">
      <c r="B717"/>
      <c r="C717"/>
      <c r="D717"/>
      <c r="E717"/>
    </row>
    <row r="718" spans="2:5" x14ac:dyDescent="0.3">
      <c r="B718"/>
      <c r="C718"/>
      <c r="D718"/>
      <c r="E718"/>
    </row>
    <row r="719" spans="2:5" x14ac:dyDescent="0.3">
      <c r="B719"/>
      <c r="C719"/>
      <c r="D719"/>
      <c r="E719"/>
    </row>
    <row r="720" spans="2:5" x14ac:dyDescent="0.3">
      <c r="B720"/>
      <c r="C720"/>
      <c r="D720"/>
      <c r="E720"/>
    </row>
    <row r="721" spans="2:5" x14ac:dyDescent="0.3">
      <c r="B721"/>
      <c r="C721"/>
      <c r="D721"/>
      <c r="E721"/>
    </row>
    <row r="722" spans="2:5" x14ac:dyDescent="0.3">
      <c r="B722"/>
      <c r="C722"/>
      <c r="D722"/>
      <c r="E722"/>
    </row>
    <row r="723" spans="2:5" x14ac:dyDescent="0.3">
      <c r="B723"/>
      <c r="C723"/>
      <c r="D723"/>
      <c r="E723"/>
    </row>
    <row r="724" spans="2:5" x14ac:dyDescent="0.3">
      <c r="B724"/>
      <c r="C724"/>
      <c r="D724"/>
      <c r="E724"/>
    </row>
    <row r="725" spans="2:5" x14ac:dyDescent="0.3">
      <c r="B725"/>
      <c r="C725"/>
      <c r="D725"/>
      <c r="E725"/>
    </row>
    <row r="726" spans="2:5" x14ac:dyDescent="0.3">
      <c r="B726"/>
      <c r="C726"/>
      <c r="D726"/>
      <c r="E726"/>
    </row>
    <row r="727" spans="2:5" x14ac:dyDescent="0.3">
      <c r="B727"/>
      <c r="C727"/>
      <c r="D727"/>
      <c r="E727"/>
    </row>
    <row r="728" spans="2:5" x14ac:dyDescent="0.3">
      <c r="B728"/>
      <c r="C728"/>
      <c r="D728"/>
      <c r="E728"/>
    </row>
    <row r="729" spans="2:5" x14ac:dyDescent="0.3">
      <c r="B729"/>
      <c r="C729"/>
      <c r="D729"/>
      <c r="E729"/>
    </row>
    <row r="730" spans="2:5" x14ac:dyDescent="0.3">
      <c r="B730"/>
      <c r="C730"/>
      <c r="D730"/>
      <c r="E730"/>
    </row>
    <row r="731" spans="2:5" x14ac:dyDescent="0.3">
      <c r="B731"/>
      <c r="C731"/>
      <c r="D731"/>
      <c r="E731"/>
    </row>
    <row r="732" spans="2:5" x14ac:dyDescent="0.3">
      <c r="B732"/>
      <c r="C732"/>
      <c r="D732"/>
      <c r="E732"/>
    </row>
    <row r="733" spans="2:5" x14ac:dyDescent="0.3">
      <c r="B733"/>
      <c r="C733"/>
      <c r="D733"/>
      <c r="E733"/>
    </row>
    <row r="734" spans="2:5" x14ac:dyDescent="0.3">
      <c r="B734"/>
      <c r="C734"/>
      <c r="D734"/>
      <c r="E734"/>
    </row>
    <row r="735" spans="2:5" x14ac:dyDescent="0.3">
      <c r="B735"/>
      <c r="C735"/>
      <c r="D735"/>
      <c r="E735"/>
    </row>
    <row r="736" spans="2:5" x14ac:dyDescent="0.3">
      <c r="B736"/>
      <c r="C736"/>
      <c r="D736"/>
      <c r="E736"/>
    </row>
    <row r="737" spans="2:5" x14ac:dyDescent="0.3">
      <c r="B737"/>
      <c r="C737"/>
      <c r="D737"/>
      <c r="E737"/>
    </row>
    <row r="738" spans="2:5" x14ac:dyDescent="0.3">
      <c r="B738"/>
      <c r="C738"/>
      <c r="D738"/>
      <c r="E738"/>
    </row>
    <row r="739" spans="2:5" x14ac:dyDescent="0.3">
      <c r="B739"/>
      <c r="C739"/>
      <c r="D739"/>
      <c r="E739"/>
    </row>
    <row r="740" spans="2:5" x14ac:dyDescent="0.3">
      <c r="B740"/>
      <c r="C740"/>
      <c r="D740"/>
      <c r="E740"/>
    </row>
    <row r="741" spans="2:5" x14ac:dyDescent="0.3">
      <c r="B741"/>
      <c r="C741"/>
      <c r="D741"/>
      <c r="E741"/>
    </row>
    <row r="742" spans="2:5" x14ac:dyDescent="0.3">
      <c r="B742"/>
      <c r="C742"/>
      <c r="D742"/>
      <c r="E742"/>
    </row>
    <row r="743" spans="2:5" x14ac:dyDescent="0.3">
      <c r="B743"/>
      <c r="C743"/>
      <c r="D743"/>
      <c r="E743"/>
    </row>
    <row r="744" spans="2:5" x14ac:dyDescent="0.3">
      <c r="B744"/>
      <c r="C744"/>
      <c r="D744"/>
      <c r="E744"/>
    </row>
    <row r="745" spans="2:5" x14ac:dyDescent="0.3">
      <c r="B745"/>
      <c r="C745"/>
      <c r="D745"/>
      <c r="E745"/>
    </row>
    <row r="746" spans="2:5" x14ac:dyDescent="0.3">
      <c r="B746"/>
      <c r="C746"/>
      <c r="D746"/>
      <c r="E746"/>
    </row>
    <row r="747" spans="2:5" x14ac:dyDescent="0.3">
      <c r="B747"/>
      <c r="C747"/>
      <c r="D747"/>
      <c r="E747"/>
    </row>
    <row r="748" spans="2:5" x14ac:dyDescent="0.3">
      <c r="B748"/>
      <c r="C748"/>
      <c r="D748"/>
      <c r="E748"/>
    </row>
    <row r="749" spans="2:5" x14ac:dyDescent="0.3">
      <c r="B749"/>
      <c r="C749"/>
      <c r="D749"/>
      <c r="E749"/>
    </row>
    <row r="750" spans="2:5" x14ac:dyDescent="0.3">
      <c r="B750"/>
      <c r="C750"/>
      <c r="D750"/>
      <c r="E750"/>
    </row>
    <row r="751" spans="2:5" x14ac:dyDescent="0.3">
      <c r="B751"/>
      <c r="C751"/>
      <c r="D751"/>
      <c r="E751"/>
    </row>
    <row r="752" spans="2:5" x14ac:dyDescent="0.3">
      <c r="B752"/>
      <c r="C752"/>
      <c r="D752"/>
      <c r="E752"/>
    </row>
    <row r="753" spans="2:5" x14ac:dyDescent="0.3">
      <c r="B753"/>
      <c r="C753"/>
      <c r="D753"/>
      <c r="E753"/>
    </row>
    <row r="754" spans="2:5" x14ac:dyDescent="0.3">
      <c r="B754"/>
      <c r="C754"/>
      <c r="D754"/>
      <c r="E754"/>
    </row>
    <row r="755" spans="2:5" x14ac:dyDescent="0.3">
      <c r="B755"/>
      <c r="C755"/>
      <c r="D755"/>
      <c r="E755"/>
    </row>
    <row r="756" spans="2:5" x14ac:dyDescent="0.3">
      <c r="B756"/>
      <c r="C756"/>
      <c r="D756"/>
      <c r="E756"/>
    </row>
    <row r="757" spans="2:5" x14ac:dyDescent="0.3">
      <c r="B757"/>
      <c r="C757"/>
      <c r="D757"/>
      <c r="E757"/>
    </row>
    <row r="758" spans="2:5" x14ac:dyDescent="0.3">
      <c r="B758"/>
      <c r="C758"/>
      <c r="D758"/>
      <c r="E758"/>
    </row>
    <row r="759" spans="2:5" x14ac:dyDescent="0.3">
      <c r="B759"/>
      <c r="C759"/>
      <c r="D759"/>
      <c r="E759"/>
    </row>
    <row r="760" spans="2:5" x14ac:dyDescent="0.3">
      <c r="B760"/>
      <c r="C760"/>
      <c r="D760"/>
      <c r="E760"/>
    </row>
    <row r="761" spans="2:5" x14ac:dyDescent="0.3">
      <c r="B761"/>
      <c r="C761"/>
      <c r="D761"/>
      <c r="E761"/>
    </row>
    <row r="762" spans="2:5" x14ac:dyDescent="0.3">
      <c r="B762"/>
      <c r="C762"/>
      <c r="D762"/>
      <c r="E762"/>
    </row>
    <row r="763" spans="2:5" x14ac:dyDescent="0.3">
      <c r="B763"/>
      <c r="C763"/>
      <c r="D763"/>
      <c r="E763"/>
    </row>
    <row r="764" spans="2:5" x14ac:dyDescent="0.3">
      <c r="B764"/>
      <c r="C764"/>
      <c r="D764"/>
      <c r="E764"/>
    </row>
    <row r="765" spans="2:5" x14ac:dyDescent="0.3">
      <c r="B765"/>
      <c r="C765"/>
      <c r="D765"/>
      <c r="E765"/>
    </row>
    <row r="766" spans="2:5" x14ac:dyDescent="0.3">
      <c r="B766"/>
      <c r="C766"/>
      <c r="D766"/>
      <c r="E766"/>
    </row>
    <row r="767" spans="2:5" x14ac:dyDescent="0.3">
      <c r="B767"/>
      <c r="C767"/>
      <c r="D767"/>
      <c r="E767"/>
    </row>
    <row r="768" spans="2:5" x14ac:dyDescent="0.3">
      <c r="B768"/>
      <c r="C768"/>
      <c r="D768"/>
      <c r="E768"/>
    </row>
    <row r="769" spans="2:5" x14ac:dyDescent="0.3">
      <c r="B769"/>
      <c r="C769"/>
      <c r="D769"/>
      <c r="E769"/>
    </row>
    <row r="770" spans="2:5" x14ac:dyDescent="0.3">
      <c r="B770"/>
      <c r="C770"/>
      <c r="D770"/>
      <c r="E770"/>
    </row>
    <row r="771" spans="2:5" x14ac:dyDescent="0.3">
      <c r="B771"/>
      <c r="C771"/>
      <c r="D771"/>
      <c r="E771"/>
    </row>
    <row r="772" spans="2:5" x14ac:dyDescent="0.3">
      <c r="B772"/>
      <c r="C772"/>
      <c r="D772"/>
      <c r="E772"/>
    </row>
    <row r="773" spans="2:5" x14ac:dyDescent="0.3">
      <c r="B773"/>
      <c r="C773"/>
      <c r="D773"/>
      <c r="E773"/>
    </row>
    <row r="774" spans="2:5" x14ac:dyDescent="0.3">
      <c r="B774"/>
      <c r="C774"/>
      <c r="D774"/>
      <c r="E774"/>
    </row>
    <row r="775" spans="2:5" x14ac:dyDescent="0.3">
      <c r="B775"/>
      <c r="C775"/>
      <c r="D775"/>
      <c r="E775"/>
    </row>
    <row r="776" spans="2:5" x14ac:dyDescent="0.3">
      <c r="B776"/>
      <c r="C776"/>
      <c r="D776"/>
      <c r="E776"/>
    </row>
    <row r="777" spans="2:5" x14ac:dyDescent="0.3">
      <c r="B777"/>
      <c r="C777"/>
      <c r="D777"/>
      <c r="E777"/>
    </row>
    <row r="778" spans="2:5" x14ac:dyDescent="0.3">
      <c r="B778"/>
      <c r="C778"/>
      <c r="D778"/>
      <c r="E778"/>
    </row>
    <row r="779" spans="2:5" x14ac:dyDescent="0.3">
      <c r="B779"/>
      <c r="C779"/>
      <c r="D779"/>
      <c r="E779"/>
    </row>
    <row r="780" spans="2:5" x14ac:dyDescent="0.3">
      <c r="B780"/>
      <c r="C780"/>
      <c r="D780"/>
      <c r="E780"/>
    </row>
    <row r="781" spans="2:5" x14ac:dyDescent="0.3">
      <c r="B781"/>
      <c r="C781"/>
      <c r="D781"/>
      <c r="E781"/>
    </row>
    <row r="782" spans="2:5" x14ac:dyDescent="0.3">
      <c r="B782"/>
      <c r="C782"/>
      <c r="D782"/>
      <c r="E782"/>
    </row>
    <row r="783" spans="2:5" x14ac:dyDescent="0.3">
      <c r="B783"/>
      <c r="C783"/>
      <c r="D783"/>
      <c r="E783"/>
    </row>
    <row r="784" spans="2:5" x14ac:dyDescent="0.3">
      <c r="B784"/>
      <c r="C784"/>
      <c r="D784"/>
      <c r="E784"/>
    </row>
    <row r="785" spans="2:5" x14ac:dyDescent="0.3">
      <c r="B785"/>
      <c r="C785"/>
      <c r="D785"/>
      <c r="E785"/>
    </row>
    <row r="786" spans="2:5" x14ac:dyDescent="0.3">
      <c r="B786"/>
      <c r="C786"/>
      <c r="D786"/>
      <c r="E786"/>
    </row>
    <row r="787" spans="2:5" x14ac:dyDescent="0.3">
      <c r="B787"/>
      <c r="C787"/>
      <c r="D787"/>
      <c r="E787"/>
    </row>
    <row r="788" spans="2:5" x14ac:dyDescent="0.3">
      <c r="B788"/>
      <c r="C788"/>
      <c r="D788"/>
      <c r="E788"/>
    </row>
    <row r="789" spans="2:5" x14ac:dyDescent="0.3">
      <c r="B789"/>
      <c r="C789"/>
      <c r="D789"/>
      <c r="E789"/>
    </row>
    <row r="790" spans="2:5" x14ac:dyDescent="0.3">
      <c r="B790"/>
      <c r="C790"/>
      <c r="D790"/>
      <c r="E790"/>
    </row>
    <row r="791" spans="2:5" x14ac:dyDescent="0.3">
      <c r="B791"/>
      <c r="C791"/>
      <c r="D791"/>
      <c r="E791"/>
    </row>
    <row r="792" spans="2:5" x14ac:dyDescent="0.3">
      <c r="B792"/>
      <c r="C792"/>
      <c r="D792"/>
      <c r="E792"/>
    </row>
    <row r="793" spans="2:5" x14ac:dyDescent="0.3">
      <c r="B793"/>
      <c r="C793"/>
      <c r="D793"/>
      <c r="E793"/>
    </row>
    <row r="794" spans="2:5" x14ac:dyDescent="0.3">
      <c r="B794"/>
      <c r="C794"/>
      <c r="D794"/>
      <c r="E794"/>
    </row>
    <row r="795" spans="2:5" x14ac:dyDescent="0.3">
      <c r="B795"/>
      <c r="C795"/>
      <c r="D795"/>
      <c r="E795"/>
    </row>
    <row r="796" spans="2:5" x14ac:dyDescent="0.3">
      <c r="B796"/>
      <c r="C796"/>
      <c r="D796"/>
      <c r="E796"/>
    </row>
    <row r="797" spans="2:5" x14ac:dyDescent="0.3">
      <c r="B797"/>
      <c r="C797"/>
      <c r="D797"/>
      <c r="E797"/>
    </row>
    <row r="798" spans="2:5" x14ac:dyDescent="0.3">
      <c r="B798"/>
      <c r="C798"/>
      <c r="D798"/>
      <c r="E798"/>
    </row>
    <row r="799" spans="2:5" x14ac:dyDescent="0.3">
      <c r="B799"/>
      <c r="C799"/>
      <c r="D799"/>
      <c r="E799"/>
    </row>
    <row r="800" spans="2:5" x14ac:dyDescent="0.3">
      <c r="B800"/>
      <c r="C800"/>
      <c r="D800"/>
      <c r="E800"/>
    </row>
    <row r="801" spans="2:5" x14ac:dyDescent="0.3">
      <c r="B801"/>
      <c r="C801"/>
      <c r="D801"/>
      <c r="E801"/>
    </row>
    <row r="802" spans="2:5" x14ac:dyDescent="0.3">
      <c r="B802"/>
      <c r="C802"/>
      <c r="D802"/>
      <c r="E802"/>
    </row>
    <row r="803" spans="2:5" x14ac:dyDescent="0.3">
      <c r="B803"/>
      <c r="C803"/>
      <c r="D803"/>
      <c r="E803"/>
    </row>
    <row r="804" spans="2:5" x14ac:dyDescent="0.3">
      <c r="B804"/>
      <c r="C804"/>
      <c r="D804"/>
      <c r="E804"/>
    </row>
    <row r="805" spans="2:5" x14ac:dyDescent="0.3">
      <c r="B805"/>
      <c r="C805"/>
      <c r="D805"/>
      <c r="E805"/>
    </row>
    <row r="806" spans="2:5" x14ac:dyDescent="0.3">
      <c r="B806"/>
      <c r="C806"/>
      <c r="D806"/>
      <c r="E806"/>
    </row>
    <row r="807" spans="2:5" x14ac:dyDescent="0.3">
      <c r="B807"/>
      <c r="C807"/>
      <c r="D807"/>
      <c r="E807"/>
    </row>
    <row r="808" spans="2:5" x14ac:dyDescent="0.3">
      <c r="B808"/>
      <c r="C808"/>
      <c r="D808"/>
      <c r="E808"/>
    </row>
    <row r="809" spans="2:5" x14ac:dyDescent="0.3">
      <c r="B809"/>
      <c r="C809"/>
      <c r="D809"/>
      <c r="E809"/>
    </row>
    <row r="810" spans="2:5" x14ac:dyDescent="0.3">
      <c r="B810"/>
      <c r="C810"/>
      <c r="D810"/>
      <c r="E810"/>
    </row>
    <row r="811" spans="2:5" x14ac:dyDescent="0.3">
      <c r="B811"/>
      <c r="C811"/>
      <c r="D811"/>
      <c r="E811"/>
    </row>
    <row r="812" spans="2:5" x14ac:dyDescent="0.3">
      <c r="B812"/>
      <c r="C812"/>
      <c r="D812"/>
      <c r="E812"/>
    </row>
    <row r="813" spans="2:5" x14ac:dyDescent="0.3">
      <c r="B813"/>
      <c r="C813"/>
      <c r="D813"/>
      <c r="E813"/>
    </row>
    <row r="814" spans="2:5" x14ac:dyDescent="0.3">
      <c r="B814"/>
      <c r="C814"/>
      <c r="D814"/>
      <c r="E814"/>
    </row>
    <row r="815" spans="2:5" x14ac:dyDescent="0.3">
      <c r="B815"/>
      <c r="C815"/>
      <c r="D815"/>
      <c r="E815"/>
    </row>
    <row r="816" spans="2:5" x14ac:dyDescent="0.3">
      <c r="B816"/>
      <c r="C816"/>
      <c r="D816"/>
      <c r="E816"/>
    </row>
    <row r="817" spans="2:5" x14ac:dyDescent="0.3">
      <c r="B817"/>
      <c r="C817"/>
      <c r="D817"/>
      <c r="E817"/>
    </row>
    <row r="818" spans="2:5" x14ac:dyDescent="0.3">
      <c r="B818"/>
      <c r="C818"/>
      <c r="D818"/>
      <c r="E818"/>
    </row>
    <row r="819" spans="2:5" x14ac:dyDescent="0.3">
      <c r="B819"/>
      <c r="C819"/>
      <c r="D819"/>
      <c r="E819"/>
    </row>
    <row r="820" spans="2:5" x14ac:dyDescent="0.3">
      <c r="B820"/>
      <c r="C820"/>
      <c r="D820"/>
      <c r="E820"/>
    </row>
    <row r="821" spans="2:5" x14ac:dyDescent="0.3">
      <c r="B821"/>
      <c r="C821"/>
      <c r="D821"/>
      <c r="E821"/>
    </row>
    <row r="822" spans="2:5" x14ac:dyDescent="0.3">
      <c r="B822"/>
      <c r="C822"/>
      <c r="D822"/>
      <c r="E822"/>
    </row>
    <row r="823" spans="2:5" x14ac:dyDescent="0.3">
      <c r="B823"/>
      <c r="C823"/>
      <c r="D823"/>
      <c r="E823"/>
    </row>
    <row r="824" spans="2:5" x14ac:dyDescent="0.3">
      <c r="B824"/>
      <c r="C824"/>
      <c r="D824"/>
      <c r="E824"/>
    </row>
    <row r="825" spans="2:5" x14ac:dyDescent="0.3">
      <c r="B825"/>
      <c r="C825"/>
      <c r="D825"/>
      <c r="E825"/>
    </row>
    <row r="826" spans="2:5" x14ac:dyDescent="0.3">
      <c r="B826"/>
      <c r="C826"/>
      <c r="D826"/>
      <c r="E826"/>
    </row>
    <row r="827" spans="2:5" x14ac:dyDescent="0.3">
      <c r="B827"/>
      <c r="C827"/>
      <c r="D827"/>
      <c r="E827"/>
    </row>
    <row r="828" spans="2:5" x14ac:dyDescent="0.3">
      <c r="B828"/>
      <c r="C828"/>
      <c r="D828"/>
      <c r="E828"/>
    </row>
    <row r="829" spans="2:5" x14ac:dyDescent="0.3">
      <c r="B829"/>
      <c r="C829"/>
      <c r="D829"/>
      <c r="E829"/>
    </row>
    <row r="830" spans="2:5" x14ac:dyDescent="0.3">
      <c r="B830"/>
      <c r="C830"/>
      <c r="D830"/>
      <c r="E830"/>
    </row>
    <row r="831" spans="2:5" x14ac:dyDescent="0.3">
      <c r="B831"/>
      <c r="C831"/>
      <c r="D831"/>
      <c r="E831"/>
    </row>
    <row r="832" spans="2:5" x14ac:dyDescent="0.3">
      <c r="B832"/>
      <c r="C832"/>
      <c r="D832"/>
      <c r="E832"/>
    </row>
    <row r="833" spans="2:5" x14ac:dyDescent="0.3">
      <c r="B833"/>
      <c r="C833"/>
      <c r="D833"/>
      <c r="E833"/>
    </row>
    <row r="834" spans="2:5" x14ac:dyDescent="0.3">
      <c r="B834"/>
      <c r="C834"/>
      <c r="D834"/>
      <c r="E834"/>
    </row>
    <row r="835" spans="2:5" x14ac:dyDescent="0.3">
      <c r="B835"/>
      <c r="C835"/>
      <c r="D835"/>
      <c r="E835"/>
    </row>
    <row r="836" spans="2:5" x14ac:dyDescent="0.3">
      <c r="B836"/>
      <c r="C836"/>
      <c r="D836"/>
      <c r="E836"/>
    </row>
    <row r="837" spans="2:5" x14ac:dyDescent="0.3">
      <c r="B837"/>
      <c r="C837"/>
      <c r="D837"/>
      <c r="E837"/>
    </row>
    <row r="838" spans="2:5" x14ac:dyDescent="0.3">
      <c r="B838"/>
      <c r="C838"/>
      <c r="D838"/>
      <c r="E838"/>
    </row>
    <row r="839" spans="2:5" x14ac:dyDescent="0.3">
      <c r="B839"/>
      <c r="C839"/>
      <c r="D839"/>
      <c r="E839"/>
    </row>
    <row r="840" spans="2:5" x14ac:dyDescent="0.3">
      <c r="B840"/>
      <c r="C840"/>
      <c r="D840"/>
      <c r="E840"/>
    </row>
    <row r="841" spans="2:5" x14ac:dyDescent="0.3">
      <c r="B841"/>
      <c r="C841"/>
      <c r="D841"/>
      <c r="E841"/>
    </row>
    <row r="842" spans="2:5" x14ac:dyDescent="0.3">
      <c r="B842"/>
      <c r="C842"/>
      <c r="D842"/>
      <c r="E842"/>
    </row>
    <row r="843" spans="2:5" x14ac:dyDescent="0.3">
      <c r="B843"/>
      <c r="C843"/>
      <c r="D843"/>
      <c r="E843"/>
    </row>
    <row r="844" spans="2:5" x14ac:dyDescent="0.3">
      <c r="B844"/>
      <c r="C844"/>
      <c r="D844"/>
      <c r="E844"/>
    </row>
    <row r="845" spans="2:5" x14ac:dyDescent="0.3">
      <c r="B845"/>
      <c r="C845"/>
      <c r="D845"/>
      <c r="E845"/>
    </row>
    <row r="846" spans="2:5" x14ac:dyDescent="0.3">
      <c r="B846"/>
      <c r="C846"/>
      <c r="D846"/>
      <c r="E846"/>
    </row>
    <row r="847" spans="2:5" x14ac:dyDescent="0.3">
      <c r="B847"/>
      <c r="C847"/>
      <c r="D847"/>
      <c r="E847"/>
    </row>
    <row r="848" spans="2:5" x14ac:dyDescent="0.3">
      <c r="B848"/>
      <c r="C848"/>
      <c r="D848"/>
      <c r="E848"/>
    </row>
    <row r="849" spans="2:5" x14ac:dyDescent="0.3">
      <c r="B849"/>
      <c r="C849"/>
      <c r="D849"/>
      <c r="E849"/>
    </row>
    <row r="850" spans="2:5" x14ac:dyDescent="0.3">
      <c r="B850"/>
      <c r="C850"/>
      <c r="D850"/>
      <c r="E850"/>
    </row>
    <row r="851" spans="2:5" x14ac:dyDescent="0.3">
      <c r="B851"/>
      <c r="C851"/>
      <c r="D851"/>
      <c r="E851"/>
    </row>
    <row r="852" spans="2:5" x14ac:dyDescent="0.3">
      <c r="B852"/>
      <c r="C852"/>
      <c r="D852"/>
      <c r="E852"/>
    </row>
    <row r="853" spans="2:5" x14ac:dyDescent="0.3">
      <c r="B853"/>
      <c r="C853"/>
      <c r="D853"/>
      <c r="E853"/>
    </row>
    <row r="854" spans="2:5" x14ac:dyDescent="0.3">
      <c r="B854"/>
      <c r="C854"/>
      <c r="D854"/>
      <c r="E854"/>
    </row>
    <row r="855" spans="2:5" x14ac:dyDescent="0.3">
      <c r="B855"/>
      <c r="C855"/>
      <c r="D855"/>
      <c r="E855"/>
    </row>
    <row r="856" spans="2:5" x14ac:dyDescent="0.3">
      <c r="B856"/>
      <c r="C856"/>
      <c r="D856"/>
      <c r="E856"/>
    </row>
    <row r="857" spans="2:5" x14ac:dyDescent="0.3">
      <c r="B857"/>
      <c r="C857"/>
      <c r="D857"/>
      <c r="E857"/>
    </row>
    <row r="858" spans="2:5" x14ac:dyDescent="0.3">
      <c r="B858"/>
      <c r="C858"/>
      <c r="D858"/>
      <c r="E858"/>
    </row>
    <row r="859" spans="2:5" x14ac:dyDescent="0.3">
      <c r="B859"/>
      <c r="C859"/>
      <c r="D859"/>
      <c r="E859"/>
    </row>
    <row r="860" spans="2:5" x14ac:dyDescent="0.3">
      <c r="B860"/>
      <c r="C860"/>
      <c r="D860"/>
      <c r="E860"/>
    </row>
    <row r="861" spans="2:5" x14ac:dyDescent="0.3">
      <c r="B861"/>
      <c r="C861"/>
      <c r="D861"/>
      <c r="E861"/>
    </row>
    <row r="862" spans="2:5" x14ac:dyDescent="0.3">
      <c r="B862"/>
      <c r="C862"/>
      <c r="D862"/>
      <c r="E862"/>
    </row>
    <row r="863" spans="2:5" x14ac:dyDescent="0.3">
      <c r="B863"/>
      <c r="C863"/>
      <c r="D863"/>
      <c r="E863"/>
    </row>
    <row r="864" spans="2:5" x14ac:dyDescent="0.3">
      <c r="B864"/>
      <c r="C864"/>
      <c r="D864"/>
      <c r="E864"/>
    </row>
    <row r="865" spans="2:5" x14ac:dyDescent="0.3">
      <c r="B865"/>
      <c r="C865"/>
      <c r="D865"/>
      <c r="E865"/>
    </row>
    <row r="866" spans="2:5" x14ac:dyDescent="0.3">
      <c r="B866"/>
      <c r="C866"/>
      <c r="D866"/>
      <c r="E866"/>
    </row>
    <row r="867" spans="2:5" x14ac:dyDescent="0.3">
      <c r="B867"/>
      <c r="C867"/>
      <c r="D867"/>
      <c r="E867"/>
    </row>
    <row r="868" spans="2:5" x14ac:dyDescent="0.3">
      <c r="B868"/>
      <c r="C868"/>
      <c r="D868"/>
      <c r="E868"/>
    </row>
    <row r="869" spans="2:5" x14ac:dyDescent="0.3">
      <c r="B869"/>
      <c r="C869"/>
      <c r="D869"/>
      <c r="E869"/>
    </row>
    <row r="870" spans="2:5" x14ac:dyDescent="0.3">
      <c r="B870"/>
      <c r="C870"/>
      <c r="D870"/>
      <c r="E870"/>
    </row>
    <row r="871" spans="2:5" x14ac:dyDescent="0.3">
      <c r="B871"/>
      <c r="C871"/>
      <c r="D871"/>
      <c r="E871"/>
    </row>
    <row r="872" spans="2:5" x14ac:dyDescent="0.3">
      <c r="B872"/>
      <c r="C872"/>
      <c r="D872"/>
      <c r="E872"/>
    </row>
    <row r="873" spans="2:5" x14ac:dyDescent="0.3">
      <c r="B873"/>
      <c r="C873"/>
      <c r="D873"/>
      <c r="E873"/>
    </row>
    <row r="874" spans="2:5" x14ac:dyDescent="0.3">
      <c r="B874"/>
      <c r="C874"/>
      <c r="D874"/>
      <c r="E874"/>
    </row>
    <row r="875" spans="2:5" x14ac:dyDescent="0.3">
      <c r="B875"/>
      <c r="C875"/>
      <c r="D875"/>
      <c r="E875"/>
    </row>
    <row r="876" spans="2:5" x14ac:dyDescent="0.3">
      <c r="B876"/>
      <c r="C876"/>
      <c r="D876"/>
      <c r="E876"/>
    </row>
    <row r="877" spans="2:5" x14ac:dyDescent="0.3">
      <c r="B877"/>
      <c r="C877"/>
      <c r="D877"/>
      <c r="E877"/>
    </row>
    <row r="878" spans="2:5" x14ac:dyDescent="0.3">
      <c r="B878"/>
      <c r="C878"/>
      <c r="D878"/>
      <c r="E878"/>
    </row>
    <row r="879" spans="2:5" x14ac:dyDescent="0.3">
      <c r="B879"/>
      <c r="C879"/>
      <c r="D879"/>
      <c r="E879"/>
    </row>
    <row r="880" spans="2:5" x14ac:dyDescent="0.3">
      <c r="B880"/>
      <c r="C880"/>
      <c r="D880"/>
      <c r="E880"/>
    </row>
    <row r="881" spans="2:5" x14ac:dyDescent="0.3">
      <c r="B881"/>
      <c r="C881"/>
      <c r="D881"/>
      <c r="E881"/>
    </row>
    <row r="882" spans="2:5" x14ac:dyDescent="0.3">
      <c r="B882"/>
      <c r="C882"/>
      <c r="D882"/>
      <c r="E882"/>
    </row>
    <row r="883" spans="2:5" x14ac:dyDescent="0.3">
      <c r="B883"/>
      <c r="C883"/>
      <c r="D883"/>
      <c r="E883"/>
    </row>
    <row r="884" spans="2:5" x14ac:dyDescent="0.3">
      <c r="B884"/>
      <c r="C884"/>
      <c r="D884"/>
      <c r="E884"/>
    </row>
    <row r="885" spans="2:5" x14ac:dyDescent="0.3">
      <c r="B885"/>
      <c r="C885"/>
      <c r="D885"/>
      <c r="E885"/>
    </row>
    <row r="886" spans="2:5" x14ac:dyDescent="0.3">
      <c r="B886"/>
      <c r="C886"/>
      <c r="D886"/>
      <c r="E886"/>
    </row>
    <row r="887" spans="2:5" x14ac:dyDescent="0.3">
      <c r="B887"/>
      <c r="C887"/>
      <c r="D887"/>
      <c r="E887"/>
    </row>
    <row r="888" spans="2:5" x14ac:dyDescent="0.3">
      <c r="B888"/>
      <c r="C888"/>
      <c r="D888"/>
      <c r="E888"/>
    </row>
    <row r="889" spans="2:5" x14ac:dyDescent="0.3">
      <c r="B889"/>
      <c r="C889"/>
      <c r="D889"/>
      <c r="E889"/>
    </row>
    <row r="890" spans="2:5" x14ac:dyDescent="0.3">
      <c r="B890"/>
      <c r="C890"/>
      <c r="D890"/>
      <c r="E890"/>
    </row>
    <row r="891" spans="2:5" x14ac:dyDescent="0.3">
      <c r="B891"/>
      <c r="C891"/>
      <c r="D891"/>
      <c r="E891"/>
    </row>
    <row r="892" spans="2:5" x14ac:dyDescent="0.3">
      <c r="B892"/>
      <c r="C892"/>
      <c r="D892"/>
      <c r="E892"/>
    </row>
    <row r="893" spans="2:5" x14ac:dyDescent="0.3">
      <c r="B893"/>
      <c r="C893"/>
      <c r="D893"/>
      <c r="E893"/>
    </row>
    <row r="894" spans="2:5" x14ac:dyDescent="0.3">
      <c r="B894"/>
      <c r="C894"/>
      <c r="D894"/>
      <c r="E894"/>
    </row>
    <row r="895" spans="2:5" x14ac:dyDescent="0.3">
      <c r="B895"/>
      <c r="C895"/>
      <c r="D895"/>
      <c r="E895"/>
    </row>
    <row r="896" spans="2:5" x14ac:dyDescent="0.3">
      <c r="B896"/>
      <c r="C896"/>
      <c r="D896"/>
      <c r="E896"/>
    </row>
    <row r="897" spans="2:5" x14ac:dyDescent="0.3">
      <c r="B897"/>
      <c r="C897"/>
      <c r="D897"/>
      <c r="E897"/>
    </row>
    <row r="898" spans="2:5" x14ac:dyDescent="0.3">
      <c r="B898"/>
      <c r="C898"/>
      <c r="D898"/>
      <c r="E898"/>
    </row>
    <row r="899" spans="2:5" x14ac:dyDescent="0.3">
      <c r="B899"/>
      <c r="C899"/>
      <c r="D899"/>
      <c r="E899"/>
    </row>
    <row r="900" spans="2:5" x14ac:dyDescent="0.3">
      <c r="B900"/>
      <c r="C900"/>
      <c r="D900"/>
      <c r="E900"/>
    </row>
    <row r="901" spans="2:5" x14ac:dyDescent="0.3">
      <c r="B901"/>
      <c r="C901"/>
      <c r="D901"/>
      <c r="E901"/>
    </row>
    <row r="902" spans="2:5" x14ac:dyDescent="0.3">
      <c r="B902"/>
      <c r="C902"/>
      <c r="D902"/>
      <c r="E902"/>
    </row>
    <row r="903" spans="2:5" x14ac:dyDescent="0.3">
      <c r="B903"/>
      <c r="C903"/>
      <c r="D903"/>
      <c r="E903"/>
    </row>
    <row r="904" spans="2:5" x14ac:dyDescent="0.3">
      <c r="B904"/>
      <c r="C904"/>
      <c r="D904"/>
      <c r="E904"/>
    </row>
    <row r="905" spans="2:5" x14ac:dyDescent="0.3">
      <c r="B905"/>
      <c r="C905"/>
      <c r="D905"/>
      <c r="E905"/>
    </row>
    <row r="906" spans="2:5" x14ac:dyDescent="0.3">
      <c r="B906"/>
      <c r="C906"/>
      <c r="D906"/>
      <c r="E906"/>
    </row>
    <row r="907" spans="2:5" x14ac:dyDescent="0.3">
      <c r="B907"/>
      <c r="C907"/>
      <c r="D907"/>
      <c r="E907"/>
    </row>
    <row r="908" spans="2:5" x14ac:dyDescent="0.3">
      <c r="B908"/>
      <c r="C908"/>
      <c r="D908"/>
      <c r="E908"/>
    </row>
    <row r="909" spans="2:5" x14ac:dyDescent="0.3">
      <c r="B909"/>
      <c r="C909"/>
      <c r="D909"/>
      <c r="E909"/>
    </row>
    <row r="910" spans="2:5" x14ac:dyDescent="0.3">
      <c r="B910"/>
      <c r="C910"/>
      <c r="D910"/>
      <c r="E910"/>
    </row>
    <row r="911" spans="2:5" x14ac:dyDescent="0.3">
      <c r="B911"/>
      <c r="C911"/>
      <c r="D911"/>
      <c r="E911"/>
    </row>
    <row r="912" spans="2:5" x14ac:dyDescent="0.3">
      <c r="B912"/>
      <c r="C912"/>
      <c r="D912"/>
      <c r="E912"/>
    </row>
    <row r="913" spans="2:5" x14ac:dyDescent="0.3">
      <c r="B913"/>
      <c r="C913"/>
      <c r="D913"/>
      <c r="E913"/>
    </row>
    <row r="914" spans="2:5" x14ac:dyDescent="0.3">
      <c r="B914"/>
      <c r="C914"/>
      <c r="D914"/>
      <c r="E914"/>
    </row>
    <row r="915" spans="2:5" x14ac:dyDescent="0.3">
      <c r="B915"/>
      <c r="C915"/>
      <c r="D915"/>
      <c r="E915"/>
    </row>
    <row r="916" spans="2:5" x14ac:dyDescent="0.3">
      <c r="B916"/>
      <c r="C916"/>
      <c r="D916"/>
      <c r="E916"/>
    </row>
    <row r="917" spans="2:5" x14ac:dyDescent="0.3">
      <c r="B917"/>
      <c r="C917"/>
      <c r="D917"/>
      <c r="E917"/>
    </row>
    <row r="918" spans="2:5" x14ac:dyDescent="0.3">
      <c r="B918"/>
      <c r="C918"/>
      <c r="D918"/>
      <c r="E918"/>
    </row>
    <row r="919" spans="2:5" x14ac:dyDescent="0.3">
      <c r="B919"/>
      <c r="C919"/>
      <c r="D919"/>
      <c r="E919"/>
    </row>
    <row r="920" spans="2:5" x14ac:dyDescent="0.3">
      <c r="B920"/>
      <c r="C920"/>
      <c r="D920"/>
      <c r="E920"/>
    </row>
    <row r="921" spans="2:5" x14ac:dyDescent="0.3">
      <c r="B921"/>
      <c r="C921"/>
      <c r="D921"/>
      <c r="E921"/>
    </row>
    <row r="922" spans="2:5" x14ac:dyDescent="0.3">
      <c r="B922"/>
      <c r="C922"/>
      <c r="D922"/>
      <c r="E922"/>
    </row>
    <row r="923" spans="2:5" x14ac:dyDescent="0.3">
      <c r="B923"/>
      <c r="C923"/>
      <c r="D923"/>
      <c r="E923"/>
    </row>
    <row r="924" spans="2:5" x14ac:dyDescent="0.3">
      <c r="B924"/>
      <c r="C924"/>
      <c r="D924"/>
      <c r="E924"/>
    </row>
    <row r="925" spans="2:5" x14ac:dyDescent="0.3">
      <c r="B925"/>
      <c r="C925"/>
      <c r="D925"/>
      <c r="E925"/>
    </row>
    <row r="926" spans="2:5" x14ac:dyDescent="0.3">
      <c r="B926"/>
      <c r="C926"/>
      <c r="D926"/>
      <c r="E926"/>
    </row>
    <row r="927" spans="2:5" x14ac:dyDescent="0.3">
      <c r="B927"/>
      <c r="C927"/>
      <c r="D927"/>
      <c r="E927"/>
    </row>
    <row r="928" spans="2:5" x14ac:dyDescent="0.3">
      <c r="B928"/>
      <c r="C928"/>
      <c r="D928"/>
      <c r="E928"/>
    </row>
    <row r="929" spans="2:5" x14ac:dyDescent="0.3">
      <c r="B929"/>
      <c r="C929"/>
      <c r="D929"/>
      <c r="E929"/>
    </row>
    <row r="930" spans="2:5" x14ac:dyDescent="0.3">
      <c r="B930"/>
      <c r="C930"/>
      <c r="D930"/>
      <c r="E930"/>
    </row>
    <row r="931" spans="2:5" x14ac:dyDescent="0.3">
      <c r="B931"/>
      <c r="C931"/>
      <c r="D931"/>
      <c r="E931"/>
    </row>
    <row r="932" spans="2:5" x14ac:dyDescent="0.3">
      <c r="B932"/>
      <c r="C932"/>
      <c r="D932"/>
      <c r="E932"/>
    </row>
    <row r="933" spans="2:5" x14ac:dyDescent="0.3">
      <c r="B933"/>
      <c r="C933"/>
      <c r="D933"/>
      <c r="E933"/>
    </row>
    <row r="934" spans="2:5" x14ac:dyDescent="0.3">
      <c r="B934"/>
      <c r="C934"/>
      <c r="D934"/>
      <c r="E934"/>
    </row>
    <row r="935" spans="2:5" x14ac:dyDescent="0.3">
      <c r="B935"/>
      <c r="C935"/>
      <c r="D935"/>
      <c r="E935"/>
    </row>
    <row r="936" spans="2:5" x14ac:dyDescent="0.3">
      <c r="B936"/>
      <c r="C936"/>
      <c r="D936"/>
      <c r="E936"/>
    </row>
    <row r="937" spans="2:5" x14ac:dyDescent="0.3">
      <c r="B937"/>
      <c r="C937"/>
      <c r="D937"/>
      <c r="E937"/>
    </row>
    <row r="938" spans="2:5" x14ac:dyDescent="0.3">
      <c r="B938"/>
      <c r="C938"/>
      <c r="D938"/>
      <c r="E938"/>
    </row>
    <row r="939" spans="2:5" x14ac:dyDescent="0.3">
      <c r="B939"/>
      <c r="C939"/>
      <c r="D939"/>
      <c r="E939"/>
    </row>
    <row r="940" spans="2:5" x14ac:dyDescent="0.3">
      <c r="B940"/>
      <c r="C940"/>
      <c r="D940"/>
      <c r="E940"/>
    </row>
    <row r="941" spans="2:5" x14ac:dyDescent="0.3">
      <c r="B941"/>
      <c r="C941"/>
      <c r="D941"/>
      <c r="E941"/>
    </row>
    <row r="942" spans="2:5" x14ac:dyDescent="0.3">
      <c r="B942"/>
      <c r="C942"/>
      <c r="D942"/>
      <c r="E942"/>
    </row>
    <row r="943" spans="2:5" x14ac:dyDescent="0.3">
      <c r="B943"/>
      <c r="C943"/>
      <c r="D943"/>
      <c r="E943"/>
    </row>
    <row r="944" spans="2:5" x14ac:dyDescent="0.3">
      <c r="B944"/>
      <c r="C944"/>
      <c r="D944"/>
      <c r="E944"/>
    </row>
    <row r="945" spans="2:5" x14ac:dyDescent="0.3">
      <c r="B945"/>
      <c r="C945"/>
      <c r="D945"/>
      <c r="E945"/>
    </row>
    <row r="946" spans="2:5" x14ac:dyDescent="0.3">
      <c r="B946"/>
      <c r="C946"/>
      <c r="D946"/>
      <c r="E946"/>
    </row>
    <row r="947" spans="2:5" x14ac:dyDescent="0.3">
      <c r="B947"/>
      <c r="C947"/>
      <c r="D947"/>
      <c r="E947"/>
    </row>
    <row r="948" spans="2:5" x14ac:dyDescent="0.3">
      <c r="B948"/>
      <c r="C948"/>
      <c r="D948"/>
      <c r="E948"/>
    </row>
    <row r="949" spans="2:5" x14ac:dyDescent="0.3">
      <c r="B949"/>
      <c r="C949"/>
      <c r="D949"/>
      <c r="E949"/>
    </row>
    <row r="950" spans="2:5" x14ac:dyDescent="0.3">
      <c r="B950"/>
      <c r="C950"/>
      <c r="D950"/>
      <c r="E950"/>
    </row>
    <row r="951" spans="2:5" x14ac:dyDescent="0.3">
      <c r="B951"/>
      <c r="C951"/>
      <c r="D951"/>
      <c r="E951"/>
    </row>
    <row r="952" spans="2:5" x14ac:dyDescent="0.3">
      <c r="B952"/>
      <c r="C952"/>
      <c r="D952"/>
      <c r="E952"/>
    </row>
    <row r="953" spans="2:5" x14ac:dyDescent="0.3">
      <c r="B953"/>
      <c r="C953"/>
      <c r="D953"/>
      <c r="E953"/>
    </row>
    <row r="954" spans="2:5" x14ac:dyDescent="0.3">
      <c r="B954"/>
      <c r="C954"/>
      <c r="D954"/>
      <c r="E954"/>
    </row>
    <row r="955" spans="2:5" x14ac:dyDescent="0.3">
      <c r="B955"/>
      <c r="C955"/>
      <c r="D955"/>
      <c r="E955"/>
    </row>
    <row r="956" spans="2:5" x14ac:dyDescent="0.3">
      <c r="B956"/>
      <c r="C956"/>
      <c r="D956"/>
      <c r="E956"/>
    </row>
    <row r="957" spans="2:5" x14ac:dyDescent="0.3">
      <c r="B957"/>
      <c r="C957"/>
      <c r="D957"/>
      <c r="E957"/>
    </row>
    <row r="958" spans="2:5" x14ac:dyDescent="0.3">
      <c r="B958"/>
      <c r="C958"/>
      <c r="D958"/>
      <c r="E958"/>
    </row>
    <row r="959" spans="2:5" x14ac:dyDescent="0.3">
      <c r="B959"/>
      <c r="C959"/>
      <c r="D959"/>
      <c r="E959"/>
    </row>
    <row r="960" spans="2:5" x14ac:dyDescent="0.3">
      <c r="B960"/>
      <c r="C960"/>
      <c r="D960"/>
      <c r="E960"/>
    </row>
    <row r="961" spans="2:5" x14ac:dyDescent="0.3">
      <c r="B961"/>
      <c r="C961"/>
      <c r="D961"/>
      <c r="E961"/>
    </row>
    <row r="962" spans="2:5" x14ac:dyDescent="0.3">
      <c r="B962"/>
      <c r="C962"/>
      <c r="D962"/>
      <c r="E962"/>
    </row>
    <row r="963" spans="2:5" x14ac:dyDescent="0.3">
      <c r="B963"/>
      <c r="C963"/>
      <c r="D963"/>
      <c r="E963"/>
    </row>
    <row r="964" spans="2:5" x14ac:dyDescent="0.3">
      <c r="B964"/>
      <c r="C964"/>
      <c r="D964"/>
      <c r="E964"/>
    </row>
    <row r="965" spans="2:5" x14ac:dyDescent="0.3">
      <c r="B965"/>
      <c r="C965"/>
      <c r="D965"/>
      <c r="E965"/>
    </row>
    <row r="966" spans="2:5" x14ac:dyDescent="0.3">
      <c r="B966"/>
      <c r="C966"/>
      <c r="D966"/>
      <c r="E966"/>
    </row>
    <row r="967" spans="2:5" x14ac:dyDescent="0.3">
      <c r="B967"/>
      <c r="C967"/>
      <c r="D967"/>
      <c r="E967"/>
    </row>
    <row r="968" spans="2:5" x14ac:dyDescent="0.3">
      <c r="B968"/>
      <c r="C968"/>
      <c r="D968"/>
      <c r="E968"/>
    </row>
    <row r="969" spans="2:5" x14ac:dyDescent="0.3">
      <c r="B969"/>
      <c r="C969"/>
      <c r="D969"/>
      <c r="E969"/>
    </row>
    <row r="970" spans="2:5" x14ac:dyDescent="0.3">
      <c r="B970"/>
      <c r="C970"/>
      <c r="D970"/>
      <c r="E970"/>
    </row>
    <row r="971" spans="2:5" x14ac:dyDescent="0.3">
      <c r="B971"/>
      <c r="C971"/>
      <c r="D971"/>
      <c r="E971"/>
    </row>
    <row r="972" spans="2:5" x14ac:dyDescent="0.3">
      <c r="B972"/>
      <c r="C972"/>
      <c r="D972"/>
      <c r="E972"/>
    </row>
    <row r="973" spans="2:5" x14ac:dyDescent="0.3">
      <c r="B973"/>
      <c r="C973"/>
      <c r="D973"/>
      <c r="E973"/>
    </row>
    <row r="974" spans="2:5" x14ac:dyDescent="0.3">
      <c r="B974"/>
      <c r="C974"/>
      <c r="D974"/>
      <c r="E974"/>
    </row>
    <row r="975" spans="2:5" x14ac:dyDescent="0.3">
      <c r="B975"/>
      <c r="C975"/>
      <c r="D975"/>
      <c r="E975"/>
    </row>
    <row r="976" spans="2:5" x14ac:dyDescent="0.3">
      <c r="B976"/>
      <c r="C976"/>
      <c r="D976"/>
      <c r="E976"/>
    </row>
    <row r="977" spans="2:5" x14ac:dyDescent="0.3">
      <c r="B977"/>
      <c r="C977"/>
      <c r="D977"/>
      <c r="E977"/>
    </row>
    <row r="978" spans="2:5" x14ac:dyDescent="0.3">
      <c r="B978"/>
      <c r="C978"/>
      <c r="D978"/>
      <c r="E978"/>
    </row>
    <row r="979" spans="2:5" x14ac:dyDescent="0.3">
      <c r="B979"/>
      <c r="C979"/>
      <c r="D979"/>
      <c r="E979"/>
    </row>
    <row r="980" spans="2:5" x14ac:dyDescent="0.3">
      <c r="B980"/>
      <c r="C980"/>
      <c r="D980"/>
      <c r="E980"/>
    </row>
    <row r="981" spans="2:5" x14ac:dyDescent="0.3">
      <c r="B981"/>
      <c r="C981"/>
      <c r="D981"/>
      <c r="E981"/>
    </row>
    <row r="982" spans="2:5" x14ac:dyDescent="0.3">
      <c r="B982"/>
      <c r="C982"/>
      <c r="D982"/>
      <c r="E982"/>
    </row>
    <row r="983" spans="2:5" x14ac:dyDescent="0.3">
      <c r="B983"/>
      <c r="C983"/>
      <c r="D983"/>
      <c r="E983"/>
    </row>
    <row r="984" spans="2:5" x14ac:dyDescent="0.3">
      <c r="B984"/>
      <c r="C984"/>
      <c r="D984"/>
      <c r="E984"/>
    </row>
    <row r="985" spans="2:5" x14ac:dyDescent="0.3">
      <c r="B985"/>
      <c r="C985"/>
      <c r="D985"/>
      <c r="E985"/>
    </row>
    <row r="986" spans="2:5" x14ac:dyDescent="0.3">
      <c r="B986"/>
      <c r="C986"/>
      <c r="D986"/>
      <c r="E986"/>
    </row>
    <row r="987" spans="2:5" x14ac:dyDescent="0.3">
      <c r="B987"/>
      <c r="C987"/>
      <c r="D987"/>
      <c r="E987"/>
    </row>
    <row r="988" spans="2:5" x14ac:dyDescent="0.3">
      <c r="B988"/>
      <c r="C988"/>
      <c r="D988"/>
      <c r="E988"/>
    </row>
    <row r="989" spans="2:5" x14ac:dyDescent="0.3">
      <c r="B989"/>
      <c r="C989"/>
      <c r="D989"/>
      <c r="E989"/>
    </row>
    <row r="990" spans="2:5" x14ac:dyDescent="0.3">
      <c r="B990"/>
      <c r="C990"/>
      <c r="D990"/>
      <c r="E990"/>
    </row>
    <row r="991" spans="2:5" x14ac:dyDescent="0.3">
      <c r="B991"/>
      <c r="C991"/>
      <c r="D991"/>
      <c r="E991"/>
    </row>
    <row r="992" spans="2:5" x14ac:dyDescent="0.3">
      <c r="B992"/>
      <c r="C992"/>
      <c r="D992"/>
      <c r="E992"/>
    </row>
    <row r="993" spans="2:5" x14ac:dyDescent="0.3">
      <c r="B993"/>
      <c r="C993"/>
      <c r="D993"/>
      <c r="E993"/>
    </row>
    <row r="994" spans="2:5" x14ac:dyDescent="0.3">
      <c r="B994"/>
    </row>
    <row r="995" spans="2:5" x14ac:dyDescent="0.3">
      <c r="B995"/>
    </row>
    <row r="996" spans="2:5" x14ac:dyDescent="0.3">
      <c r="B996"/>
    </row>
    <row r="997" spans="2:5" x14ac:dyDescent="0.3">
      <c r="B997"/>
    </row>
    <row r="998" spans="2:5" x14ac:dyDescent="0.3">
      <c r="B998"/>
    </row>
    <row r="999" spans="2:5" x14ac:dyDescent="0.3">
      <c r="B999"/>
    </row>
    <row r="1000" spans="2:5" x14ac:dyDescent="0.3">
      <c r="B1000"/>
    </row>
  </sheetData>
  <conditionalFormatting sqref="B1001:B1048576 B1:B218">
    <cfRule type="containsText" dxfId="1" priority="1" operator="containsText" text="#VALUE!">
      <formula>NOT(ISERROR(SEARCH("#VALUE!",B1)))</formula>
    </cfRule>
    <cfRule type="containsErrors" dxfId="0" priority="2">
      <formula>ISERROR(B1)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6</vt:i4>
      </vt:variant>
      <vt:variant>
        <vt:lpstr>Intervalos com Nome</vt:lpstr>
      </vt:variant>
      <vt:variant>
        <vt:i4>2</vt:i4>
      </vt:variant>
    </vt:vector>
  </HeadingPairs>
  <TitlesOfParts>
    <vt:vector size="8" baseType="lpstr">
      <vt:lpstr>Tabela1</vt:lpstr>
      <vt:lpstr>Tabela2</vt:lpstr>
      <vt:lpstr>Formulas</vt:lpstr>
      <vt:lpstr>Valores</vt:lpstr>
      <vt:lpstr>Folha2</vt:lpstr>
      <vt:lpstr>Autores</vt:lpstr>
      <vt:lpstr>Tabela1!DadosExternos_1</vt:lpstr>
      <vt:lpstr>Tabela2!DadosExternos_2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Gonçalo Paiva</dc:creator>
  <cp:lastModifiedBy>Gonçalo Paiva</cp:lastModifiedBy>
  <dcterms:created xsi:type="dcterms:W3CDTF">2015-06-05T18:17:20Z</dcterms:created>
  <dcterms:modified xsi:type="dcterms:W3CDTF">2020-03-21T17:52:27Z</dcterms:modified>
</cp:coreProperties>
</file>