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esago\OneDrive\Ambiente de Trabalho\Files\UFP\2º Semestre\Análise Sistemas\Atividade 1\"/>
    </mc:Choice>
  </mc:AlternateContent>
  <xr:revisionPtr revIDLastSave="0" documentId="13_ncr:1_{FAAD511D-2241-4C38-A1B9-7FB9B32E5854}" xr6:coauthVersionLast="44" xr6:coauthVersionMax="44" xr10:uidLastSave="{00000000-0000-0000-0000-000000000000}"/>
  <bookViews>
    <workbookView xWindow="-110" yWindow="-110" windowWidth="19420" windowHeight="10560" activeTab="3" xr2:uid="{00000000-000D-0000-FFFF-FFFF00000000}"/>
  </bookViews>
  <sheets>
    <sheet name="Sheet1" sheetId="1" r:id="rId1"/>
    <sheet name="Sheet1 (2)" sheetId="2" r:id="rId2"/>
    <sheet name="Sheet3" sheetId="3" r:id="rId3"/>
    <sheet name="Sheet2"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B664" i="2" l="1"/>
  <c r="A664" i="2"/>
  <c r="B663" i="2"/>
  <c r="A663" i="2"/>
  <c r="B662" i="2"/>
  <c r="A662" i="2"/>
  <c r="B661" i="2"/>
  <c r="C661" i="2" s="1"/>
  <c r="A661" i="2"/>
  <c r="L660" i="2"/>
  <c r="B660" i="2"/>
  <c r="C660" i="2" s="1"/>
  <c r="A660" i="2"/>
  <c r="L659" i="2"/>
  <c r="B659" i="2"/>
  <c r="A659" i="2"/>
  <c r="L658" i="2"/>
  <c r="B658" i="2"/>
  <c r="G658" i="2" s="1"/>
  <c r="H658" i="2" s="1"/>
  <c r="F658" i="2" s="1"/>
  <c r="A658" i="2"/>
  <c r="L657" i="2"/>
  <c r="B657" i="2"/>
  <c r="D657" i="2" s="1"/>
  <c r="K657" i="2" s="1"/>
  <c r="A657" i="2"/>
  <c r="L656" i="2"/>
  <c r="B656" i="2"/>
  <c r="G656" i="2" s="1"/>
  <c r="H656" i="2" s="1"/>
  <c r="A656" i="2"/>
  <c r="L655" i="2"/>
  <c r="B655" i="2"/>
  <c r="D655" i="2" s="1"/>
  <c r="K655" i="2" s="1"/>
  <c r="A655" i="2"/>
  <c r="L654" i="2"/>
  <c r="B654" i="2"/>
  <c r="A654" i="2"/>
  <c r="L653" i="2"/>
  <c r="B653" i="2"/>
  <c r="C653" i="2" s="1"/>
  <c r="A653" i="2"/>
  <c r="L652" i="2"/>
  <c r="B652" i="2"/>
  <c r="G652" i="2" s="1"/>
  <c r="A652" i="2"/>
  <c r="L651" i="2"/>
  <c r="B651" i="2"/>
  <c r="C651" i="2" s="1"/>
  <c r="A651" i="2"/>
  <c r="L650" i="2"/>
  <c r="B650" i="2"/>
  <c r="G650" i="2" s="1"/>
  <c r="A650" i="2"/>
  <c r="L649" i="2"/>
  <c r="B649" i="2"/>
  <c r="D649" i="2" s="1"/>
  <c r="K649" i="2" s="1"/>
  <c r="A649" i="2"/>
  <c r="L648" i="2"/>
  <c r="B648" i="2"/>
  <c r="G648" i="2" s="1"/>
  <c r="H648" i="2" s="1"/>
  <c r="F648" i="2" s="1"/>
  <c r="A648" i="2"/>
  <c r="L647" i="2"/>
  <c r="B647" i="2"/>
  <c r="C647" i="2" s="1"/>
  <c r="A647" i="2"/>
  <c r="L646" i="2"/>
  <c r="B646" i="2"/>
  <c r="C646" i="2" s="1"/>
  <c r="A646" i="2"/>
  <c r="L645" i="2"/>
  <c r="B645" i="2"/>
  <c r="C645" i="2" s="1"/>
  <c r="A645" i="2"/>
  <c r="L644" i="2"/>
  <c r="B644" i="2"/>
  <c r="A644" i="2"/>
  <c r="L643" i="2"/>
  <c r="B643" i="2"/>
  <c r="C643" i="2" s="1"/>
  <c r="A643" i="2"/>
  <c r="L642" i="2"/>
  <c r="B642" i="2"/>
  <c r="C642" i="2" s="1"/>
  <c r="A642" i="2"/>
  <c r="L641" i="2"/>
  <c r="B641" i="2"/>
  <c r="D641" i="2" s="1"/>
  <c r="K641" i="2" s="1"/>
  <c r="A641" i="2"/>
  <c r="L640" i="2"/>
  <c r="B640" i="2"/>
  <c r="G640" i="2" s="1"/>
  <c r="H640" i="2" s="1"/>
  <c r="A640" i="2"/>
  <c r="L639" i="2"/>
  <c r="B639" i="2"/>
  <c r="D639" i="2" s="1"/>
  <c r="K639" i="2" s="1"/>
  <c r="A639" i="2"/>
  <c r="L638" i="2"/>
  <c r="B638" i="2"/>
  <c r="G638" i="2" s="1"/>
  <c r="A638" i="2"/>
  <c r="L637" i="2"/>
  <c r="B637" i="2"/>
  <c r="D637" i="2" s="1"/>
  <c r="K637" i="2" s="1"/>
  <c r="A637" i="2"/>
  <c r="L636" i="2"/>
  <c r="B636" i="2"/>
  <c r="C636" i="2" s="1"/>
  <c r="A636" i="2"/>
  <c r="L635" i="2"/>
  <c r="B635" i="2"/>
  <c r="C635" i="2" s="1"/>
  <c r="A635" i="2"/>
  <c r="L634" i="2"/>
  <c r="B634" i="2"/>
  <c r="C634" i="2" s="1"/>
  <c r="A634" i="2"/>
  <c r="L633" i="2"/>
  <c r="B633" i="2"/>
  <c r="C633" i="2" s="1"/>
  <c r="A633" i="2"/>
  <c r="L632" i="2"/>
  <c r="B632" i="2"/>
  <c r="G632" i="2" s="1"/>
  <c r="A632" i="2"/>
  <c r="L631" i="2"/>
  <c r="B631" i="2"/>
  <c r="D631" i="2" s="1"/>
  <c r="K631" i="2" s="1"/>
  <c r="A631" i="2"/>
  <c r="L630" i="2"/>
  <c r="B630" i="2"/>
  <c r="C630" i="2" s="1"/>
  <c r="A630" i="2"/>
  <c r="L629" i="2"/>
  <c r="B629" i="2"/>
  <c r="C629" i="2" s="1"/>
  <c r="A629" i="2"/>
  <c r="L628" i="2"/>
  <c r="B628" i="2"/>
  <c r="A628" i="2"/>
  <c r="L627" i="2"/>
  <c r="B627" i="2"/>
  <c r="D627" i="2" s="1"/>
  <c r="K627" i="2" s="1"/>
  <c r="A627" i="2"/>
  <c r="L626" i="2"/>
  <c r="B626" i="2"/>
  <c r="C626" i="2" s="1"/>
  <c r="A626" i="2"/>
  <c r="L625" i="2"/>
  <c r="B625" i="2"/>
  <c r="C625" i="2" s="1"/>
  <c r="A625" i="2"/>
  <c r="L624" i="2"/>
  <c r="B624" i="2"/>
  <c r="C624" i="2" s="1"/>
  <c r="A624" i="2"/>
  <c r="L623" i="2"/>
  <c r="B623" i="2"/>
  <c r="C623" i="2" s="1"/>
  <c r="A623" i="2"/>
  <c r="L622" i="2"/>
  <c r="B622" i="2"/>
  <c r="C622" i="2" s="1"/>
  <c r="A622" i="2"/>
  <c r="L621" i="2"/>
  <c r="B621" i="2"/>
  <c r="D621" i="2" s="1"/>
  <c r="K621" i="2" s="1"/>
  <c r="A621" i="2"/>
  <c r="L620" i="2"/>
  <c r="B620" i="2"/>
  <c r="A620" i="2"/>
  <c r="L619" i="2"/>
  <c r="B619" i="2"/>
  <c r="D619" i="2" s="1"/>
  <c r="K619" i="2" s="1"/>
  <c r="A619" i="2"/>
  <c r="L618" i="2"/>
  <c r="B618" i="2"/>
  <c r="G618" i="2" s="1"/>
  <c r="A618" i="2"/>
  <c r="L617" i="2"/>
  <c r="B617" i="2"/>
  <c r="D617" i="2" s="1"/>
  <c r="K617" i="2" s="1"/>
  <c r="A617" i="2"/>
  <c r="L616" i="2"/>
  <c r="B616" i="2"/>
  <c r="D616" i="2" s="1"/>
  <c r="K616" i="2" s="1"/>
  <c r="A616" i="2"/>
  <c r="L615" i="2"/>
  <c r="B615" i="2"/>
  <c r="C615" i="2" s="1"/>
  <c r="A615" i="2"/>
  <c r="L614" i="2"/>
  <c r="B614" i="2"/>
  <c r="C614" i="2" s="1"/>
  <c r="A614" i="2"/>
  <c r="L613" i="2"/>
  <c r="B613" i="2"/>
  <c r="C613" i="2" s="1"/>
  <c r="A613" i="2"/>
  <c r="L612" i="2"/>
  <c r="B612" i="2"/>
  <c r="D612" i="2" s="1"/>
  <c r="K612" i="2" s="1"/>
  <c r="A612" i="2"/>
  <c r="L611" i="2"/>
  <c r="B611" i="2"/>
  <c r="A611" i="2"/>
  <c r="L610" i="2"/>
  <c r="B610" i="2"/>
  <c r="C610" i="2" s="1"/>
  <c r="A610" i="2"/>
  <c r="L609" i="2"/>
  <c r="B609" i="2"/>
  <c r="C609" i="2" s="1"/>
  <c r="A609" i="2"/>
  <c r="L608" i="2"/>
  <c r="B608" i="2"/>
  <c r="G608" i="2" s="1"/>
  <c r="A608" i="2"/>
  <c r="L607" i="2"/>
  <c r="B607" i="2"/>
  <c r="C607" i="2" s="1"/>
  <c r="A607" i="2"/>
  <c r="L606" i="2"/>
  <c r="B606" i="2"/>
  <c r="D606" i="2" s="1"/>
  <c r="K606" i="2" s="1"/>
  <c r="A606" i="2"/>
  <c r="L605" i="2"/>
  <c r="B605" i="2"/>
  <c r="D605" i="2" s="1"/>
  <c r="K605" i="2" s="1"/>
  <c r="A605" i="2"/>
  <c r="L604" i="2"/>
  <c r="B604" i="2"/>
  <c r="A604" i="2"/>
  <c r="L603" i="2"/>
  <c r="B603" i="2"/>
  <c r="G603" i="2" s="1"/>
  <c r="A603" i="2"/>
  <c r="L602" i="2"/>
  <c r="B602" i="2"/>
  <c r="C602" i="2" s="1"/>
  <c r="A602" i="2"/>
  <c r="L601" i="2"/>
  <c r="B601" i="2"/>
  <c r="D601" i="2" s="1"/>
  <c r="K601" i="2" s="1"/>
  <c r="A601" i="2"/>
  <c r="L600" i="2"/>
  <c r="B600" i="2"/>
  <c r="A600" i="2"/>
  <c r="L599" i="2"/>
  <c r="B599" i="2"/>
  <c r="G599" i="2" s="1"/>
  <c r="A599" i="2"/>
  <c r="L598" i="2"/>
  <c r="B598" i="2"/>
  <c r="D598" i="2" s="1"/>
  <c r="K598" i="2" s="1"/>
  <c r="A598" i="2"/>
  <c r="L597" i="2"/>
  <c r="B597" i="2"/>
  <c r="A597" i="2"/>
  <c r="L596" i="2"/>
  <c r="B596" i="2"/>
  <c r="A596" i="2"/>
  <c r="L595" i="2"/>
  <c r="B595" i="2"/>
  <c r="C595" i="2" s="1"/>
  <c r="A595" i="2"/>
  <c r="L594" i="2"/>
  <c r="B594" i="2"/>
  <c r="D594" i="2" s="1"/>
  <c r="K594" i="2" s="1"/>
  <c r="A594" i="2"/>
  <c r="L593" i="2"/>
  <c r="B593" i="2"/>
  <c r="D593" i="2" s="1"/>
  <c r="K593" i="2" s="1"/>
  <c r="A593" i="2"/>
  <c r="L592" i="2"/>
  <c r="B592" i="2"/>
  <c r="C592" i="2" s="1"/>
  <c r="A592" i="2"/>
  <c r="L591" i="2"/>
  <c r="B591" i="2"/>
  <c r="A591" i="2"/>
  <c r="L590" i="2"/>
  <c r="B590" i="2"/>
  <c r="C590" i="2" s="1"/>
  <c r="A590" i="2"/>
  <c r="L589" i="2"/>
  <c r="B589" i="2"/>
  <c r="A589" i="2"/>
  <c r="L588" i="2"/>
  <c r="B588" i="2"/>
  <c r="A588" i="2"/>
  <c r="L587" i="2"/>
  <c r="B587" i="2"/>
  <c r="A587" i="2"/>
  <c r="L586" i="2"/>
  <c r="B586" i="2"/>
  <c r="D586" i="2" s="1"/>
  <c r="K586" i="2" s="1"/>
  <c r="A586" i="2"/>
  <c r="L585" i="2"/>
  <c r="B585" i="2"/>
  <c r="C585" i="2" s="1"/>
  <c r="A585" i="2"/>
  <c r="L584" i="2"/>
  <c r="B584" i="2"/>
  <c r="A584" i="2"/>
  <c r="L583" i="2"/>
  <c r="B583" i="2"/>
  <c r="A583" i="2"/>
  <c r="L582" i="2"/>
  <c r="B582" i="2"/>
  <c r="A582" i="2"/>
  <c r="L581" i="2"/>
  <c r="B581" i="2"/>
  <c r="A581" i="2"/>
  <c r="L580" i="2"/>
  <c r="B580" i="2"/>
  <c r="D580" i="2" s="1"/>
  <c r="K580" i="2" s="1"/>
  <c r="A580" i="2"/>
  <c r="L579" i="2"/>
  <c r="B579" i="2"/>
  <c r="C579" i="2" s="1"/>
  <c r="A579" i="2"/>
  <c r="L578" i="2"/>
  <c r="B578" i="2"/>
  <c r="C578" i="2" s="1"/>
  <c r="A578" i="2"/>
  <c r="L577" i="2"/>
  <c r="B577" i="2"/>
  <c r="D577" i="2" s="1"/>
  <c r="K577" i="2" s="1"/>
  <c r="A577" i="2"/>
  <c r="L576" i="2"/>
  <c r="B576" i="2"/>
  <c r="C576" i="2" s="1"/>
  <c r="A576" i="2"/>
  <c r="L575" i="2"/>
  <c r="B575" i="2"/>
  <c r="A575" i="2"/>
  <c r="L574" i="2"/>
  <c r="B574" i="2"/>
  <c r="C574" i="2" s="1"/>
  <c r="A574" i="2"/>
  <c r="L573" i="2"/>
  <c r="B573" i="2"/>
  <c r="C573" i="2" s="1"/>
  <c r="A573" i="2"/>
  <c r="L572" i="2"/>
  <c r="B572" i="2"/>
  <c r="C572" i="2" s="1"/>
  <c r="A572" i="2"/>
  <c r="L571" i="2"/>
  <c r="B571" i="2"/>
  <c r="C571" i="2" s="1"/>
  <c r="A571" i="2"/>
  <c r="L570" i="2"/>
  <c r="B570" i="2"/>
  <c r="C570" i="2" s="1"/>
  <c r="A570" i="2"/>
  <c r="L569" i="2"/>
  <c r="B569" i="2"/>
  <c r="C569" i="2" s="1"/>
  <c r="A569" i="2"/>
  <c r="L568" i="2"/>
  <c r="B568" i="2"/>
  <c r="C568" i="2" s="1"/>
  <c r="A568" i="2"/>
  <c r="L567" i="2"/>
  <c r="B567" i="2"/>
  <c r="A567" i="2"/>
  <c r="L566" i="2"/>
  <c r="B566" i="2"/>
  <c r="C566" i="2" s="1"/>
  <c r="A566" i="2"/>
  <c r="L565" i="2"/>
  <c r="B565" i="2"/>
  <c r="A565" i="2"/>
  <c r="L564" i="2"/>
  <c r="B564" i="2"/>
  <c r="C564" i="2" s="1"/>
  <c r="A564" i="2"/>
  <c r="L563" i="2"/>
  <c r="B563" i="2"/>
  <c r="C563" i="2" s="1"/>
  <c r="A563" i="2"/>
  <c r="L562" i="2"/>
  <c r="B562" i="2"/>
  <c r="D562" i="2" s="1"/>
  <c r="K562" i="2" s="1"/>
  <c r="A562" i="2"/>
  <c r="L561" i="2"/>
  <c r="B561" i="2"/>
  <c r="C561" i="2" s="1"/>
  <c r="A561" i="2"/>
  <c r="L560" i="2"/>
  <c r="B560" i="2"/>
  <c r="C560" i="2" s="1"/>
  <c r="A560" i="2"/>
  <c r="L559" i="2"/>
  <c r="B559" i="2"/>
  <c r="C559" i="2" s="1"/>
  <c r="A559" i="2"/>
  <c r="L558" i="2"/>
  <c r="B558" i="2"/>
  <c r="C558" i="2" s="1"/>
  <c r="A558" i="2"/>
  <c r="L557" i="2"/>
  <c r="B557" i="2"/>
  <c r="A557" i="2"/>
  <c r="L556" i="2"/>
  <c r="B556" i="2"/>
  <c r="C556" i="2" s="1"/>
  <c r="A556" i="2"/>
  <c r="L555" i="2"/>
  <c r="B555" i="2"/>
  <c r="D555" i="2" s="1"/>
  <c r="K555" i="2" s="1"/>
  <c r="A555" i="2"/>
  <c r="L554" i="2"/>
  <c r="B554" i="2"/>
  <c r="G554" i="2" s="1"/>
  <c r="A554" i="2"/>
  <c r="L553" i="2"/>
  <c r="B553" i="2"/>
  <c r="C553" i="2" s="1"/>
  <c r="A553" i="2"/>
  <c r="L552" i="2"/>
  <c r="B552" i="2"/>
  <c r="A552" i="2"/>
  <c r="L551" i="2"/>
  <c r="B551" i="2"/>
  <c r="C551" i="2" s="1"/>
  <c r="A551" i="2"/>
  <c r="L550" i="2"/>
  <c r="B550" i="2"/>
  <c r="C550" i="2" s="1"/>
  <c r="A550" i="2"/>
  <c r="L549" i="2"/>
  <c r="B549" i="2"/>
  <c r="C549" i="2" s="1"/>
  <c r="A549" i="2"/>
  <c r="L548" i="2"/>
  <c r="B548" i="2"/>
  <c r="C548" i="2" s="1"/>
  <c r="A548" i="2"/>
  <c r="L547" i="2"/>
  <c r="B547" i="2"/>
  <c r="D547" i="2" s="1"/>
  <c r="K547" i="2" s="1"/>
  <c r="A547" i="2"/>
  <c r="L546" i="2"/>
  <c r="B546" i="2"/>
  <c r="G546" i="2" s="1"/>
  <c r="H546" i="2" s="1"/>
  <c r="A546" i="2"/>
  <c r="L545" i="2"/>
  <c r="B545" i="2"/>
  <c r="D545" i="2" s="1"/>
  <c r="K545" i="2" s="1"/>
  <c r="A545" i="2"/>
  <c r="L544" i="2"/>
  <c r="B544" i="2"/>
  <c r="A544" i="2"/>
  <c r="L543" i="2"/>
  <c r="B543" i="2"/>
  <c r="C543" i="2" s="1"/>
  <c r="A543" i="2"/>
  <c r="L542" i="2"/>
  <c r="B542" i="2"/>
  <c r="C542" i="2" s="1"/>
  <c r="A542" i="2"/>
  <c r="L541" i="2"/>
  <c r="B541" i="2"/>
  <c r="A541" i="2"/>
  <c r="L540" i="2"/>
  <c r="B540" i="2"/>
  <c r="C540" i="2" s="1"/>
  <c r="A540" i="2"/>
  <c r="L539" i="2"/>
  <c r="B539" i="2"/>
  <c r="C539" i="2" s="1"/>
  <c r="A539" i="2"/>
  <c r="L538" i="2"/>
  <c r="B538" i="2"/>
  <c r="D538" i="2" s="1"/>
  <c r="K538" i="2" s="1"/>
  <c r="A538" i="2"/>
  <c r="L537" i="2"/>
  <c r="B537" i="2"/>
  <c r="G537" i="2" s="1"/>
  <c r="A537" i="2"/>
  <c r="L536" i="2"/>
  <c r="B536" i="2"/>
  <c r="C536" i="2" s="1"/>
  <c r="A536" i="2"/>
  <c r="L535" i="2"/>
  <c r="B535" i="2"/>
  <c r="C535" i="2" s="1"/>
  <c r="A535" i="2"/>
  <c r="L534" i="2"/>
  <c r="B534" i="2"/>
  <c r="A534" i="2"/>
  <c r="L533" i="2"/>
  <c r="B533" i="2"/>
  <c r="A533" i="2"/>
  <c r="L532" i="2"/>
  <c r="B532" i="2"/>
  <c r="C532" i="2" s="1"/>
  <c r="A532" i="2"/>
  <c r="L531" i="2"/>
  <c r="B531" i="2"/>
  <c r="C531" i="2" s="1"/>
  <c r="A531" i="2"/>
  <c r="L530" i="2"/>
  <c r="B530" i="2"/>
  <c r="C530" i="2" s="1"/>
  <c r="A530" i="2"/>
  <c r="L529" i="2"/>
  <c r="B529" i="2"/>
  <c r="D529" i="2" s="1"/>
  <c r="K529" i="2" s="1"/>
  <c r="A529" i="2"/>
  <c r="L528" i="2"/>
  <c r="B528" i="2"/>
  <c r="C528" i="2" s="1"/>
  <c r="A528" i="2"/>
  <c r="L527" i="2"/>
  <c r="B527" i="2"/>
  <c r="C527" i="2" s="1"/>
  <c r="A527" i="2"/>
  <c r="L526" i="2"/>
  <c r="B526" i="2"/>
  <c r="C526" i="2" s="1"/>
  <c r="A526" i="2"/>
  <c r="L525" i="2"/>
  <c r="B525" i="2"/>
  <c r="A525" i="2"/>
  <c r="L524" i="2"/>
  <c r="B524" i="2"/>
  <c r="C524" i="2" s="1"/>
  <c r="A524" i="2"/>
  <c r="L523" i="2"/>
  <c r="B523" i="2"/>
  <c r="C523" i="2" s="1"/>
  <c r="A523" i="2"/>
  <c r="L522" i="2"/>
  <c r="B522" i="2"/>
  <c r="C522" i="2" s="1"/>
  <c r="A522" i="2"/>
  <c r="L521" i="2"/>
  <c r="B521" i="2"/>
  <c r="C521" i="2" s="1"/>
  <c r="A521" i="2"/>
  <c r="L520" i="2"/>
  <c r="B520" i="2"/>
  <c r="C520" i="2" s="1"/>
  <c r="A520" i="2"/>
  <c r="L519" i="2"/>
  <c r="B519" i="2"/>
  <c r="C519" i="2" s="1"/>
  <c r="A519" i="2"/>
  <c r="L518" i="2"/>
  <c r="B518" i="2"/>
  <c r="C518" i="2" s="1"/>
  <c r="A518" i="2"/>
  <c r="L517" i="2"/>
  <c r="B517" i="2"/>
  <c r="C517" i="2" s="1"/>
  <c r="A517" i="2"/>
  <c r="L516" i="2"/>
  <c r="B516" i="2"/>
  <c r="C516" i="2" s="1"/>
  <c r="A516" i="2"/>
  <c r="L515" i="2"/>
  <c r="B515" i="2"/>
  <c r="C515" i="2" s="1"/>
  <c r="A515" i="2"/>
  <c r="L514" i="2"/>
  <c r="B514" i="2"/>
  <c r="C514" i="2" s="1"/>
  <c r="A514" i="2"/>
  <c r="L513" i="2"/>
  <c r="B513" i="2"/>
  <c r="C513" i="2" s="1"/>
  <c r="A513" i="2"/>
  <c r="L512" i="2"/>
  <c r="B512" i="2"/>
  <c r="C512" i="2" s="1"/>
  <c r="A512" i="2"/>
  <c r="L511" i="2"/>
  <c r="B511" i="2"/>
  <c r="C511" i="2" s="1"/>
  <c r="A511" i="2"/>
  <c r="L510" i="2"/>
  <c r="B510" i="2"/>
  <c r="C510" i="2" s="1"/>
  <c r="A510" i="2"/>
  <c r="L509" i="2"/>
  <c r="B509" i="2"/>
  <c r="C509" i="2" s="1"/>
  <c r="A509" i="2"/>
  <c r="L508" i="2"/>
  <c r="B508" i="2"/>
  <c r="C508" i="2" s="1"/>
  <c r="A508" i="2"/>
  <c r="L507" i="2"/>
  <c r="B507" i="2"/>
  <c r="C507" i="2" s="1"/>
  <c r="A507" i="2"/>
  <c r="L506" i="2"/>
  <c r="B506" i="2"/>
  <c r="D506" i="2" s="1"/>
  <c r="K506" i="2" s="1"/>
  <c r="A506" i="2"/>
  <c r="L505" i="2"/>
  <c r="B505" i="2"/>
  <c r="D505" i="2" s="1"/>
  <c r="K505" i="2" s="1"/>
  <c r="A505" i="2"/>
  <c r="L504" i="2"/>
  <c r="B504" i="2"/>
  <c r="C504" i="2" s="1"/>
  <c r="A504" i="2"/>
  <c r="L503" i="2"/>
  <c r="B503" i="2"/>
  <c r="A503" i="2"/>
  <c r="L502" i="2"/>
  <c r="B502" i="2"/>
  <c r="A502" i="2"/>
  <c r="L501" i="2"/>
  <c r="B501" i="2"/>
  <c r="A501" i="2"/>
  <c r="L500" i="2"/>
  <c r="B500" i="2"/>
  <c r="C500" i="2" s="1"/>
  <c r="A500" i="2"/>
  <c r="L499" i="2"/>
  <c r="B499" i="2"/>
  <c r="C499" i="2" s="1"/>
  <c r="A499" i="2"/>
  <c r="L498" i="2"/>
  <c r="B498" i="2"/>
  <c r="C498" i="2" s="1"/>
  <c r="A498" i="2"/>
  <c r="L497" i="2"/>
  <c r="B497" i="2"/>
  <c r="D497" i="2" s="1"/>
  <c r="K497" i="2" s="1"/>
  <c r="A497" i="2"/>
  <c r="L496" i="2"/>
  <c r="B496" i="2"/>
  <c r="C496" i="2" s="1"/>
  <c r="A496" i="2"/>
  <c r="L495" i="2"/>
  <c r="B495" i="2"/>
  <c r="C495" i="2" s="1"/>
  <c r="A495" i="2"/>
  <c r="L494" i="2"/>
  <c r="B494" i="2"/>
  <c r="A494" i="2"/>
  <c r="L493" i="2"/>
  <c r="B493" i="2"/>
  <c r="C493" i="2" s="1"/>
  <c r="A493" i="2"/>
  <c r="L492" i="2"/>
  <c r="B492" i="2"/>
  <c r="A492" i="2"/>
  <c r="L491" i="2"/>
  <c r="B491" i="2"/>
  <c r="A491" i="2"/>
  <c r="L490" i="2"/>
  <c r="B490" i="2"/>
  <c r="C490" i="2" s="1"/>
  <c r="A490" i="2"/>
  <c r="L489" i="2"/>
  <c r="B489" i="2"/>
  <c r="D489" i="2" s="1"/>
  <c r="K489" i="2" s="1"/>
  <c r="A489" i="2"/>
  <c r="L488" i="2"/>
  <c r="B488" i="2"/>
  <c r="A488" i="2"/>
  <c r="L487" i="2"/>
  <c r="B487" i="2"/>
  <c r="C487" i="2" s="1"/>
  <c r="A487" i="2"/>
  <c r="L486" i="2"/>
  <c r="B486" i="2"/>
  <c r="C486" i="2" s="1"/>
  <c r="A486" i="2"/>
  <c r="L485" i="2"/>
  <c r="B485" i="2"/>
  <c r="C485" i="2" s="1"/>
  <c r="A485" i="2"/>
  <c r="L484" i="2"/>
  <c r="B484" i="2"/>
  <c r="A484" i="2"/>
  <c r="L483" i="2"/>
  <c r="B483" i="2"/>
  <c r="C483" i="2" s="1"/>
  <c r="A483" i="2"/>
  <c r="L482" i="2"/>
  <c r="B482" i="2"/>
  <c r="D482" i="2" s="1"/>
  <c r="K482" i="2" s="1"/>
  <c r="A482" i="2"/>
  <c r="L481" i="2"/>
  <c r="B481" i="2"/>
  <c r="G481" i="2" s="1"/>
  <c r="A481" i="2"/>
  <c r="L480" i="2"/>
  <c r="B480" i="2"/>
  <c r="C480" i="2" s="1"/>
  <c r="A480" i="2"/>
  <c r="L479" i="2"/>
  <c r="B479" i="2"/>
  <c r="A479" i="2"/>
  <c r="L478" i="2"/>
  <c r="B478" i="2"/>
  <c r="C478" i="2" s="1"/>
  <c r="A478" i="2"/>
  <c r="L477" i="2"/>
  <c r="B477" i="2"/>
  <c r="A477" i="2"/>
  <c r="L476" i="2"/>
  <c r="B476" i="2"/>
  <c r="A476" i="2"/>
  <c r="L475" i="2"/>
  <c r="B475" i="2"/>
  <c r="C475" i="2" s="1"/>
  <c r="A475" i="2"/>
  <c r="L474" i="2"/>
  <c r="B474" i="2"/>
  <c r="C474" i="2" s="1"/>
  <c r="A474" i="2"/>
  <c r="L473" i="2"/>
  <c r="B473" i="2"/>
  <c r="D473" i="2" s="1"/>
  <c r="K473" i="2" s="1"/>
  <c r="A473" i="2"/>
  <c r="L472" i="2"/>
  <c r="B472" i="2"/>
  <c r="A472" i="2"/>
  <c r="L471" i="2"/>
  <c r="B471" i="2"/>
  <c r="A471" i="2"/>
  <c r="L470" i="2"/>
  <c r="B470" i="2"/>
  <c r="A470" i="2"/>
  <c r="L469" i="2"/>
  <c r="B469" i="2"/>
  <c r="C469" i="2" s="1"/>
  <c r="A469" i="2"/>
  <c r="L468" i="2"/>
  <c r="B468" i="2"/>
  <c r="A468" i="2"/>
  <c r="L467" i="2"/>
  <c r="B467" i="2"/>
  <c r="C467" i="2" s="1"/>
  <c r="A467" i="2"/>
  <c r="L466" i="2"/>
  <c r="B466" i="2"/>
  <c r="A466" i="2"/>
  <c r="L465" i="2"/>
  <c r="B465" i="2"/>
  <c r="G465" i="2" s="1"/>
  <c r="A465" i="2"/>
  <c r="L464" i="2"/>
  <c r="B464" i="2"/>
  <c r="C464" i="2" s="1"/>
  <c r="A464" i="2"/>
  <c r="L463" i="2"/>
  <c r="B463" i="2"/>
  <c r="D463" i="2" s="1"/>
  <c r="K463" i="2" s="1"/>
  <c r="A463" i="2"/>
  <c r="L462" i="2"/>
  <c r="B462" i="2"/>
  <c r="A462" i="2"/>
  <c r="L461" i="2"/>
  <c r="B461" i="2"/>
  <c r="C461" i="2" s="1"/>
  <c r="A461" i="2"/>
  <c r="L460" i="2"/>
  <c r="B460" i="2"/>
  <c r="A460" i="2"/>
  <c r="L459" i="2"/>
  <c r="B459" i="2"/>
  <c r="A459" i="2"/>
  <c r="L458" i="2"/>
  <c r="B458" i="2"/>
  <c r="G458" i="2" s="1"/>
  <c r="A458" i="2"/>
  <c r="L457" i="2"/>
  <c r="B457" i="2"/>
  <c r="C457" i="2" s="1"/>
  <c r="A457" i="2"/>
  <c r="L456" i="2"/>
  <c r="B456" i="2"/>
  <c r="C456" i="2" s="1"/>
  <c r="A456" i="2"/>
  <c r="L455" i="2"/>
  <c r="B455" i="2"/>
  <c r="A455" i="2"/>
  <c r="L454" i="2"/>
  <c r="B454" i="2"/>
  <c r="C454" i="2" s="1"/>
  <c r="A454" i="2"/>
  <c r="L453" i="2"/>
  <c r="B453" i="2"/>
  <c r="C453" i="2" s="1"/>
  <c r="A453" i="2"/>
  <c r="L452" i="2"/>
  <c r="B452" i="2"/>
  <c r="A452" i="2"/>
  <c r="L451" i="2"/>
  <c r="B451" i="2"/>
  <c r="D451" i="2" s="1"/>
  <c r="K451" i="2" s="1"/>
  <c r="A451" i="2"/>
  <c r="L450" i="2"/>
  <c r="B450" i="2"/>
  <c r="C450" i="2" s="1"/>
  <c r="A450" i="2"/>
  <c r="L449" i="2"/>
  <c r="B449" i="2"/>
  <c r="D449" i="2" s="1"/>
  <c r="K449" i="2" s="1"/>
  <c r="A449" i="2"/>
  <c r="L448" i="2"/>
  <c r="B448" i="2"/>
  <c r="A448" i="2"/>
  <c r="M447" i="2"/>
  <c r="L447" i="2"/>
  <c r="B447" i="2"/>
  <c r="C447" i="2" s="1"/>
  <c r="A447" i="2"/>
  <c r="L446" i="2"/>
  <c r="B446" i="2"/>
  <c r="A446" i="2"/>
  <c r="L445" i="2"/>
  <c r="B445" i="2"/>
  <c r="C445" i="2" s="1"/>
  <c r="A445" i="2"/>
  <c r="L444" i="2"/>
  <c r="B444" i="2"/>
  <c r="A444" i="2"/>
  <c r="L443" i="2"/>
  <c r="B443" i="2"/>
  <c r="C443" i="2" s="1"/>
  <c r="A443" i="2"/>
  <c r="L442" i="2"/>
  <c r="B442" i="2"/>
  <c r="A442" i="2"/>
  <c r="L441" i="2"/>
  <c r="B441" i="2"/>
  <c r="G441" i="2" s="1"/>
  <c r="A441" i="2"/>
  <c r="L440" i="2"/>
  <c r="B440" i="2"/>
  <c r="C440" i="2" s="1"/>
  <c r="A440" i="2"/>
  <c r="L439" i="2"/>
  <c r="B439" i="2"/>
  <c r="C439" i="2" s="1"/>
  <c r="A439" i="2"/>
  <c r="L438" i="2"/>
  <c r="B438" i="2"/>
  <c r="A438" i="2"/>
  <c r="L437" i="2"/>
  <c r="B437" i="2"/>
  <c r="A437" i="2"/>
  <c r="L436" i="2"/>
  <c r="B436" i="2"/>
  <c r="C436" i="2" s="1"/>
  <c r="A436" i="2"/>
  <c r="M435" i="2"/>
  <c r="L435" i="2"/>
  <c r="B435" i="2"/>
  <c r="C435" i="2" s="1"/>
  <c r="A435" i="2"/>
  <c r="M434" i="2"/>
  <c r="L434" i="2"/>
  <c r="B434" i="2"/>
  <c r="G434" i="2" s="1"/>
  <c r="H434" i="2" s="1"/>
  <c r="J434" i="2" s="1"/>
  <c r="A434" i="2"/>
  <c r="M433" i="2"/>
  <c r="L433" i="2"/>
  <c r="B433" i="2"/>
  <c r="C433" i="2" s="1"/>
  <c r="A433" i="2"/>
  <c r="L432" i="2"/>
  <c r="B432" i="2"/>
  <c r="A432" i="2"/>
  <c r="L431" i="2"/>
  <c r="B431" i="2"/>
  <c r="C431" i="2" s="1"/>
  <c r="A431" i="2"/>
  <c r="L430" i="2"/>
  <c r="B430" i="2"/>
  <c r="A430" i="2"/>
  <c r="L429" i="2"/>
  <c r="B429" i="2"/>
  <c r="C429" i="2" s="1"/>
  <c r="A429" i="2"/>
  <c r="L428" i="2"/>
  <c r="B428" i="2"/>
  <c r="C428" i="2" s="1"/>
  <c r="A428" i="2"/>
  <c r="L427" i="2"/>
  <c r="B427" i="2"/>
  <c r="C427" i="2" s="1"/>
  <c r="A427" i="2"/>
  <c r="L426" i="2"/>
  <c r="B426" i="2"/>
  <c r="C426" i="2" s="1"/>
  <c r="A426" i="2"/>
  <c r="L425" i="2"/>
  <c r="B425" i="2"/>
  <c r="G425" i="2" s="1"/>
  <c r="A425" i="2"/>
  <c r="L424" i="2"/>
  <c r="B424" i="2"/>
  <c r="D424" i="2" s="1"/>
  <c r="K424" i="2" s="1"/>
  <c r="A424" i="2"/>
  <c r="L423" i="2"/>
  <c r="B423" i="2"/>
  <c r="C423" i="2" s="1"/>
  <c r="A423" i="2"/>
  <c r="L422" i="2"/>
  <c r="B422" i="2"/>
  <c r="C422" i="2" s="1"/>
  <c r="A422" i="2"/>
  <c r="M421" i="2"/>
  <c r="L421" i="2"/>
  <c r="B421" i="2"/>
  <c r="C421" i="2" s="1"/>
  <c r="A421" i="2"/>
  <c r="L420" i="2"/>
  <c r="B420" i="2"/>
  <c r="C420" i="2" s="1"/>
  <c r="A420" i="2"/>
  <c r="L419" i="2"/>
  <c r="B419" i="2"/>
  <c r="A419" i="2"/>
  <c r="L418" i="2"/>
  <c r="B418" i="2"/>
  <c r="G418" i="2" s="1"/>
  <c r="A418" i="2"/>
  <c r="L417" i="2"/>
  <c r="B417" i="2"/>
  <c r="C417" i="2" s="1"/>
  <c r="A417" i="2"/>
  <c r="L416" i="2"/>
  <c r="B416" i="2"/>
  <c r="A416" i="2"/>
  <c r="L415" i="2"/>
  <c r="B415" i="2"/>
  <c r="C415" i="2" s="1"/>
  <c r="A415" i="2"/>
  <c r="L414" i="2"/>
  <c r="B414" i="2"/>
  <c r="A414" i="2"/>
  <c r="L413" i="2"/>
  <c r="B413" i="2"/>
  <c r="C413" i="2" s="1"/>
  <c r="A413" i="2"/>
  <c r="M412" i="2"/>
  <c r="L412" i="2"/>
  <c r="B412" i="2"/>
  <c r="C412" i="2" s="1"/>
  <c r="A412" i="2"/>
  <c r="L411" i="2"/>
  <c r="B411" i="2"/>
  <c r="C411" i="2" s="1"/>
  <c r="A411" i="2"/>
  <c r="L410" i="2"/>
  <c r="B410" i="2"/>
  <c r="C410" i="2" s="1"/>
  <c r="A410" i="2"/>
  <c r="L409" i="2"/>
  <c r="B409" i="2"/>
  <c r="G409" i="2" s="1"/>
  <c r="A409" i="2"/>
  <c r="L408" i="2"/>
  <c r="B408" i="2"/>
  <c r="C408" i="2" s="1"/>
  <c r="A408" i="2"/>
  <c r="L407" i="2"/>
  <c r="B407" i="2"/>
  <c r="A407" i="2"/>
  <c r="M406" i="2"/>
  <c r="L406" i="2"/>
  <c r="B406" i="2"/>
  <c r="A406" i="2"/>
  <c r="L405" i="2"/>
  <c r="B405" i="2"/>
  <c r="A405" i="2"/>
  <c r="L404" i="2"/>
  <c r="B404" i="2"/>
  <c r="C404" i="2" s="1"/>
  <c r="A404" i="2"/>
  <c r="L403" i="2"/>
  <c r="B403" i="2"/>
  <c r="G403" i="2" s="1"/>
  <c r="A403" i="2"/>
  <c r="L402" i="2"/>
  <c r="B402" i="2"/>
  <c r="C402" i="2" s="1"/>
  <c r="A402" i="2"/>
  <c r="M401" i="2"/>
  <c r="L401" i="2"/>
  <c r="B401" i="2"/>
  <c r="D401" i="2" s="1"/>
  <c r="K401" i="2" s="1"/>
  <c r="A401" i="2"/>
  <c r="L400" i="2"/>
  <c r="B400" i="2"/>
  <c r="A400" i="2"/>
  <c r="L399" i="2"/>
  <c r="B399" i="2"/>
  <c r="C399" i="2" s="1"/>
  <c r="A399" i="2"/>
  <c r="L398" i="2"/>
  <c r="B398" i="2"/>
  <c r="A398" i="2"/>
  <c r="L397" i="2"/>
  <c r="B397" i="2"/>
  <c r="A397" i="2"/>
  <c r="L396" i="2"/>
  <c r="B396" i="2"/>
  <c r="C396" i="2" s="1"/>
  <c r="A396" i="2"/>
  <c r="M395" i="2"/>
  <c r="L395" i="2"/>
  <c r="B395" i="2"/>
  <c r="C395" i="2" s="1"/>
  <c r="A395" i="2"/>
  <c r="L394" i="2"/>
  <c r="B394" i="2"/>
  <c r="C394" i="2" s="1"/>
  <c r="E394" i="2" s="1"/>
  <c r="A394" i="2"/>
  <c r="L393" i="2"/>
  <c r="B393" i="2"/>
  <c r="G393" i="2" s="1"/>
  <c r="A393" i="2"/>
  <c r="L392" i="2"/>
  <c r="B392" i="2"/>
  <c r="C392" i="2" s="1"/>
  <c r="A392" i="2"/>
  <c r="L391" i="2"/>
  <c r="B391" i="2"/>
  <c r="C391" i="2" s="1"/>
  <c r="A391" i="2"/>
  <c r="L390" i="2"/>
  <c r="B390" i="2"/>
  <c r="C390" i="2" s="1"/>
  <c r="A390" i="2"/>
  <c r="L389" i="2"/>
  <c r="B389" i="2"/>
  <c r="C389" i="2" s="1"/>
  <c r="A389" i="2"/>
  <c r="L388" i="2"/>
  <c r="B388" i="2"/>
  <c r="C388" i="2" s="1"/>
  <c r="A388" i="2"/>
  <c r="L387" i="2"/>
  <c r="B387" i="2"/>
  <c r="C387" i="2" s="1"/>
  <c r="A387" i="2"/>
  <c r="L386" i="2"/>
  <c r="B386" i="2"/>
  <c r="C386" i="2" s="1"/>
  <c r="A386" i="2"/>
  <c r="L385" i="2"/>
  <c r="B385" i="2"/>
  <c r="C385" i="2" s="1"/>
  <c r="A385" i="2"/>
  <c r="M384" i="2"/>
  <c r="L384" i="2"/>
  <c r="B384" i="2"/>
  <c r="A384" i="2"/>
  <c r="L383" i="2"/>
  <c r="B383" i="2"/>
  <c r="C383" i="2" s="1"/>
  <c r="A383" i="2"/>
  <c r="L382" i="2"/>
  <c r="B382" i="2"/>
  <c r="C382" i="2" s="1"/>
  <c r="A382" i="2"/>
  <c r="O381" i="2"/>
  <c r="N381" i="2"/>
  <c r="M381" i="2"/>
  <c r="L381" i="2"/>
  <c r="B381" i="2"/>
  <c r="C381" i="2" s="1"/>
  <c r="A381" i="2"/>
  <c r="L380" i="2"/>
  <c r="B380" i="2"/>
  <c r="C380" i="2" s="1"/>
  <c r="A380" i="2"/>
  <c r="L379" i="2"/>
  <c r="B379" i="2"/>
  <c r="C379" i="2" s="1"/>
  <c r="A379" i="2"/>
  <c r="L378" i="2"/>
  <c r="B378" i="2"/>
  <c r="C378" i="2" s="1"/>
  <c r="A378" i="2"/>
  <c r="L377" i="2"/>
  <c r="B377" i="2"/>
  <c r="C377" i="2" s="1"/>
  <c r="A377" i="2"/>
  <c r="L376" i="2"/>
  <c r="B376" i="2"/>
  <c r="A376" i="2"/>
  <c r="L375" i="2"/>
  <c r="B375" i="2"/>
  <c r="C375" i="2" s="1"/>
  <c r="A375" i="2"/>
  <c r="L374" i="2"/>
  <c r="B374" i="2"/>
  <c r="D374" i="2" s="1"/>
  <c r="K374" i="2" s="1"/>
  <c r="A374" i="2"/>
  <c r="L373" i="2"/>
  <c r="B373" i="2"/>
  <c r="C373" i="2" s="1"/>
  <c r="A373" i="2"/>
  <c r="L372" i="2"/>
  <c r="B372" i="2"/>
  <c r="A372" i="2"/>
  <c r="L371" i="2"/>
  <c r="B371" i="2"/>
  <c r="A371" i="2"/>
  <c r="L370" i="2"/>
  <c r="B370" i="2"/>
  <c r="G370" i="2" s="1"/>
  <c r="A370" i="2"/>
  <c r="M369" i="2"/>
  <c r="L369" i="2"/>
  <c r="B369" i="2"/>
  <c r="C369" i="2" s="1"/>
  <c r="A369" i="2"/>
  <c r="L368" i="2"/>
  <c r="B368" i="2"/>
  <c r="C368" i="2" s="1"/>
  <c r="A368" i="2"/>
  <c r="L367" i="2"/>
  <c r="B367" i="2"/>
  <c r="A367" i="2"/>
  <c r="L366" i="2"/>
  <c r="B366" i="2"/>
  <c r="C366" i="2" s="1"/>
  <c r="A366" i="2"/>
  <c r="L365" i="2"/>
  <c r="B365" i="2"/>
  <c r="A365" i="2"/>
  <c r="L364" i="2"/>
  <c r="B364" i="2"/>
  <c r="C364" i="2" s="1"/>
  <c r="A364" i="2"/>
  <c r="O363" i="2"/>
  <c r="N363" i="2"/>
  <c r="M363" i="2"/>
  <c r="L363" i="2"/>
  <c r="B363" i="2"/>
  <c r="C363" i="2" s="1"/>
  <c r="A363" i="2"/>
  <c r="M362" i="2"/>
  <c r="L362" i="2"/>
  <c r="B362" i="2"/>
  <c r="C362" i="2" s="1"/>
  <c r="A362" i="2"/>
  <c r="L361" i="2"/>
  <c r="B361" i="2"/>
  <c r="C361" i="2" s="1"/>
  <c r="E361" i="2" s="1"/>
  <c r="A361" i="2"/>
  <c r="M360" i="2"/>
  <c r="L360" i="2"/>
  <c r="B360" i="2"/>
  <c r="A360" i="2"/>
  <c r="L359" i="2"/>
  <c r="B359" i="2"/>
  <c r="D359" i="2" s="1"/>
  <c r="K359" i="2" s="1"/>
  <c r="A359" i="2"/>
  <c r="O358" i="2"/>
  <c r="N358" i="2"/>
  <c r="M358" i="2"/>
  <c r="L358" i="2"/>
  <c r="B358" i="2"/>
  <c r="A358" i="2"/>
  <c r="P357" i="2"/>
  <c r="O357" i="2"/>
  <c r="N357" i="2"/>
  <c r="M357" i="2"/>
  <c r="L357" i="2"/>
  <c r="B357" i="2"/>
  <c r="C357" i="2" s="1"/>
  <c r="A357" i="2"/>
  <c r="L356" i="2"/>
  <c r="B356" i="2"/>
  <c r="C356" i="2" s="1"/>
  <c r="A356" i="2"/>
  <c r="L355" i="2"/>
  <c r="B355" i="2"/>
  <c r="C355" i="2" s="1"/>
  <c r="A355" i="2"/>
  <c r="L354" i="2"/>
  <c r="B354" i="2"/>
  <c r="C354" i="2" s="1"/>
  <c r="A354" i="2"/>
  <c r="L353" i="2"/>
  <c r="B353" i="2"/>
  <c r="G353" i="2" s="1"/>
  <c r="A353" i="2"/>
  <c r="L352" i="2"/>
  <c r="B352" i="2"/>
  <c r="C352" i="2" s="1"/>
  <c r="A352" i="2"/>
  <c r="L351" i="2"/>
  <c r="B351" i="2"/>
  <c r="A351" i="2"/>
  <c r="L350" i="2"/>
  <c r="B350" i="2"/>
  <c r="C350" i="2" s="1"/>
  <c r="A350" i="2"/>
  <c r="L349" i="2"/>
  <c r="B349" i="2"/>
  <c r="C349" i="2" s="1"/>
  <c r="A349" i="2"/>
  <c r="L348" i="2"/>
  <c r="B348" i="2"/>
  <c r="C348" i="2" s="1"/>
  <c r="A348" i="2"/>
  <c r="L347" i="2"/>
  <c r="B347" i="2"/>
  <c r="A347" i="2"/>
  <c r="M346" i="2"/>
  <c r="L346" i="2"/>
  <c r="B346" i="2"/>
  <c r="C346" i="2" s="1"/>
  <c r="A346" i="2"/>
  <c r="L345" i="2"/>
  <c r="B345" i="2"/>
  <c r="C345" i="2" s="1"/>
  <c r="A345" i="2"/>
  <c r="L344" i="2"/>
  <c r="B344" i="2"/>
  <c r="C344" i="2" s="1"/>
  <c r="A344" i="2"/>
  <c r="L343" i="2"/>
  <c r="B343" i="2"/>
  <c r="C343" i="2" s="1"/>
  <c r="A343" i="2"/>
  <c r="L342" i="2"/>
  <c r="B342" i="2"/>
  <c r="A342" i="2"/>
  <c r="L341" i="2"/>
  <c r="B341" i="2"/>
  <c r="C341" i="2" s="1"/>
  <c r="A341" i="2"/>
  <c r="L340" i="2"/>
  <c r="B340" i="2"/>
  <c r="A340" i="2"/>
  <c r="M339" i="2"/>
  <c r="L339" i="2"/>
  <c r="B339" i="2"/>
  <c r="C339" i="2" s="1"/>
  <c r="A339" i="2"/>
  <c r="M338" i="2"/>
  <c r="L338" i="2"/>
  <c r="B338" i="2"/>
  <c r="C338" i="2" s="1"/>
  <c r="A338" i="2"/>
  <c r="L337" i="2"/>
  <c r="B337" i="2"/>
  <c r="D337" i="2" s="1"/>
  <c r="K337" i="2" s="1"/>
  <c r="A337" i="2"/>
  <c r="L336" i="2"/>
  <c r="B336" i="2"/>
  <c r="C336" i="2" s="1"/>
  <c r="A336" i="2"/>
  <c r="L335" i="2"/>
  <c r="B335" i="2"/>
  <c r="A335" i="2"/>
  <c r="L334" i="2"/>
  <c r="B334" i="2"/>
  <c r="C334" i="2" s="1"/>
  <c r="A334" i="2"/>
  <c r="M333" i="2"/>
  <c r="L333" i="2"/>
  <c r="B333" i="2"/>
  <c r="C333" i="2" s="1"/>
  <c r="A333" i="2"/>
  <c r="L332" i="2"/>
  <c r="B332" i="2"/>
  <c r="A332" i="2"/>
  <c r="L331" i="2"/>
  <c r="B331" i="2"/>
  <c r="A331" i="2"/>
  <c r="L330" i="2"/>
  <c r="B330" i="2"/>
  <c r="G330" i="2" s="1"/>
  <c r="A330" i="2"/>
  <c r="M329" i="2"/>
  <c r="L329" i="2"/>
  <c r="B329" i="2"/>
  <c r="C329" i="2" s="1"/>
  <c r="A329" i="2"/>
  <c r="M328" i="2"/>
  <c r="L328" i="2"/>
  <c r="B328" i="2"/>
  <c r="A328" i="2"/>
  <c r="L327" i="2"/>
  <c r="B327" i="2"/>
  <c r="A327" i="2"/>
  <c r="L326" i="2"/>
  <c r="B326" i="2"/>
  <c r="C326" i="2" s="1"/>
  <c r="A326" i="2"/>
  <c r="L325" i="2"/>
  <c r="B325" i="2"/>
  <c r="C325" i="2" s="1"/>
  <c r="A325" i="2"/>
  <c r="L324" i="2"/>
  <c r="B324" i="2"/>
  <c r="C324" i="2" s="1"/>
  <c r="A324" i="2"/>
  <c r="L323" i="2"/>
  <c r="B323" i="2"/>
  <c r="C323" i="2" s="1"/>
  <c r="A323" i="2"/>
  <c r="L322" i="2"/>
  <c r="B322" i="2"/>
  <c r="D322" i="2" s="1"/>
  <c r="K322" i="2" s="1"/>
  <c r="A322" i="2"/>
  <c r="L321" i="2"/>
  <c r="B321" i="2"/>
  <c r="D321" i="2" s="1"/>
  <c r="K321" i="2" s="1"/>
  <c r="A321" i="2"/>
  <c r="L320" i="2"/>
  <c r="B320" i="2"/>
  <c r="A320" i="2"/>
  <c r="L319" i="2"/>
  <c r="B319" i="2"/>
  <c r="A319" i="2"/>
  <c r="L318" i="2"/>
  <c r="B318" i="2"/>
  <c r="C318" i="2" s="1"/>
  <c r="A318" i="2"/>
  <c r="L317" i="2"/>
  <c r="B317" i="2"/>
  <c r="A317" i="2"/>
  <c r="L316" i="2"/>
  <c r="B316" i="2"/>
  <c r="A316" i="2"/>
  <c r="L315" i="2"/>
  <c r="B315" i="2"/>
  <c r="A315" i="2"/>
  <c r="L314" i="2"/>
  <c r="B314" i="2"/>
  <c r="C314" i="2" s="1"/>
  <c r="A314" i="2"/>
  <c r="L313" i="2"/>
  <c r="B313" i="2"/>
  <c r="G313" i="2" s="1"/>
  <c r="H313" i="2" s="1"/>
  <c r="A313" i="2"/>
  <c r="L312" i="2"/>
  <c r="B312" i="2"/>
  <c r="C312" i="2" s="1"/>
  <c r="A312" i="2"/>
  <c r="L311" i="2"/>
  <c r="B311" i="2"/>
  <c r="A311" i="2"/>
  <c r="L310" i="2"/>
  <c r="B310" i="2"/>
  <c r="A310" i="2"/>
  <c r="L309" i="2"/>
  <c r="B309" i="2"/>
  <c r="A309" i="2"/>
  <c r="L308" i="2"/>
  <c r="B308" i="2"/>
  <c r="C308" i="2" s="1"/>
  <c r="A308" i="2"/>
  <c r="L307" i="2"/>
  <c r="B307" i="2"/>
  <c r="A307" i="2"/>
  <c r="L306" i="2"/>
  <c r="B306" i="2"/>
  <c r="D306" i="2" s="1"/>
  <c r="K306" i="2" s="1"/>
  <c r="A306" i="2"/>
  <c r="L305" i="2"/>
  <c r="B305" i="2"/>
  <c r="C305" i="2" s="1"/>
  <c r="A305" i="2"/>
  <c r="L304" i="2"/>
  <c r="B304" i="2"/>
  <c r="D304" i="2" s="1"/>
  <c r="K304" i="2" s="1"/>
  <c r="A304" i="2"/>
  <c r="N303" i="2"/>
  <c r="M303" i="2"/>
  <c r="L303" i="2"/>
  <c r="B303" i="2"/>
  <c r="C303" i="2" s="1"/>
  <c r="A303" i="2"/>
  <c r="L302" i="2"/>
  <c r="B302" i="2"/>
  <c r="C302" i="2" s="1"/>
  <c r="A302" i="2"/>
  <c r="L301" i="2"/>
  <c r="B301" i="2"/>
  <c r="A301" i="2"/>
  <c r="L300" i="2"/>
  <c r="B300" i="2"/>
  <c r="A300" i="2"/>
  <c r="L299" i="2"/>
  <c r="B299" i="2"/>
  <c r="C299" i="2" s="1"/>
  <c r="A299" i="2"/>
  <c r="L298" i="2"/>
  <c r="B298" i="2"/>
  <c r="C298" i="2" s="1"/>
  <c r="A298" i="2"/>
  <c r="L297" i="2"/>
  <c r="B297" i="2"/>
  <c r="D297" i="2" s="1"/>
  <c r="K297" i="2" s="1"/>
  <c r="A297" i="2"/>
  <c r="L296" i="2"/>
  <c r="B296" i="2"/>
  <c r="C296" i="2" s="1"/>
  <c r="A296" i="2"/>
  <c r="L295" i="2"/>
  <c r="B295" i="2"/>
  <c r="C295" i="2" s="1"/>
  <c r="A295" i="2"/>
  <c r="L294" i="2"/>
  <c r="B294" i="2"/>
  <c r="C294" i="2" s="1"/>
  <c r="A294" i="2"/>
  <c r="L293" i="2"/>
  <c r="B293" i="2"/>
  <c r="A293" i="2"/>
  <c r="L292" i="2"/>
  <c r="B292" i="2"/>
  <c r="A292" i="2"/>
  <c r="L291" i="2"/>
  <c r="B291" i="2"/>
  <c r="A291" i="2"/>
  <c r="L290" i="2"/>
  <c r="B290" i="2"/>
  <c r="C290" i="2" s="1"/>
  <c r="A290" i="2"/>
  <c r="L289" i="2"/>
  <c r="B289" i="2"/>
  <c r="C289" i="2" s="1"/>
  <c r="A289" i="2"/>
  <c r="L288" i="2"/>
  <c r="B288" i="2"/>
  <c r="G288" i="2" s="1"/>
  <c r="H288" i="2" s="1"/>
  <c r="A288" i="2"/>
  <c r="L287" i="2"/>
  <c r="B287" i="2"/>
  <c r="C287" i="2" s="1"/>
  <c r="A287" i="2"/>
  <c r="N286" i="2"/>
  <c r="M286" i="2"/>
  <c r="L286" i="2"/>
  <c r="B286" i="2"/>
  <c r="A286" i="2"/>
  <c r="N285" i="2"/>
  <c r="M285" i="2"/>
  <c r="L285" i="2"/>
  <c r="B285" i="2"/>
  <c r="C285" i="2" s="1"/>
  <c r="A285" i="2"/>
  <c r="M284" i="2"/>
  <c r="L284" i="2"/>
  <c r="B284" i="2"/>
  <c r="A284" i="2"/>
  <c r="N283" i="2"/>
  <c r="M283" i="2"/>
  <c r="L283" i="2"/>
  <c r="B283" i="2"/>
  <c r="C283" i="2" s="1"/>
  <c r="A283" i="2"/>
  <c r="N282" i="2"/>
  <c r="M282" i="2"/>
  <c r="L282" i="2"/>
  <c r="B282" i="2"/>
  <c r="C282" i="2" s="1"/>
  <c r="A282" i="2"/>
  <c r="N281" i="2"/>
  <c r="M281" i="2"/>
  <c r="L281" i="2"/>
  <c r="B281" i="2"/>
  <c r="G281" i="2" s="1"/>
  <c r="H281" i="2" s="1"/>
  <c r="A281" i="2"/>
  <c r="N280" i="2"/>
  <c r="M280" i="2"/>
  <c r="L280" i="2"/>
  <c r="B280" i="2"/>
  <c r="A280" i="2"/>
  <c r="L279" i="2"/>
  <c r="B279" i="2"/>
  <c r="C279" i="2" s="1"/>
  <c r="A279" i="2"/>
  <c r="N278" i="2"/>
  <c r="M278" i="2"/>
  <c r="L278" i="2"/>
  <c r="B278" i="2"/>
  <c r="C278" i="2" s="1"/>
  <c r="A278" i="2"/>
  <c r="N277" i="2"/>
  <c r="M277" i="2"/>
  <c r="L277" i="2"/>
  <c r="B277" i="2"/>
  <c r="C277" i="2" s="1"/>
  <c r="A277" i="2"/>
  <c r="M276" i="2"/>
  <c r="L276" i="2"/>
  <c r="B276" i="2"/>
  <c r="C276" i="2" s="1"/>
  <c r="A276" i="2"/>
  <c r="M275" i="2"/>
  <c r="L275" i="2"/>
  <c r="B275" i="2"/>
  <c r="A275" i="2"/>
  <c r="M274" i="2"/>
  <c r="L274" i="2"/>
  <c r="B274" i="2"/>
  <c r="G274" i="2" s="1"/>
  <c r="A274" i="2"/>
  <c r="M273" i="2"/>
  <c r="L273" i="2"/>
  <c r="B273" i="2"/>
  <c r="D273" i="2" s="1"/>
  <c r="K273" i="2" s="1"/>
  <c r="A273" i="2"/>
  <c r="L272" i="2"/>
  <c r="B272" i="2"/>
  <c r="C272" i="2" s="1"/>
  <c r="A272" i="2"/>
  <c r="L271" i="2"/>
  <c r="B271" i="2"/>
  <c r="A271" i="2"/>
  <c r="M270" i="2"/>
  <c r="L270" i="2"/>
  <c r="B270" i="2"/>
  <c r="A270" i="2"/>
  <c r="L269" i="2"/>
  <c r="B269" i="2"/>
  <c r="A269" i="2"/>
  <c r="M268" i="2"/>
  <c r="L268" i="2"/>
  <c r="B268" i="2"/>
  <c r="G268" i="2" s="1"/>
  <c r="A268" i="2"/>
  <c r="L267" i="2"/>
  <c r="B267" i="2"/>
  <c r="C267" i="2" s="1"/>
  <c r="A267" i="2"/>
  <c r="M266" i="2"/>
  <c r="L266" i="2"/>
  <c r="B266" i="2"/>
  <c r="G266" i="2" s="1"/>
  <c r="A266" i="2"/>
  <c r="L265" i="2"/>
  <c r="B265" i="2"/>
  <c r="D265" i="2" s="1"/>
  <c r="K265" i="2" s="1"/>
  <c r="A265" i="2"/>
  <c r="M264" i="2"/>
  <c r="L264" i="2"/>
  <c r="B264" i="2"/>
  <c r="C264" i="2" s="1"/>
  <c r="A264" i="2"/>
  <c r="M263" i="2"/>
  <c r="L263" i="2"/>
  <c r="B263" i="2"/>
  <c r="A263" i="2"/>
  <c r="M262" i="2"/>
  <c r="L262" i="2"/>
  <c r="B262" i="2"/>
  <c r="G262" i="2" s="1"/>
  <c r="A262" i="2"/>
  <c r="L261" i="2"/>
  <c r="B261" i="2"/>
  <c r="D261" i="2" s="1"/>
  <c r="K261" i="2" s="1"/>
  <c r="A261" i="2"/>
  <c r="M260" i="2"/>
  <c r="L260" i="2"/>
  <c r="B260" i="2"/>
  <c r="A260" i="2"/>
  <c r="L259" i="2"/>
  <c r="B259" i="2"/>
  <c r="C259" i="2" s="1"/>
  <c r="A259" i="2"/>
  <c r="N258" i="2"/>
  <c r="M258" i="2"/>
  <c r="L258" i="2"/>
  <c r="B258" i="2"/>
  <c r="C258" i="2" s="1"/>
  <c r="A258" i="2"/>
  <c r="M257" i="2"/>
  <c r="L257" i="2"/>
  <c r="B257" i="2"/>
  <c r="C257" i="2" s="1"/>
  <c r="A257" i="2"/>
  <c r="M256" i="2"/>
  <c r="L256" i="2"/>
  <c r="B256" i="2"/>
  <c r="A256" i="2"/>
  <c r="M255" i="2"/>
  <c r="L255" i="2"/>
  <c r="B255" i="2"/>
  <c r="A255" i="2"/>
  <c r="P254" i="2"/>
  <c r="O254" i="2"/>
  <c r="N254" i="2"/>
  <c r="M254" i="2"/>
  <c r="L254" i="2"/>
  <c r="B254" i="2"/>
  <c r="C254" i="2" s="1"/>
  <c r="A254" i="2"/>
  <c r="M253" i="2"/>
  <c r="L253" i="2"/>
  <c r="B253" i="2"/>
  <c r="C253" i="2" s="1"/>
  <c r="A253" i="2"/>
  <c r="L252" i="2"/>
  <c r="B252" i="2"/>
  <c r="C252" i="2" s="1"/>
  <c r="A252" i="2"/>
  <c r="M251" i="2"/>
  <c r="L251" i="2"/>
  <c r="B251" i="2"/>
  <c r="A251" i="2"/>
  <c r="L250" i="2"/>
  <c r="B250" i="2"/>
  <c r="C250" i="2" s="1"/>
  <c r="A250" i="2"/>
  <c r="L249" i="2"/>
  <c r="B249" i="2"/>
  <c r="G249" i="2" s="1"/>
  <c r="A249" i="2"/>
  <c r="L248" i="2"/>
  <c r="B248" i="2"/>
  <c r="C248" i="2" s="1"/>
  <c r="A248" i="2"/>
  <c r="L247" i="2"/>
  <c r="B247" i="2"/>
  <c r="C247" i="2" s="1"/>
  <c r="A247" i="2"/>
  <c r="N246" i="2"/>
  <c r="M246" i="2"/>
  <c r="L246" i="2"/>
  <c r="B246" i="2"/>
  <c r="A246" i="2"/>
  <c r="L245" i="2"/>
  <c r="B245" i="2"/>
  <c r="A245" i="2"/>
  <c r="L244" i="2"/>
  <c r="B244" i="2"/>
  <c r="A244" i="2"/>
  <c r="M243" i="2"/>
  <c r="L243" i="2"/>
  <c r="B243" i="2"/>
  <c r="C243" i="2" s="1"/>
  <c r="A243" i="2"/>
  <c r="L242" i="2"/>
  <c r="B242" i="2"/>
  <c r="C242" i="2" s="1"/>
  <c r="E242" i="2" s="1"/>
  <c r="A242" i="2"/>
  <c r="L241" i="2"/>
  <c r="B241" i="2"/>
  <c r="C241" i="2" s="1"/>
  <c r="A241" i="2"/>
  <c r="L240" i="2"/>
  <c r="B240" i="2"/>
  <c r="C240" i="2" s="1"/>
  <c r="A240" i="2"/>
  <c r="L239" i="2"/>
  <c r="B239" i="2"/>
  <c r="C239" i="2" s="1"/>
  <c r="A239" i="2"/>
  <c r="M238" i="2"/>
  <c r="L238" i="2"/>
  <c r="B238" i="2"/>
  <c r="A238" i="2"/>
  <c r="M237" i="2"/>
  <c r="L237" i="2"/>
  <c r="B237" i="2"/>
  <c r="A237" i="2"/>
  <c r="L236" i="2"/>
  <c r="B236" i="2"/>
  <c r="C236" i="2" s="1"/>
  <c r="A236" i="2"/>
  <c r="L235" i="2"/>
  <c r="B235" i="2"/>
  <c r="A235" i="2"/>
  <c r="L234" i="2"/>
  <c r="B234" i="2"/>
  <c r="A234" i="2"/>
  <c r="N233" i="2"/>
  <c r="M233" i="2"/>
  <c r="L233" i="2"/>
  <c r="B233" i="2"/>
  <c r="G233" i="2" s="1"/>
  <c r="A233" i="2"/>
  <c r="M232" i="2"/>
  <c r="L232" i="2"/>
  <c r="B232" i="2"/>
  <c r="C232" i="2" s="1"/>
  <c r="A232" i="2"/>
  <c r="L231" i="2"/>
  <c r="B231" i="2"/>
  <c r="C231" i="2" s="1"/>
  <c r="A231" i="2"/>
  <c r="L230" i="2"/>
  <c r="B230" i="2"/>
  <c r="C230" i="2" s="1"/>
  <c r="A230" i="2"/>
  <c r="M229" i="2"/>
  <c r="L229" i="2"/>
  <c r="B229" i="2"/>
  <c r="A229" i="2"/>
  <c r="L228" i="2"/>
  <c r="B228" i="2"/>
  <c r="C228" i="2" s="1"/>
  <c r="A228" i="2"/>
  <c r="L227" i="2"/>
  <c r="B227" i="2"/>
  <c r="A227" i="2"/>
  <c r="L226" i="2"/>
  <c r="B226" i="2"/>
  <c r="C226" i="2" s="1"/>
  <c r="A226" i="2"/>
  <c r="L225" i="2"/>
  <c r="B225" i="2"/>
  <c r="G225" i="2" s="1"/>
  <c r="A225" i="2"/>
  <c r="N224" i="2"/>
  <c r="M224" i="2"/>
  <c r="L224" i="2"/>
  <c r="B224" i="2"/>
  <c r="D224" i="2" s="1"/>
  <c r="K224" i="2" s="1"/>
  <c r="A224" i="2"/>
  <c r="L223" i="2"/>
  <c r="B223" i="2"/>
  <c r="C223" i="2" s="1"/>
  <c r="A223" i="2"/>
  <c r="L222" i="2"/>
  <c r="B222" i="2"/>
  <c r="C222" i="2" s="1"/>
  <c r="A222" i="2"/>
  <c r="L221" i="2"/>
  <c r="B221" i="2"/>
  <c r="C221" i="2" s="1"/>
  <c r="A221" i="2"/>
  <c r="L220" i="2"/>
  <c r="B220" i="2"/>
  <c r="A220" i="2"/>
  <c r="L219" i="2"/>
  <c r="B219" i="2"/>
  <c r="C219" i="2" s="1"/>
  <c r="A219" i="2"/>
  <c r="N218" i="2"/>
  <c r="M218" i="2"/>
  <c r="L218" i="2"/>
  <c r="B218" i="2"/>
  <c r="D218" i="2" s="1"/>
  <c r="K218" i="2" s="1"/>
  <c r="A218" i="2"/>
  <c r="L217" i="2"/>
  <c r="B217" i="2"/>
  <c r="A217" i="2"/>
  <c r="L216" i="2"/>
  <c r="B216" i="2"/>
  <c r="A216" i="2"/>
  <c r="L215" i="2"/>
  <c r="B215" i="2"/>
  <c r="A215" i="2"/>
  <c r="L214" i="2"/>
  <c r="B214" i="2"/>
  <c r="C214" i="2" s="1"/>
  <c r="A214" i="2"/>
  <c r="L213" i="2"/>
  <c r="B213" i="2"/>
  <c r="C213" i="2" s="1"/>
  <c r="A213" i="2"/>
  <c r="N212" i="2"/>
  <c r="M212" i="2"/>
  <c r="L212" i="2"/>
  <c r="B212" i="2"/>
  <c r="C212" i="2" s="1"/>
  <c r="A212" i="2"/>
  <c r="N211" i="2"/>
  <c r="M211" i="2"/>
  <c r="L211" i="2"/>
  <c r="B211" i="2"/>
  <c r="C211" i="2" s="1"/>
  <c r="A211" i="2"/>
  <c r="N210" i="2"/>
  <c r="M210" i="2"/>
  <c r="L210" i="2"/>
  <c r="B210" i="2"/>
  <c r="G210" i="2" s="1"/>
  <c r="A210" i="2"/>
  <c r="L209" i="2"/>
  <c r="B209" i="2"/>
  <c r="C209" i="2" s="1"/>
  <c r="A209" i="2"/>
  <c r="Q208" i="2"/>
  <c r="P208" i="2"/>
  <c r="O208" i="2"/>
  <c r="N208" i="2"/>
  <c r="M208" i="2"/>
  <c r="L208" i="2"/>
  <c r="B208" i="2"/>
  <c r="A208" i="2"/>
  <c r="M207" i="2"/>
  <c r="L207" i="2"/>
  <c r="B207" i="2"/>
  <c r="A207" i="2"/>
  <c r="L206" i="2"/>
  <c r="B206" i="2"/>
  <c r="C206" i="2" s="1"/>
  <c r="A206" i="2"/>
  <c r="L205" i="2"/>
  <c r="B205" i="2"/>
  <c r="C205" i="2" s="1"/>
  <c r="A205" i="2"/>
  <c r="L204" i="2"/>
  <c r="B204" i="2"/>
  <c r="C204" i="2" s="1"/>
  <c r="A204" i="2"/>
  <c r="L203" i="2"/>
  <c r="B203" i="2"/>
  <c r="C203" i="2" s="1"/>
  <c r="A203" i="2"/>
  <c r="L202" i="2"/>
  <c r="B202" i="2"/>
  <c r="D202" i="2" s="1"/>
  <c r="K202" i="2" s="1"/>
  <c r="A202" i="2"/>
  <c r="L201" i="2"/>
  <c r="B201" i="2"/>
  <c r="D201" i="2" s="1"/>
  <c r="K201" i="2" s="1"/>
  <c r="A201" i="2"/>
  <c r="L200" i="2"/>
  <c r="B200" i="2"/>
  <c r="C200" i="2" s="1"/>
  <c r="A200" i="2"/>
  <c r="L199" i="2"/>
  <c r="B199" i="2"/>
  <c r="A199" i="2"/>
  <c r="N198" i="2"/>
  <c r="M198" i="2"/>
  <c r="L198" i="2"/>
  <c r="B198" i="2"/>
  <c r="A198" i="2"/>
  <c r="L197" i="2"/>
  <c r="B197" i="2"/>
  <c r="C197" i="2" s="1"/>
  <c r="A197" i="2"/>
  <c r="M196" i="2"/>
  <c r="L196" i="2"/>
  <c r="B196" i="2"/>
  <c r="A196" i="2"/>
  <c r="L195" i="2"/>
  <c r="B195" i="2"/>
  <c r="A195" i="2"/>
  <c r="L194" i="2"/>
  <c r="B194" i="2"/>
  <c r="C194" i="2" s="1"/>
  <c r="A194" i="2"/>
  <c r="L193" i="2"/>
  <c r="B193" i="2"/>
  <c r="C193" i="2" s="1"/>
  <c r="A193" i="2"/>
  <c r="M192" i="2"/>
  <c r="L192" i="2"/>
  <c r="B192" i="2"/>
  <c r="A192" i="2"/>
  <c r="N191" i="2"/>
  <c r="M191" i="2"/>
  <c r="L191" i="2"/>
  <c r="B191" i="2"/>
  <c r="D191" i="2" s="1"/>
  <c r="K191" i="2" s="1"/>
  <c r="A191" i="2"/>
  <c r="N190" i="2"/>
  <c r="M190" i="2"/>
  <c r="L190" i="2"/>
  <c r="B190" i="2"/>
  <c r="C190" i="2" s="1"/>
  <c r="A190" i="2"/>
  <c r="N189" i="2"/>
  <c r="M189" i="2"/>
  <c r="L189" i="2"/>
  <c r="B189" i="2"/>
  <c r="C189" i="2" s="1"/>
  <c r="A189" i="2"/>
  <c r="M188" i="2"/>
  <c r="L188" i="2"/>
  <c r="B188" i="2"/>
  <c r="A188" i="2"/>
  <c r="M187" i="2"/>
  <c r="L187" i="2"/>
  <c r="B187" i="2"/>
  <c r="C187" i="2" s="1"/>
  <c r="A187" i="2"/>
  <c r="M186" i="2"/>
  <c r="L186" i="2"/>
  <c r="B186" i="2"/>
  <c r="C186" i="2" s="1"/>
  <c r="A186" i="2"/>
  <c r="N185" i="2"/>
  <c r="M185" i="2"/>
  <c r="L185" i="2"/>
  <c r="B185" i="2"/>
  <c r="C185" i="2" s="1"/>
  <c r="A185" i="2"/>
  <c r="L184" i="2"/>
  <c r="B184" i="2"/>
  <c r="C184" i="2" s="1"/>
  <c r="A184" i="2"/>
  <c r="N183" i="2"/>
  <c r="M183" i="2"/>
  <c r="L183" i="2"/>
  <c r="B183" i="2"/>
  <c r="C183" i="2" s="1"/>
  <c r="A183" i="2"/>
  <c r="O182" i="2"/>
  <c r="N182" i="2"/>
  <c r="M182" i="2"/>
  <c r="L182" i="2"/>
  <c r="B182" i="2"/>
  <c r="A182" i="2"/>
  <c r="L181" i="2"/>
  <c r="B181" i="2"/>
  <c r="C181" i="2" s="1"/>
  <c r="A181" i="2"/>
  <c r="L180" i="2"/>
  <c r="B180" i="2"/>
  <c r="G180" i="2" s="1"/>
  <c r="H180" i="2" s="1"/>
  <c r="A180" i="2"/>
  <c r="L179" i="2"/>
  <c r="B179" i="2"/>
  <c r="A179" i="2"/>
  <c r="O178" i="2"/>
  <c r="N178" i="2"/>
  <c r="M178" i="2"/>
  <c r="L178" i="2"/>
  <c r="B178" i="2"/>
  <c r="D178" i="2" s="1"/>
  <c r="K178" i="2" s="1"/>
  <c r="A178" i="2"/>
  <c r="M177" i="2"/>
  <c r="L177" i="2"/>
  <c r="B177" i="2"/>
  <c r="A177" i="2"/>
  <c r="M176" i="2"/>
  <c r="L176" i="2"/>
  <c r="B176" i="2"/>
  <c r="C176" i="2" s="1"/>
  <c r="A176" i="2"/>
  <c r="M175" i="2"/>
  <c r="L175" i="2"/>
  <c r="B175" i="2"/>
  <c r="C175" i="2" s="1"/>
  <c r="A175" i="2"/>
  <c r="M174" i="2"/>
  <c r="L174" i="2"/>
  <c r="B174" i="2"/>
  <c r="A174" i="2"/>
  <c r="L173" i="2"/>
  <c r="B173" i="2"/>
  <c r="C173" i="2" s="1"/>
  <c r="A173" i="2"/>
  <c r="L172" i="2"/>
  <c r="B172" i="2"/>
  <c r="C172" i="2" s="1"/>
  <c r="A172" i="2"/>
  <c r="L171" i="2"/>
  <c r="B171" i="2"/>
  <c r="A171" i="2"/>
  <c r="L170" i="2"/>
  <c r="B170" i="2"/>
  <c r="D170" i="2" s="1"/>
  <c r="K170" i="2" s="1"/>
  <c r="A170" i="2"/>
  <c r="M169" i="2"/>
  <c r="L169" i="2"/>
  <c r="B169" i="2"/>
  <c r="D169" i="2" s="1"/>
  <c r="K169" i="2" s="1"/>
  <c r="A169" i="2"/>
  <c r="O168" i="2"/>
  <c r="N168" i="2"/>
  <c r="M168" i="2"/>
  <c r="L168" i="2"/>
  <c r="B168" i="2"/>
  <c r="A168" i="2"/>
  <c r="L167" i="2"/>
  <c r="B167" i="2"/>
  <c r="G167" i="2" s="1"/>
  <c r="A167" i="2"/>
  <c r="L166" i="2"/>
  <c r="B166" i="2"/>
  <c r="C166" i="2" s="1"/>
  <c r="A166" i="2"/>
  <c r="M165" i="2"/>
  <c r="L165" i="2"/>
  <c r="B165" i="2"/>
  <c r="C165" i="2" s="1"/>
  <c r="A165" i="2"/>
  <c r="M164" i="2"/>
  <c r="L164" i="2"/>
  <c r="B164" i="2"/>
  <c r="C164" i="2" s="1"/>
  <c r="A164" i="2"/>
  <c r="O163" i="2"/>
  <c r="N163" i="2"/>
  <c r="M163" i="2"/>
  <c r="L163" i="2"/>
  <c r="B163" i="2"/>
  <c r="C163" i="2" s="1"/>
  <c r="A163" i="2"/>
  <c r="N162" i="2"/>
  <c r="M162" i="2"/>
  <c r="L162" i="2"/>
  <c r="B162" i="2"/>
  <c r="C162" i="2" s="1"/>
  <c r="A162" i="2"/>
  <c r="N161" i="2"/>
  <c r="M161" i="2"/>
  <c r="L161" i="2"/>
  <c r="B161" i="2"/>
  <c r="C161" i="2" s="1"/>
  <c r="A161" i="2"/>
  <c r="L160" i="2"/>
  <c r="B160" i="2"/>
  <c r="A160" i="2"/>
  <c r="L159" i="2"/>
  <c r="B159" i="2"/>
  <c r="C159" i="2" s="1"/>
  <c r="A159" i="2"/>
  <c r="L158" i="2"/>
  <c r="B158" i="2"/>
  <c r="C158" i="2" s="1"/>
  <c r="A158" i="2"/>
  <c r="L157" i="2"/>
  <c r="B157" i="2"/>
  <c r="C157" i="2" s="1"/>
  <c r="A157" i="2"/>
  <c r="L156" i="2"/>
  <c r="B156" i="2"/>
  <c r="C156" i="2" s="1"/>
  <c r="A156" i="2"/>
  <c r="M155" i="2"/>
  <c r="L155" i="2"/>
  <c r="B155" i="2"/>
  <c r="A155" i="2"/>
  <c r="L154" i="2"/>
  <c r="B154" i="2"/>
  <c r="C154" i="2" s="1"/>
  <c r="A154" i="2"/>
  <c r="L153" i="2"/>
  <c r="B153" i="2"/>
  <c r="C153" i="2" s="1"/>
  <c r="A153" i="2"/>
  <c r="L152" i="2"/>
  <c r="B152" i="2"/>
  <c r="C152" i="2" s="1"/>
  <c r="A152" i="2"/>
  <c r="L151" i="2"/>
  <c r="B151" i="2"/>
  <c r="C151" i="2" s="1"/>
  <c r="A151" i="2"/>
  <c r="L150" i="2"/>
  <c r="B150" i="2"/>
  <c r="C150" i="2" s="1"/>
  <c r="A150" i="2"/>
  <c r="L149" i="2"/>
  <c r="B149" i="2"/>
  <c r="A149" i="2"/>
  <c r="L148" i="2"/>
  <c r="B148" i="2"/>
  <c r="C148" i="2" s="1"/>
  <c r="A148" i="2"/>
  <c r="L147" i="2"/>
  <c r="B147" i="2"/>
  <c r="A147" i="2"/>
  <c r="L146" i="2"/>
  <c r="B146" i="2"/>
  <c r="C146" i="2" s="1"/>
  <c r="A146" i="2"/>
  <c r="L145" i="2"/>
  <c r="B145" i="2"/>
  <c r="C145" i="2" s="1"/>
  <c r="A145" i="2"/>
  <c r="L144" i="2"/>
  <c r="B144" i="2"/>
  <c r="C144" i="2" s="1"/>
  <c r="A144" i="2"/>
  <c r="L143" i="2"/>
  <c r="B143" i="2"/>
  <c r="A143" i="2"/>
  <c r="L142" i="2"/>
  <c r="B142" i="2"/>
  <c r="C142" i="2" s="1"/>
  <c r="A142" i="2"/>
  <c r="L141" i="2"/>
  <c r="B141" i="2"/>
  <c r="D141" i="2" s="1"/>
  <c r="K141" i="2" s="1"/>
  <c r="A141" i="2"/>
  <c r="L140" i="2"/>
  <c r="B140" i="2"/>
  <c r="A140" i="2"/>
  <c r="M139" i="2"/>
  <c r="L139" i="2"/>
  <c r="B139" i="2"/>
  <c r="D139" i="2" s="1"/>
  <c r="K139" i="2" s="1"/>
  <c r="A139" i="2"/>
  <c r="L138" i="2"/>
  <c r="B138" i="2"/>
  <c r="G138" i="2" s="1"/>
  <c r="A138" i="2"/>
  <c r="M137" i="2"/>
  <c r="L137" i="2"/>
  <c r="B137" i="2"/>
  <c r="C137" i="2" s="1"/>
  <c r="A137" i="2"/>
  <c r="L136" i="2"/>
  <c r="B136" i="2"/>
  <c r="A136" i="2"/>
  <c r="M135" i="2"/>
  <c r="L135" i="2"/>
  <c r="B135" i="2"/>
  <c r="A135" i="2"/>
  <c r="L134" i="2"/>
  <c r="B134" i="2"/>
  <c r="C134" i="2" s="1"/>
  <c r="A134" i="2"/>
  <c r="L133" i="2"/>
  <c r="B133" i="2"/>
  <c r="C133" i="2" s="1"/>
  <c r="A133" i="2"/>
  <c r="L132" i="2"/>
  <c r="B132" i="2"/>
  <c r="C132" i="2" s="1"/>
  <c r="A132" i="2"/>
  <c r="O131" i="2"/>
  <c r="N131" i="2"/>
  <c r="M131" i="2"/>
  <c r="L131" i="2"/>
  <c r="B131" i="2"/>
  <c r="C131" i="2" s="1"/>
  <c r="A131" i="2"/>
  <c r="L130" i="2"/>
  <c r="B130" i="2"/>
  <c r="C130" i="2" s="1"/>
  <c r="A130" i="2"/>
  <c r="L129" i="2"/>
  <c r="B129" i="2"/>
  <c r="C129" i="2" s="1"/>
  <c r="A129" i="2"/>
  <c r="L128" i="2"/>
  <c r="B128" i="2"/>
  <c r="C128" i="2" s="1"/>
  <c r="A128" i="2"/>
  <c r="L127" i="2"/>
  <c r="B127" i="2"/>
  <c r="A127" i="2"/>
  <c r="L126" i="2"/>
  <c r="B126" i="2"/>
  <c r="A126" i="2"/>
  <c r="L125" i="2"/>
  <c r="B125" i="2"/>
  <c r="C125" i="2" s="1"/>
  <c r="A125" i="2"/>
  <c r="L124" i="2"/>
  <c r="B124" i="2"/>
  <c r="A124" i="2"/>
  <c r="L123" i="2"/>
  <c r="B123" i="2"/>
  <c r="A123" i="2"/>
  <c r="L122" i="2"/>
  <c r="B122" i="2"/>
  <c r="D122" i="2" s="1"/>
  <c r="K122" i="2" s="1"/>
  <c r="A122" i="2"/>
  <c r="L121" i="2"/>
  <c r="B121" i="2"/>
  <c r="G121" i="2" s="1"/>
  <c r="H121" i="2" s="1"/>
  <c r="A121" i="2"/>
  <c r="L120" i="2"/>
  <c r="B120" i="2"/>
  <c r="A120" i="2"/>
  <c r="L119" i="2"/>
  <c r="B119" i="2"/>
  <c r="C119" i="2" s="1"/>
  <c r="A119" i="2"/>
  <c r="L118" i="2"/>
  <c r="B118" i="2"/>
  <c r="A118" i="2"/>
  <c r="L117" i="2"/>
  <c r="B117" i="2"/>
  <c r="A117" i="2"/>
  <c r="L116" i="2"/>
  <c r="B116" i="2"/>
  <c r="C116" i="2" s="1"/>
  <c r="A116" i="2"/>
  <c r="M115" i="2"/>
  <c r="L115" i="2"/>
  <c r="B115" i="2"/>
  <c r="A115" i="2"/>
  <c r="L114" i="2"/>
  <c r="B114" i="2"/>
  <c r="C114" i="2" s="1"/>
  <c r="A114" i="2"/>
  <c r="L113" i="2"/>
  <c r="B113" i="2"/>
  <c r="C113" i="2" s="1"/>
  <c r="A113" i="2"/>
  <c r="L112" i="2"/>
  <c r="B112" i="2"/>
  <c r="C112" i="2" s="1"/>
  <c r="A112" i="2"/>
  <c r="L111" i="2"/>
  <c r="B111" i="2"/>
  <c r="A111" i="2"/>
  <c r="L110" i="2"/>
  <c r="B110" i="2"/>
  <c r="C110" i="2" s="1"/>
  <c r="A110" i="2"/>
  <c r="M109" i="2"/>
  <c r="L109" i="2"/>
  <c r="B109" i="2"/>
  <c r="C109" i="2" s="1"/>
  <c r="A109" i="2"/>
  <c r="L108" i="2"/>
  <c r="B108" i="2"/>
  <c r="A108" i="2"/>
  <c r="L107" i="2"/>
  <c r="B107" i="2"/>
  <c r="C107" i="2" s="1"/>
  <c r="A107" i="2"/>
  <c r="L106" i="2"/>
  <c r="B106" i="2"/>
  <c r="C106" i="2" s="1"/>
  <c r="A106" i="2"/>
  <c r="M105" i="2"/>
  <c r="L105" i="2"/>
  <c r="B105" i="2"/>
  <c r="D105" i="2" s="1"/>
  <c r="K105" i="2" s="1"/>
  <c r="A105" i="2"/>
  <c r="L104" i="2"/>
  <c r="B104" i="2"/>
  <c r="C104" i="2" s="1"/>
  <c r="A104" i="2"/>
  <c r="L103" i="2"/>
  <c r="B103" i="2"/>
  <c r="C103" i="2" s="1"/>
  <c r="A103" i="2"/>
  <c r="L102" i="2"/>
  <c r="B102" i="2"/>
  <c r="A102" i="2"/>
  <c r="L101" i="2"/>
  <c r="B101" i="2"/>
  <c r="A101" i="2"/>
  <c r="L100" i="2"/>
  <c r="B100" i="2"/>
  <c r="A100" i="2"/>
  <c r="M99" i="2"/>
  <c r="L99" i="2"/>
  <c r="B99" i="2"/>
  <c r="A99" i="2"/>
  <c r="L98" i="2"/>
  <c r="B98" i="2"/>
  <c r="G98" i="2" s="1"/>
  <c r="H98" i="2" s="1"/>
  <c r="A98" i="2"/>
  <c r="L97" i="2"/>
  <c r="B97" i="2"/>
  <c r="C97" i="2" s="1"/>
  <c r="A97" i="2"/>
  <c r="L96" i="2"/>
  <c r="B96" i="2"/>
  <c r="A96" i="2"/>
  <c r="L95" i="2"/>
  <c r="B95" i="2"/>
  <c r="A95" i="2"/>
  <c r="L94" i="2"/>
  <c r="B94" i="2"/>
  <c r="C94" i="2" s="1"/>
  <c r="A94" i="2"/>
  <c r="L93" i="2"/>
  <c r="B93" i="2"/>
  <c r="A93" i="2"/>
  <c r="L92" i="2"/>
  <c r="B92" i="2"/>
  <c r="A92" i="2"/>
  <c r="L91" i="2"/>
  <c r="B91" i="2"/>
  <c r="D91" i="2" s="1"/>
  <c r="K91" i="2" s="1"/>
  <c r="A91" i="2"/>
  <c r="L90" i="2"/>
  <c r="B90" i="2"/>
  <c r="D90" i="2" s="1"/>
  <c r="K90" i="2" s="1"/>
  <c r="A90" i="2"/>
  <c r="L89" i="2"/>
  <c r="B89" i="2"/>
  <c r="G89" i="2" s="1"/>
  <c r="A89" i="2"/>
  <c r="L88" i="2"/>
  <c r="B88" i="2"/>
  <c r="A88" i="2"/>
  <c r="L87" i="2"/>
  <c r="B87" i="2"/>
  <c r="A87" i="2"/>
  <c r="L86" i="2"/>
  <c r="B86" i="2"/>
  <c r="C86" i="2" s="1"/>
  <c r="A86" i="2"/>
  <c r="N85" i="2"/>
  <c r="M85" i="2"/>
  <c r="L85" i="2"/>
  <c r="B85" i="2"/>
  <c r="A85" i="2"/>
  <c r="N84" i="2"/>
  <c r="M84" i="2"/>
  <c r="L84" i="2"/>
  <c r="B84" i="2"/>
  <c r="C84" i="2" s="1"/>
  <c r="A84" i="2"/>
  <c r="M83" i="2"/>
  <c r="L83" i="2"/>
  <c r="B83" i="2"/>
  <c r="A83" i="2"/>
  <c r="M82" i="2"/>
  <c r="L82" i="2"/>
  <c r="B82" i="2"/>
  <c r="C82" i="2" s="1"/>
  <c r="A82" i="2"/>
  <c r="L81" i="2"/>
  <c r="B81" i="2"/>
  <c r="D81" i="2" s="1"/>
  <c r="K81" i="2" s="1"/>
  <c r="A81" i="2"/>
  <c r="L80" i="2"/>
  <c r="B80" i="2"/>
  <c r="C80" i="2" s="1"/>
  <c r="A80" i="2"/>
  <c r="L79" i="2"/>
  <c r="B79" i="2"/>
  <c r="C79" i="2" s="1"/>
  <c r="A79" i="2"/>
  <c r="N78" i="2"/>
  <c r="M78" i="2"/>
  <c r="L78" i="2"/>
  <c r="B78" i="2"/>
  <c r="C78" i="2" s="1"/>
  <c r="A78" i="2"/>
  <c r="L77" i="2"/>
  <c r="B77" i="2"/>
  <c r="C77" i="2" s="1"/>
  <c r="A77" i="2"/>
  <c r="N76" i="2"/>
  <c r="M76" i="2"/>
  <c r="L76" i="2"/>
  <c r="B76" i="2"/>
  <c r="C76" i="2" s="1"/>
  <c r="A76" i="2"/>
  <c r="M75" i="2"/>
  <c r="L75" i="2"/>
  <c r="B75" i="2"/>
  <c r="C75" i="2" s="1"/>
  <c r="A75" i="2"/>
  <c r="L74" i="2"/>
  <c r="B74" i="2"/>
  <c r="C74" i="2" s="1"/>
  <c r="A74" i="2"/>
  <c r="L73" i="2"/>
  <c r="B73" i="2"/>
  <c r="G73" i="2" s="1"/>
  <c r="A73" i="2"/>
  <c r="L72" i="2"/>
  <c r="B72" i="2"/>
  <c r="C72" i="2" s="1"/>
  <c r="A72" i="2"/>
  <c r="L71" i="2"/>
  <c r="B71" i="2"/>
  <c r="A71" i="2"/>
  <c r="L70" i="2"/>
  <c r="B70" i="2"/>
  <c r="A70" i="2"/>
  <c r="L69" i="2"/>
  <c r="B69" i="2"/>
  <c r="C69" i="2" s="1"/>
  <c r="A69" i="2"/>
  <c r="L68" i="2"/>
  <c r="B68" i="2"/>
  <c r="A68" i="2"/>
  <c r="L67" i="2"/>
  <c r="B67" i="2"/>
  <c r="A67" i="2"/>
  <c r="L66" i="2"/>
  <c r="B66" i="2"/>
  <c r="G66" i="2" s="1"/>
  <c r="A66" i="2"/>
  <c r="L65" i="2"/>
  <c r="B65" i="2"/>
  <c r="C65" i="2" s="1"/>
  <c r="A65" i="2"/>
  <c r="L64" i="2"/>
  <c r="B64" i="2"/>
  <c r="C64" i="2" s="1"/>
  <c r="A64" i="2"/>
  <c r="M63" i="2"/>
  <c r="L63" i="2"/>
  <c r="B63" i="2"/>
  <c r="C63" i="2" s="1"/>
  <c r="A63" i="2"/>
  <c r="L62" i="2"/>
  <c r="B62" i="2"/>
  <c r="A62" i="2"/>
  <c r="L61" i="2"/>
  <c r="B61" i="2"/>
  <c r="C61" i="2" s="1"/>
  <c r="A61" i="2"/>
  <c r="L60" i="2"/>
  <c r="B60" i="2"/>
  <c r="A60" i="2"/>
  <c r="L59" i="2"/>
  <c r="B59" i="2"/>
  <c r="A59" i="2"/>
  <c r="L58" i="2"/>
  <c r="B58" i="2"/>
  <c r="G58" i="2" s="1"/>
  <c r="H58" i="2" s="1"/>
  <c r="A58" i="2"/>
  <c r="L57" i="2"/>
  <c r="B57" i="2"/>
  <c r="D57" i="2" s="1"/>
  <c r="K57" i="2" s="1"/>
  <c r="A57" i="2"/>
  <c r="M56" i="2"/>
  <c r="L56" i="2"/>
  <c r="B56" i="2"/>
  <c r="C56" i="2" s="1"/>
  <c r="A56" i="2"/>
  <c r="M55" i="2"/>
  <c r="L55" i="2"/>
  <c r="B55" i="2"/>
  <c r="A55" i="2"/>
  <c r="L54" i="2"/>
  <c r="B54" i="2"/>
  <c r="C54" i="2" s="1"/>
  <c r="A54" i="2"/>
  <c r="M53" i="2"/>
  <c r="L53" i="2"/>
  <c r="B53" i="2"/>
  <c r="C53" i="2" s="1"/>
  <c r="A53" i="2"/>
  <c r="L52" i="2"/>
  <c r="B52" i="2"/>
  <c r="A52" i="2"/>
  <c r="L51" i="2"/>
  <c r="B51" i="2"/>
  <c r="A51" i="2"/>
  <c r="L50" i="2"/>
  <c r="B50" i="2"/>
  <c r="C50" i="2" s="1"/>
  <c r="A50" i="2"/>
  <c r="L49" i="2"/>
  <c r="B49" i="2"/>
  <c r="C49" i="2" s="1"/>
  <c r="A49" i="2"/>
  <c r="L48" i="2"/>
  <c r="B48" i="2"/>
  <c r="A48" i="2"/>
  <c r="L47" i="2"/>
  <c r="B47" i="2"/>
  <c r="C47" i="2" s="1"/>
  <c r="A47" i="2"/>
  <c r="L46" i="2"/>
  <c r="B46" i="2"/>
  <c r="A46" i="2"/>
  <c r="L45" i="2"/>
  <c r="B45" i="2"/>
  <c r="C45" i="2" s="1"/>
  <c r="A45" i="2"/>
  <c r="L44" i="2"/>
  <c r="B44" i="2"/>
  <c r="C44" i="2" s="1"/>
  <c r="A44" i="2"/>
  <c r="L43" i="2"/>
  <c r="B43" i="2"/>
  <c r="A43" i="2"/>
  <c r="L42" i="2"/>
  <c r="B42" i="2"/>
  <c r="C42" i="2" s="1"/>
  <c r="A42" i="2"/>
  <c r="L41" i="2"/>
  <c r="B41" i="2"/>
  <c r="C41" i="2" s="1"/>
  <c r="A41" i="2"/>
  <c r="L40" i="2"/>
  <c r="B40" i="2"/>
  <c r="A40" i="2"/>
  <c r="L39" i="2"/>
  <c r="B39" i="2"/>
  <c r="C39" i="2" s="1"/>
  <c r="A39" i="2"/>
  <c r="L38" i="2"/>
  <c r="B38" i="2"/>
  <c r="A38" i="2"/>
  <c r="L37" i="2"/>
  <c r="B37" i="2"/>
  <c r="C37" i="2" s="1"/>
  <c r="A37" i="2"/>
  <c r="L36" i="2"/>
  <c r="B36" i="2"/>
  <c r="C36" i="2" s="1"/>
  <c r="A36" i="2"/>
  <c r="M35" i="2"/>
  <c r="L35" i="2"/>
  <c r="B35" i="2"/>
  <c r="A35" i="2"/>
  <c r="M34" i="2"/>
  <c r="L34" i="2"/>
  <c r="B34" i="2"/>
  <c r="D34" i="2" s="1"/>
  <c r="K34" i="2" s="1"/>
  <c r="A34" i="2"/>
  <c r="N33" i="2"/>
  <c r="M33" i="2"/>
  <c r="L33" i="2"/>
  <c r="B33" i="2"/>
  <c r="G33" i="2" s="1"/>
  <c r="H33" i="2" s="1"/>
  <c r="A33" i="2"/>
  <c r="M32" i="2"/>
  <c r="L32" i="2"/>
  <c r="B32" i="2"/>
  <c r="A32" i="2"/>
  <c r="M31" i="2"/>
  <c r="L31" i="2"/>
  <c r="B31" i="2"/>
  <c r="A31" i="2"/>
  <c r="L30" i="2"/>
  <c r="B30" i="2"/>
  <c r="C30" i="2" s="1"/>
  <c r="A30" i="2"/>
  <c r="O29" i="2"/>
  <c r="N29" i="2"/>
  <c r="M29" i="2"/>
  <c r="L29" i="2"/>
  <c r="B29" i="2"/>
  <c r="A29" i="2"/>
  <c r="O28" i="2"/>
  <c r="N28" i="2"/>
  <c r="M28" i="2"/>
  <c r="L28" i="2"/>
  <c r="B28" i="2"/>
  <c r="A28" i="2"/>
  <c r="L27" i="2"/>
  <c r="B27" i="2"/>
  <c r="A27" i="2"/>
  <c r="L26" i="2"/>
  <c r="B26" i="2"/>
  <c r="C26" i="2" s="1"/>
  <c r="A26" i="2"/>
  <c r="L25" i="2"/>
  <c r="B25" i="2"/>
  <c r="D25" i="2" s="1"/>
  <c r="K25" i="2" s="1"/>
  <c r="A25" i="2"/>
  <c r="L24" i="2"/>
  <c r="B24" i="2"/>
  <c r="C24" i="2" s="1"/>
  <c r="A24" i="2"/>
  <c r="L23" i="2"/>
  <c r="B23" i="2"/>
  <c r="A23" i="2"/>
  <c r="L22" i="2"/>
  <c r="B22" i="2"/>
  <c r="A22" i="2"/>
  <c r="M21" i="2"/>
  <c r="L21" i="2"/>
  <c r="B21" i="2"/>
  <c r="C21" i="2" s="1"/>
  <c r="A21" i="2"/>
  <c r="L20" i="2"/>
  <c r="B20" i="2"/>
  <c r="A20" i="2"/>
  <c r="N19" i="2"/>
  <c r="M19" i="2"/>
  <c r="L19" i="2"/>
  <c r="B19" i="2"/>
  <c r="C19" i="2" s="1"/>
  <c r="A19" i="2"/>
  <c r="M18" i="2"/>
  <c r="L18" i="2"/>
  <c r="B18" i="2"/>
  <c r="D18" i="2" s="1"/>
  <c r="K18" i="2" s="1"/>
  <c r="A18" i="2"/>
  <c r="L17" i="2"/>
  <c r="B17" i="2"/>
  <c r="C17" i="2" s="1"/>
  <c r="A17" i="2"/>
  <c r="L16" i="2"/>
  <c r="B16" i="2"/>
  <c r="A16" i="2"/>
  <c r="O15" i="2"/>
  <c r="N15" i="2"/>
  <c r="M15" i="2"/>
  <c r="L15" i="2"/>
  <c r="B15" i="2"/>
  <c r="C15" i="2" s="1"/>
  <c r="A15" i="2"/>
  <c r="N14" i="2"/>
  <c r="M14" i="2"/>
  <c r="L14" i="2"/>
  <c r="B14" i="2"/>
  <c r="D14" i="2" s="1"/>
  <c r="K14" i="2" s="1"/>
  <c r="A14" i="2"/>
  <c r="L13" i="2"/>
  <c r="B13" i="2"/>
  <c r="A13" i="2"/>
  <c r="N12" i="2"/>
  <c r="M12" i="2"/>
  <c r="L12" i="2"/>
  <c r="B12" i="2"/>
  <c r="C12" i="2" s="1"/>
  <c r="A12" i="2"/>
  <c r="M11" i="2"/>
  <c r="L11" i="2"/>
  <c r="B11" i="2"/>
  <c r="C11" i="2" s="1"/>
  <c r="A11" i="2"/>
  <c r="N10" i="2"/>
  <c r="M10" i="2"/>
  <c r="L10" i="2"/>
  <c r="B10" i="2"/>
  <c r="D10" i="2" s="1"/>
  <c r="K10" i="2" s="1"/>
  <c r="A10" i="2"/>
  <c r="L9" i="2"/>
  <c r="B9" i="2"/>
  <c r="C9" i="2" s="1"/>
  <c r="A9" i="2"/>
  <c r="N8" i="2"/>
  <c r="M8" i="2"/>
  <c r="L8" i="2"/>
  <c r="B8" i="2"/>
  <c r="A8" i="2"/>
  <c r="M7" i="2"/>
  <c r="L7" i="2"/>
  <c r="B7" i="2"/>
  <c r="C7" i="2" s="1"/>
  <c r="A7" i="2"/>
  <c r="M6" i="2"/>
  <c r="L6" i="2"/>
  <c r="B6" i="2"/>
  <c r="C6" i="2" s="1"/>
  <c r="A6" i="2"/>
  <c r="M5" i="2"/>
  <c r="L5" i="2"/>
  <c r="B5" i="2"/>
  <c r="A5" i="2"/>
  <c r="M4" i="2"/>
  <c r="L4" i="2"/>
  <c r="B4" i="2"/>
  <c r="A4" i="2"/>
  <c r="M3" i="2"/>
  <c r="L3" i="2"/>
  <c r="B3" i="2"/>
  <c r="A3" i="2"/>
  <c r="B2" i="2"/>
  <c r="A2" i="2"/>
  <c r="D36" i="2" l="1"/>
  <c r="K36" i="2" s="1"/>
  <c r="G39" i="2"/>
  <c r="D44" i="2"/>
  <c r="K44" i="2" s="1"/>
  <c r="D338" i="2"/>
  <c r="K338" i="2" s="1"/>
  <c r="E428" i="2"/>
  <c r="D603" i="2"/>
  <c r="K603" i="2" s="1"/>
  <c r="G616" i="2"/>
  <c r="H616" i="2" s="1"/>
  <c r="G133" i="2"/>
  <c r="H133" i="2" s="1"/>
  <c r="F133" i="2" s="1"/>
  <c r="E63" i="2"/>
  <c r="G349" i="2"/>
  <c r="G242" i="2"/>
  <c r="H242" i="2" s="1"/>
  <c r="F242" i="2" s="1"/>
  <c r="E278" i="2"/>
  <c r="G63" i="2"/>
  <c r="H63" i="2" s="1"/>
  <c r="J63" i="2" s="1"/>
  <c r="C657" i="2"/>
  <c r="E657" i="2" s="1"/>
  <c r="G306" i="2"/>
  <c r="H306" i="2" s="1"/>
  <c r="F306" i="2" s="1"/>
  <c r="G285" i="2"/>
  <c r="H285" i="2" s="1"/>
  <c r="J285" i="2" s="1"/>
  <c r="I285" i="2" s="1"/>
  <c r="G65" i="2"/>
  <c r="D391" i="2"/>
  <c r="K391" i="2" s="1"/>
  <c r="D403" i="2"/>
  <c r="K403" i="2" s="1"/>
  <c r="D396" i="2"/>
  <c r="K396" i="2" s="1"/>
  <c r="E279" i="2"/>
  <c r="D290" i="2"/>
  <c r="K290" i="2" s="1"/>
  <c r="D203" i="2"/>
  <c r="K203" i="2" s="1"/>
  <c r="D531" i="2"/>
  <c r="K531" i="2" s="1"/>
  <c r="D578" i="2"/>
  <c r="K578" i="2" s="1"/>
  <c r="G646" i="2"/>
  <c r="H646" i="2" s="1"/>
  <c r="D602" i="2"/>
  <c r="K602" i="2" s="1"/>
  <c r="C618" i="2"/>
  <c r="G18" i="2"/>
  <c r="H18" i="2" s="1"/>
  <c r="J18" i="2" s="1"/>
  <c r="I18" i="2" s="1"/>
  <c r="D63" i="2"/>
  <c r="K63" i="2" s="1"/>
  <c r="D266" i="2"/>
  <c r="K266" i="2" s="1"/>
  <c r="G278" i="2"/>
  <c r="H278" i="2" s="1"/>
  <c r="J278" i="2" s="1"/>
  <c r="I278" i="2" s="1"/>
  <c r="G343" i="2"/>
  <c r="G396" i="2"/>
  <c r="D527" i="2"/>
  <c r="K527" i="2" s="1"/>
  <c r="D537" i="2"/>
  <c r="K537" i="2" s="1"/>
  <c r="C617" i="2"/>
  <c r="C658" i="2"/>
  <c r="E658" i="2" s="1"/>
  <c r="D116" i="2"/>
  <c r="K116" i="2" s="1"/>
  <c r="G170" i="2"/>
  <c r="H170" i="2" s="1"/>
  <c r="D184" i="2"/>
  <c r="K184" i="2" s="1"/>
  <c r="D242" i="2"/>
  <c r="K242" i="2" s="1"/>
  <c r="D434" i="2"/>
  <c r="K434" i="2" s="1"/>
  <c r="C650" i="2"/>
  <c r="E650" i="2" s="1"/>
  <c r="D71" i="2"/>
  <c r="K71" i="2" s="1"/>
  <c r="C71" i="2"/>
  <c r="E71" i="2" s="1"/>
  <c r="C196" i="2"/>
  <c r="E196" i="2" s="1"/>
  <c r="D260" i="2"/>
  <c r="K260" i="2" s="1"/>
  <c r="C260" i="2"/>
  <c r="G384" i="2"/>
  <c r="C384" i="2"/>
  <c r="E384" i="2" s="1"/>
  <c r="G96" i="2"/>
  <c r="C96" i="2"/>
  <c r="E96" i="2" s="1"/>
  <c r="D120" i="2"/>
  <c r="K120" i="2" s="1"/>
  <c r="C120" i="2"/>
  <c r="E120" i="2" s="1"/>
  <c r="G14" i="2"/>
  <c r="H14" i="2" s="1"/>
  <c r="J14" i="2" s="1"/>
  <c r="I14" i="2" s="1"/>
  <c r="C14" i="2"/>
  <c r="G19" i="2"/>
  <c r="D23" i="2"/>
  <c r="K23" i="2" s="1"/>
  <c r="C23" i="2"/>
  <c r="E23" i="2" s="1"/>
  <c r="D31" i="2"/>
  <c r="K31" i="2" s="1"/>
  <c r="C31" i="2"/>
  <c r="E31" i="2" s="1"/>
  <c r="D41" i="2"/>
  <c r="K41" i="2" s="1"/>
  <c r="G48" i="2"/>
  <c r="H48" i="2" s="1"/>
  <c r="C48" i="2"/>
  <c r="D50" i="2"/>
  <c r="K50" i="2" s="1"/>
  <c r="G55" i="2"/>
  <c r="H55" i="2" s="1"/>
  <c r="J55" i="2" s="1"/>
  <c r="C55" i="2"/>
  <c r="E55" i="2" s="1"/>
  <c r="C59" i="2"/>
  <c r="E59" i="2" s="1"/>
  <c r="D70" i="2"/>
  <c r="K70" i="2" s="1"/>
  <c r="C70" i="2"/>
  <c r="E70" i="2" s="1"/>
  <c r="C83" i="2"/>
  <c r="E83" i="2" s="1"/>
  <c r="G101" i="2"/>
  <c r="H101" i="2" s="1"/>
  <c r="J101" i="2" s="1"/>
  <c r="C101" i="2"/>
  <c r="D111" i="2"/>
  <c r="K111" i="2" s="1"/>
  <c r="C111" i="2"/>
  <c r="E111" i="2" s="1"/>
  <c r="D118" i="2"/>
  <c r="K118" i="2" s="1"/>
  <c r="C118" i="2"/>
  <c r="E118" i="2" s="1"/>
  <c r="G123" i="2"/>
  <c r="H123" i="2" s="1"/>
  <c r="F123" i="2" s="1"/>
  <c r="C123" i="2"/>
  <c r="E123" i="2" s="1"/>
  <c r="G151" i="2"/>
  <c r="H151" i="2" s="1"/>
  <c r="D195" i="2"/>
  <c r="K195" i="2" s="1"/>
  <c r="C195" i="2"/>
  <c r="E195" i="2" s="1"/>
  <c r="D259" i="2"/>
  <c r="K259" i="2" s="1"/>
  <c r="D280" i="2"/>
  <c r="K280" i="2" s="1"/>
  <c r="C280" i="2"/>
  <c r="E280" i="2" s="1"/>
  <c r="G293" i="2"/>
  <c r="H293" i="2" s="1"/>
  <c r="J293" i="2" s="1"/>
  <c r="I293" i="2" s="1"/>
  <c r="C293" i="2"/>
  <c r="E293" i="2" s="1"/>
  <c r="G301" i="2"/>
  <c r="C301" i="2"/>
  <c r="D305" i="2"/>
  <c r="K305" i="2" s="1"/>
  <c r="D307" i="2"/>
  <c r="K307" i="2" s="1"/>
  <c r="C307" i="2"/>
  <c r="E307" i="2" s="1"/>
  <c r="G314" i="2"/>
  <c r="H314" i="2" s="1"/>
  <c r="F314" i="2" s="1"/>
  <c r="C331" i="2"/>
  <c r="E331" i="2" s="1"/>
  <c r="D369" i="2"/>
  <c r="K369" i="2" s="1"/>
  <c r="G374" i="2"/>
  <c r="H374" i="2" s="1"/>
  <c r="C374" i="2"/>
  <c r="E374" i="2" s="1"/>
  <c r="G383" i="2"/>
  <c r="H383" i="2" s="1"/>
  <c r="F383" i="2" s="1"/>
  <c r="D399" i="2"/>
  <c r="K399" i="2" s="1"/>
  <c r="D430" i="2"/>
  <c r="K430" i="2" s="1"/>
  <c r="C430" i="2"/>
  <c r="E430" i="2" s="1"/>
  <c r="C446" i="2"/>
  <c r="E446" i="2" s="1"/>
  <c r="C451" i="2"/>
  <c r="E451" i="2" s="1"/>
  <c r="D476" i="2"/>
  <c r="K476" i="2" s="1"/>
  <c r="C476" i="2"/>
  <c r="E476" i="2" s="1"/>
  <c r="G494" i="2"/>
  <c r="H494" i="2" s="1"/>
  <c r="C494" i="2"/>
  <c r="E494" i="2" s="1"/>
  <c r="C525" i="2"/>
  <c r="E525" i="2" s="1"/>
  <c r="D581" i="2"/>
  <c r="K581" i="2" s="1"/>
  <c r="C581" i="2"/>
  <c r="E581" i="2" s="1"/>
  <c r="D589" i="2"/>
  <c r="K589" i="2" s="1"/>
  <c r="C589" i="2"/>
  <c r="D604" i="2"/>
  <c r="K604" i="2" s="1"/>
  <c r="C604" i="2"/>
  <c r="E604" i="2" s="1"/>
  <c r="G654" i="2"/>
  <c r="C654" i="2"/>
  <c r="C546" i="2"/>
  <c r="E546" i="2" s="1"/>
  <c r="C482" i="2"/>
  <c r="E482" i="2" s="1"/>
  <c r="C418" i="2"/>
  <c r="E418" i="2" s="1"/>
  <c r="C322" i="2"/>
  <c r="E322" i="2" s="1"/>
  <c r="C98" i="2"/>
  <c r="E98" i="2" s="1"/>
  <c r="C66" i="2"/>
  <c r="E66" i="2" s="1"/>
  <c r="C34" i="2"/>
  <c r="E34" i="2" s="1"/>
  <c r="G92" i="2"/>
  <c r="H92" i="2" s="1"/>
  <c r="J92" i="2" s="1"/>
  <c r="C92" i="2"/>
  <c r="E92" i="2" s="1"/>
  <c r="G102" i="2"/>
  <c r="H102" i="2" s="1"/>
  <c r="F102" i="2" s="1"/>
  <c r="C102" i="2"/>
  <c r="E102" i="2" s="1"/>
  <c r="G251" i="2"/>
  <c r="H251" i="2" s="1"/>
  <c r="J251" i="2" s="1"/>
  <c r="I251" i="2" s="1"/>
  <c r="C251" i="2"/>
  <c r="E251" i="2" s="1"/>
  <c r="D310" i="2"/>
  <c r="K310" i="2" s="1"/>
  <c r="C310" i="2"/>
  <c r="E310" i="2" s="1"/>
  <c r="G3" i="2"/>
  <c r="H3" i="2" s="1"/>
  <c r="C3" i="2"/>
  <c r="E3" i="2" s="1"/>
  <c r="G35" i="2"/>
  <c r="H35" i="2" s="1"/>
  <c r="J35" i="2" s="1"/>
  <c r="I35" i="2" s="1"/>
  <c r="C35" i="2"/>
  <c r="E35" i="2" s="1"/>
  <c r="G46" i="2"/>
  <c r="H46" i="2" s="1"/>
  <c r="C46" i="2"/>
  <c r="E46" i="2" s="1"/>
  <c r="C87" i="2"/>
  <c r="E87" i="2" s="1"/>
  <c r="G99" i="2"/>
  <c r="C99" i="2"/>
  <c r="E99" i="2" s="1"/>
  <c r="C126" i="2"/>
  <c r="E126" i="2" s="1"/>
  <c r="G135" i="2"/>
  <c r="H135" i="2" s="1"/>
  <c r="C135" i="2"/>
  <c r="E135" i="2" s="1"/>
  <c r="G149" i="2"/>
  <c r="H149" i="2" s="1"/>
  <c r="J149" i="2" s="1"/>
  <c r="C149" i="2"/>
  <c r="E149" i="2" s="1"/>
  <c r="C160" i="2"/>
  <c r="E160" i="2" s="1"/>
  <c r="D188" i="2"/>
  <c r="K188" i="2" s="1"/>
  <c r="C188" i="2"/>
  <c r="E188" i="2" s="1"/>
  <c r="D199" i="2"/>
  <c r="K199" i="2" s="1"/>
  <c r="C199" i="2"/>
  <c r="E199" i="2" s="1"/>
  <c r="D208" i="2"/>
  <c r="K208" i="2" s="1"/>
  <c r="C208" i="2"/>
  <c r="E208" i="2" s="1"/>
  <c r="D237" i="2"/>
  <c r="K237" i="2" s="1"/>
  <c r="C237" i="2"/>
  <c r="D263" i="2"/>
  <c r="K263" i="2" s="1"/>
  <c r="C263" i="2"/>
  <c r="E263" i="2" s="1"/>
  <c r="D269" i="2"/>
  <c r="K269" i="2" s="1"/>
  <c r="C269" i="2"/>
  <c r="E269" i="2" s="1"/>
  <c r="D271" i="2"/>
  <c r="K271" i="2" s="1"/>
  <c r="C271" i="2"/>
  <c r="E271" i="2" s="1"/>
  <c r="G305" i="2"/>
  <c r="H305" i="2" s="1"/>
  <c r="D317" i="2"/>
  <c r="K317" i="2" s="1"/>
  <c r="C317" i="2"/>
  <c r="E317" i="2" s="1"/>
  <c r="D367" i="2"/>
  <c r="K367" i="2" s="1"/>
  <c r="C367" i="2"/>
  <c r="E367" i="2" s="1"/>
  <c r="D397" i="2"/>
  <c r="K397" i="2" s="1"/>
  <c r="C397" i="2"/>
  <c r="E397" i="2" s="1"/>
  <c r="G406" i="2"/>
  <c r="H406" i="2" s="1"/>
  <c r="F406" i="2" s="1"/>
  <c r="C406" i="2"/>
  <c r="E406" i="2" s="1"/>
  <c r="D471" i="2"/>
  <c r="K471" i="2" s="1"/>
  <c r="C471" i="2"/>
  <c r="E471" i="2" s="1"/>
  <c r="D484" i="2"/>
  <c r="K484" i="2" s="1"/>
  <c r="C484" i="2"/>
  <c r="E484" i="2" s="1"/>
  <c r="D502" i="2"/>
  <c r="K502" i="2" s="1"/>
  <c r="C502" i="2"/>
  <c r="E502" i="2" s="1"/>
  <c r="D584" i="2"/>
  <c r="K584" i="2" s="1"/>
  <c r="C584" i="2"/>
  <c r="D597" i="2"/>
  <c r="K597" i="2" s="1"/>
  <c r="C597" i="2"/>
  <c r="E597" i="2" s="1"/>
  <c r="D620" i="2"/>
  <c r="K620" i="2" s="1"/>
  <c r="C620" i="2"/>
  <c r="E620" i="2" s="1"/>
  <c r="D628" i="2"/>
  <c r="K628" i="2" s="1"/>
  <c r="C628" i="2"/>
  <c r="E628" i="2" s="1"/>
  <c r="G644" i="2"/>
  <c r="H644" i="2" s="1"/>
  <c r="F644" i="2" s="1"/>
  <c r="C644" i="2"/>
  <c r="C641" i="2"/>
  <c r="C577" i="2"/>
  <c r="E577" i="2" s="1"/>
  <c r="C545" i="2"/>
  <c r="E545" i="2" s="1"/>
  <c r="C481" i="2"/>
  <c r="E481" i="2" s="1"/>
  <c r="C449" i="2"/>
  <c r="E449" i="2" s="1"/>
  <c r="C353" i="2"/>
  <c r="E353" i="2" s="1"/>
  <c r="C321" i="2"/>
  <c r="E321" i="2" s="1"/>
  <c r="C225" i="2"/>
  <c r="E225" i="2" s="1"/>
  <c r="C33" i="2"/>
  <c r="E33" i="2" s="1"/>
  <c r="D51" i="2"/>
  <c r="K51" i="2" s="1"/>
  <c r="C51" i="2"/>
  <c r="E51" i="2" s="1"/>
  <c r="G60" i="2"/>
  <c r="H60" i="2" s="1"/>
  <c r="J60" i="2" s="1"/>
  <c r="I60" i="2" s="1"/>
  <c r="C60" i="2"/>
  <c r="E60" i="2" s="1"/>
  <c r="C124" i="2"/>
  <c r="E124" i="2" s="1"/>
  <c r="G29" i="2"/>
  <c r="H29" i="2" s="1"/>
  <c r="C29" i="2"/>
  <c r="D28" i="2"/>
  <c r="K28" i="2" s="1"/>
  <c r="C28" i="2"/>
  <c r="E28" i="2" s="1"/>
  <c r="C85" i="2"/>
  <c r="E85" i="2" s="1"/>
  <c r="G5" i="2"/>
  <c r="H5" i="2" s="1"/>
  <c r="C5" i="2"/>
  <c r="E5" i="2" s="1"/>
  <c r="G23" i="2"/>
  <c r="H23" i="2" s="1"/>
  <c r="J23" i="2" s="1"/>
  <c r="I23" i="2" s="1"/>
  <c r="G57" i="2"/>
  <c r="H57" i="2" s="1"/>
  <c r="J57" i="2" s="1"/>
  <c r="I57" i="2" s="1"/>
  <c r="D62" i="2"/>
  <c r="K62" i="2" s="1"/>
  <c r="C62" i="2"/>
  <c r="E62" i="2" s="1"/>
  <c r="G68" i="2"/>
  <c r="H68" i="2" s="1"/>
  <c r="J68" i="2" s="1"/>
  <c r="C68" i="2"/>
  <c r="E68" i="2" s="1"/>
  <c r="E116" i="2"/>
  <c r="D171" i="2"/>
  <c r="K171" i="2" s="1"/>
  <c r="C171" i="2"/>
  <c r="E171" i="2" s="1"/>
  <c r="C179" i="2"/>
  <c r="E179" i="2" s="1"/>
  <c r="G201" i="2"/>
  <c r="G211" i="2"/>
  <c r="C215" i="2"/>
  <c r="E215" i="2" s="1"/>
  <c r="G224" i="2"/>
  <c r="H224" i="2" s="1"/>
  <c r="F224" i="2" s="1"/>
  <c r="C224" i="2"/>
  <c r="E224" i="2" s="1"/>
  <c r="D246" i="2"/>
  <c r="K246" i="2" s="1"/>
  <c r="C246" i="2"/>
  <c r="E246" i="2" s="1"/>
  <c r="D256" i="2"/>
  <c r="K256" i="2" s="1"/>
  <c r="C256" i="2"/>
  <c r="E256" i="2" s="1"/>
  <c r="G269" i="2"/>
  <c r="H269" i="2" s="1"/>
  <c r="G291" i="2"/>
  <c r="C291" i="2"/>
  <c r="E291" i="2" s="1"/>
  <c r="C320" i="2"/>
  <c r="E320" i="2" s="1"/>
  <c r="D327" i="2"/>
  <c r="K327" i="2" s="1"/>
  <c r="C327" i="2"/>
  <c r="E327" i="2" s="1"/>
  <c r="G359" i="2"/>
  <c r="H359" i="2" s="1"/>
  <c r="F359" i="2" s="1"/>
  <c r="C359" i="2"/>
  <c r="E359" i="2" s="1"/>
  <c r="G372" i="2"/>
  <c r="C372" i="2"/>
  <c r="E386" i="2"/>
  <c r="G416" i="2"/>
  <c r="H416" i="2" s="1"/>
  <c r="C416" i="2"/>
  <c r="E416" i="2" s="1"/>
  <c r="D428" i="2"/>
  <c r="K428" i="2" s="1"/>
  <c r="C444" i="2"/>
  <c r="E444" i="2" s="1"/>
  <c r="D479" i="2"/>
  <c r="K479" i="2" s="1"/>
  <c r="C479" i="2"/>
  <c r="G492" i="2"/>
  <c r="C492" i="2"/>
  <c r="E492" i="2" s="1"/>
  <c r="G497" i="2"/>
  <c r="H497" i="2" s="1"/>
  <c r="G533" i="2"/>
  <c r="H533" i="2" s="1"/>
  <c r="C533" i="2"/>
  <c r="E533" i="2" s="1"/>
  <c r="D553" i="2"/>
  <c r="K553" i="2" s="1"/>
  <c r="G587" i="2"/>
  <c r="C587" i="2"/>
  <c r="D592" i="2"/>
  <c r="K592" i="2" s="1"/>
  <c r="D600" i="2"/>
  <c r="K600" i="2" s="1"/>
  <c r="C600" i="2"/>
  <c r="E600" i="2" s="1"/>
  <c r="C538" i="2"/>
  <c r="E538" i="2" s="1"/>
  <c r="C506" i="2"/>
  <c r="E506" i="2" s="1"/>
  <c r="C442" i="2"/>
  <c r="E442" i="2" s="1"/>
  <c r="C218" i="2"/>
  <c r="E218" i="2" s="1"/>
  <c r="C122" i="2"/>
  <c r="C90" i="2"/>
  <c r="E90" i="2" s="1"/>
  <c r="C58" i="2"/>
  <c r="E58" i="2" s="1"/>
  <c r="D454" i="2"/>
  <c r="K454" i="2" s="1"/>
  <c r="D459" i="2"/>
  <c r="K459" i="2" s="1"/>
  <c r="C459" i="2"/>
  <c r="E459" i="2" s="1"/>
  <c r="G477" i="2"/>
  <c r="H477" i="2" s="1"/>
  <c r="C477" i="2"/>
  <c r="D487" i="2"/>
  <c r="K487" i="2" s="1"/>
  <c r="D582" i="2"/>
  <c r="K582" i="2" s="1"/>
  <c r="C582" i="2"/>
  <c r="E582" i="2" s="1"/>
  <c r="C601" i="2"/>
  <c r="E601" i="2" s="1"/>
  <c r="C537" i="2"/>
  <c r="E537" i="2" s="1"/>
  <c r="C505" i="2"/>
  <c r="E505" i="2" s="1"/>
  <c r="C473" i="2"/>
  <c r="C441" i="2"/>
  <c r="E441" i="2" s="1"/>
  <c r="C409" i="2"/>
  <c r="C313" i="2"/>
  <c r="E313" i="2" s="1"/>
  <c r="C281" i="2"/>
  <c r="E281" i="2" s="1"/>
  <c r="C249" i="2"/>
  <c r="E249" i="2" s="1"/>
  <c r="C217" i="2"/>
  <c r="E217" i="2" s="1"/>
  <c r="C121" i="2"/>
  <c r="E121" i="2" s="1"/>
  <c r="C89" i="2"/>
  <c r="C57" i="2"/>
  <c r="E57" i="2" s="1"/>
  <c r="C25" i="2"/>
  <c r="D174" i="2"/>
  <c r="K174" i="2" s="1"/>
  <c r="C174" i="2"/>
  <c r="E174" i="2" s="1"/>
  <c r="G315" i="2"/>
  <c r="H315" i="2" s="1"/>
  <c r="J315" i="2" s="1"/>
  <c r="I315" i="2" s="1"/>
  <c r="C315" i="2"/>
  <c r="E315" i="2" s="1"/>
  <c r="G332" i="2"/>
  <c r="H332" i="2" s="1"/>
  <c r="C332" i="2"/>
  <c r="G351" i="2"/>
  <c r="C351" i="2"/>
  <c r="G400" i="2"/>
  <c r="H400" i="2" s="1"/>
  <c r="F400" i="2" s="1"/>
  <c r="C400" i="2"/>
  <c r="E400" i="2" s="1"/>
  <c r="G40" i="2"/>
  <c r="H40" i="2" s="1"/>
  <c r="J40" i="2" s="1"/>
  <c r="I40" i="2" s="1"/>
  <c r="C40" i="2"/>
  <c r="E40" i="2" s="1"/>
  <c r="D42" i="2"/>
  <c r="K42" i="2" s="1"/>
  <c r="D49" i="2"/>
  <c r="K49" i="2" s="1"/>
  <c r="D60" i="2"/>
  <c r="K60" i="2" s="1"/>
  <c r="G71" i="2"/>
  <c r="H71" i="2" s="1"/>
  <c r="J71" i="2" s="1"/>
  <c r="G88" i="2"/>
  <c r="H88" i="2" s="1"/>
  <c r="J88" i="2" s="1"/>
  <c r="I88" i="2" s="1"/>
  <c r="C88" i="2"/>
  <c r="E88" i="2" s="1"/>
  <c r="G95" i="2"/>
  <c r="H95" i="2" s="1"/>
  <c r="J95" i="2" s="1"/>
  <c r="I95" i="2" s="1"/>
  <c r="C95" i="2"/>
  <c r="E95" i="2" s="1"/>
  <c r="D115" i="2"/>
  <c r="K115" i="2" s="1"/>
  <c r="C115" i="2"/>
  <c r="D119" i="2"/>
  <c r="K119" i="2" s="1"/>
  <c r="G127" i="2"/>
  <c r="H127" i="2" s="1"/>
  <c r="J127" i="2" s="1"/>
  <c r="I127" i="2" s="1"/>
  <c r="C127" i="2"/>
  <c r="E127" i="2" s="1"/>
  <c r="G140" i="2"/>
  <c r="H140" i="2" s="1"/>
  <c r="J140" i="2" s="1"/>
  <c r="I140" i="2" s="1"/>
  <c r="C140" i="2"/>
  <c r="E140" i="2" s="1"/>
  <c r="G155" i="2"/>
  <c r="H155" i="2" s="1"/>
  <c r="F155" i="2" s="1"/>
  <c r="C155" i="2"/>
  <c r="E155" i="2" s="1"/>
  <c r="G157" i="2"/>
  <c r="H157" i="2" s="1"/>
  <c r="F157" i="2" s="1"/>
  <c r="D159" i="2"/>
  <c r="K159" i="2" s="1"/>
  <c r="G174" i="2"/>
  <c r="H174" i="2" s="1"/>
  <c r="J174" i="2" s="1"/>
  <c r="I174" i="2" s="1"/>
  <c r="D196" i="2"/>
  <c r="K196" i="2" s="1"/>
  <c r="D198" i="2"/>
  <c r="K198" i="2" s="1"/>
  <c r="C198" i="2"/>
  <c r="E198" i="2" s="1"/>
  <c r="G220" i="2"/>
  <c r="H220" i="2" s="1"/>
  <c r="J220" i="2" s="1"/>
  <c r="I220" i="2" s="1"/>
  <c r="C220" i="2"/>
  <c r="E220" i="2" s="1"/>
  <c r="D244" i="2"/>
  <c r="K244" i="2" s="1"/>
  <c r="C244" i="2"/>
  <c r="E244" i="2" s="1"/>
  <c r="H262" i="2"/>
  <c r="J262" i="2" s="1"/>
  <c r="I262" i="2" s="1"/>
  <c r="C262" i="2"/>
  <c r="C268" i="2"/>
  <c r="E268" i="2" s="1"/>
  <c r="D284" i="2"/>
  <c r="K284" i="2" s="1"/>
  <c r="C284" i="2"/>
  <c r="E284" i="2" s="1"/>
  <c r="G358" i="2"/>
  <c r="H358" i="2" s="1"/>
  <c r="J358" i="2" s="1"/>
  <c r="I358" i="2" s="1"/>
  <c r="C358" i="2"/>
  <c r="G398" i="2"/>
  <c r="H398" i="2" s="1"/>
  <c r="J398" i="2" s="1"/>
  <c r="C398" i="2"/>
  <c r="G414" i="2"/>
  <c r="H414" i="2" s="1"/>
  <c r="F414" i="2" s="1"/>
  <c r="C414" i="2"/>
  <c r="E414" i="2" s="1"/>
  <c r="G433" i="2"/>
  <c r="H433" i="2" s="1"/>
  <c r="F433" i="2" s="1"/>
  <c r="D437" i="2"/>
  <c r="K437" i="2" s="1"/>
  <c r="C437" i="2"/>
  <c r="E437" i="2" s="1"/>
  <c r="G452" i="2"/>
  <c r="H452" i="2" s="1"/>
  <c r="F452" i="2" s="1"/>
  <c r="C452" i="2"/>
  <c r="G454" i="2"/>
  <c r="H454" i="2" s="1"/>
  <c r="F454" i="2" s="1"/>
  <c r="G462" i="2"/>
  <c r="H462" i="2" s="1"/>
  <c r="C462" i="2"/>
  <c r="E462" i="2" s="1"/>
  <c r="C472" i="2"/>
  <c r="E472" i="2" s="1"/>
  <c r="D477" i="2"/>
  <c r="K477" i="2" s="1"/>
  <c r="D503" i="2"/>
  <c r="K503" i="2" s="1"/>
  <c r="C503" i="2"/>
  <c r="E503" i="2" s="1"/>
  <c r="G541" i="2"/>
  <c r="H541" i="2" s="1"/>
  <c r="J541" i="2" s="1"/>
  <c r="C541" i="2"/>
  <c r="E541" i="2" s="1"/>
  <c r="C594" i="2"/>
  <c r="E594" i="2" s="1"/>
  <c r="C562" i="2"/>
  <c r="E562" i="2" s="1"/>
  <c r="C466" i="2"/>
  <c r="E466" i="2" s="1"/>
  <c r="C434" i="2"/>
  <c r="E434" i="2" s="1"/>
  <c r="C370" i="2"/>
  <c r="E370" i="2" s="1"/>
  <c r="C306" i="2"/>
  <c r="E306" i="2" s="1"/>
  <c r="C274" i="2"/>
  <c r="E274" i="2" s="1"/>
  <c r="C210" i="2"/>
  <c r="E210" i="2" s="1"/>
  <c r="C178" i="2"/>
  <c r="E178" i="2" s="1"/>
  <c r="C18" i="2"/>
  <c r="E18" i="2" s="1"/>
  <c r="G147" i="2"/>
  <c r="H147" i="2" s="1"/>
  <c r="C147" i="2"/>
  <c r="E147" i="2" s="1"/>
  <c r="D235" i="2"/>
  <c r="K235" i="2" s="1"/>
  <c r="C235" i="2"/>
  <c r="E235" i="2" s="1"/>
  <c r="C419" i="2"/>
  <c r="E419" i="2" s="1"/>
  <c r="G11" i="2"/>
  <c r="H11" i="2" s="1"/>
  <c r="J11" i="2" s="1"/>
  <c r="I11" i="2" s="1"/>
  <c r="G32" i="2"/>
  <c r="H32" i="2" s="1"/>
  <c r="J32" i="2" s="1"/>
  <c r="I32" i="2" s="1"/>
  <c r="C32" i="2"/>
  <c r="E32" i="2" s="1"/>
  <c r="D13" i="2"/>
  <c r="K13" i="2" s="1"/>
  <c r="C13" i="2"/>
  <c r="E13" i="2" s="1"/>
  <c r="G20" i="2"/>
  <c r="H20" i="2" s="1"/>
  <c r="J20" i="2" s="1"/>
  <c r="I20" i="2" s="1"/>
  <c r="C20" i="2"/>
  <c r="E20" i="2" s="1"/>
  <c r="G22" i="2"/>
  <c r="H22" i="2" s="1"/>
  <c r="F22" i="2" s="1"/>
  <c r="C22" i="2"/>
  <c r="E22" i="2" s="1"/>
  <c r="G38" i="2"/>
  <c r="H38" i="2" s="1"/>
  <c r="J38" i="2" s="1"/>
  <c r="I38" i="2" s="1"/>
  <c r="C38" i="2"/>
  <c r="E38" i="2" s="1"/>
  <c r="G47" i="2"/>
  <c r="H47" i="2" s="1"/>
  <c r="J47" i="2" s="1"/>
  <c r="I47" i="2" s="1"/>
  <c r="D88" i="2"/>
  <c r="K88" i="2" s="1"/>
  <c r="C100" i="2"/>
  <c r="E100" i="2" s="1"/>
  <c r="D117" i="2"/>
  <c r="K117" i="2" s="1"/>
  <c r="C117" i="2"/>
  <c r="E117" i="2" s="1"/>
  <c r="D127" i="2"/>
  <c r="K127" i="2" s="1"/>
  <c r="D136" i="2"/>
  <c r="K136" i="2" s="1"/>
  <c r="C136" i="2"/>
  <c r="E136" i="2" s="1"/>
  <c r="D145" i="2"/>
  <c r="K145" i="2" s="1"/>
  <c r="E159" i="2"/>
  <c r="C180" i="2"/>
  <c r="E180" i="2" s="1"/>
  <c r="C182" i="2"/>
  <c r="E182" i="2" s="1"/>
  <c r="C192" i="2"/>
  <c r="E192" i="2" s="1"/>
  <c r="G196" i="2"/>
  <c r="H196" i="2" s="1"/>
  <c r="D200" i="2"/>
  <c r="K200" i="2" s="1"/>
  <c r="C207" i="2"/>
  <c r="E207" i="2" s="1"/>
  <c r="C216" i="2"/>
  <c r="E216" i="2" s="1"/>
  <c r="C229" i="2"/>
  <c r="E229" i="2" s="1"/>
  <c r="G238" i="2"/>
  <c r="H238" i="2" s="1"/>
  <c r="J238" i="2" s="1"/>
  <c r="I238" i="2" s="1"/>
  <c r="C238" i="2"/>
  <c r="C270" i="2"/>
  <c r="E270" i="2" s="1"/>
  <c r="C292" i="2"/>
  <c r="E292" i="2" s="1"/>
  <c r="D300" i="2"/>
  <c r="K300" i="2" s="1"/>
  <c r="C300" i="2"/>
  <c r="E300" i="2" s="1"/>
  <c r="D328" i="2"/>
  <c r="K328" i="2" s="1"/>
  <c r="C328" i="2"/>
  <c r="E328" i="2" s="1"/>
  <c r="D335" i="2"/>
  <c r="K335" i="2" s="1"/>
  <c r="C335" i="2"/>
  <c r="D342" i="2"/>
  <c r="K342" i="2" s="1"/>
  <c r="C342" i="2"/>
  <c r="H403" i="2"/>
  <c r="J403" i="2" s="1"/>
  <c r="C403" i="2"/>
  <c r="E403" i="2" s="1"/>
  <c r="D470" i="2"/>
  <c r="K470" i="2" s="1"/>
  <c r="C470" i="2"/>
  <c r="E470" i="2" s="1"/>
  <c r="G534" i="2"/>
  <c r="H534" i="2" s="1"/>
  <c r="J534" i="2" s="1"/>
  <c r="I534" i="2" s="1"/>
  <c r="C534" i="2"/>
  <c r="G544" i="2"/>
  <c r="C544" i="2"/>
  <c r="G567" i="2"/>
  <c r="H567" i="2" s="1"/>
  <c r="J567" i="2" s="1"/>
  <c r="I567" i="2" s="1"/>
  <c r="C567" i="2"/>
  <c r="E567" i="2" s="1"/>
  <c r="C575" i="2"/>
  <c r="E575" i="2" s="1"/>
  <c r="D575" i="2"/>
  <c r="K575" i="2" s="1"/>
  <c r="D588" i="2"/>
  <c r="K588" i="2" s="1"/>
  <c r="C588" i="2"/>
  <c r="D611" i="2"/>
  <c r="K611" i="2" s="1"/>
  <c r="C611" i="2"/>
  <c r="C593" i="2"/>
  <c r="E593" i="2" s="1"/>
  <c r="C529" i="2"/>
  <c r="E529" i="2" s="1"/>
  <c r="C497" i="2"/>
  <c r="E497" i="2" s="1"/>
  <c r="C465" i="2"/>
  <c r="E465" i="2" s="1"/>
  <c r="C401" i="2"/>
  <c r="E401" i="2" s="1"/>
  <c r="C337" i="2"/>
  <c r="C273" i="2"/>
  <c r="E273" i="2" s="1"/>
  <c r="C177" i="2"/>
  <c r="E177" i="2" s="1"/>
  <c r="C81" i="2"/>
  <c r="E81" i="2" s="1"/>
  <c r="G168" i="2"/>
  <c r="H168" i="2" s="1"/>
  <c r="C168" i="2"/>
  <c r="E168" i="2" s="1"/>
  <c r="G304" i="2"/>
  <c r="H304" i="2" s="1"/>
  <c r="J304" i="2" s="1"/>
  <c r="I304" i="2" s="1"/>
  <c r="C304" i="2"/>
  <c r="E304" i="2" s="1"/>
  <c r="D365" i="2"/>
  <c r="K365" i="2" s="1"/>
  <c r="C365" i="2"/>
  <c r="C424" i="2"/>
  <c r="E424" i="2" s="1"/>
  <c r="D16" i="2"/>
  <c r="K16" i="2" s="1"/>
  <c r="C16" i="2"/>
  <c r="E16" i="2" s="1"/>
  <c r="D4" i="2"/>
  <c r="K4" i="2" s="1"/>
  <c r="C4" i="2"/>
  <c r="E4" i="2" s="1"/>
  <c r="G4" i="2"/>
  <c r="H4" i="2" s="1"/>
  <c r="J4" i="2" s="1"/>
  <c r="I4" i="2" s="1"/>
  <c r="G8" i="2"/>
  <c r="H8" i="2" s="1"/>
  <c r="C8" i="2"/>
  <c r="E8" i="2" s="1"/>
  <c r="C27" i="2"/>
  <c r="E27" i="2" s="1"/>
  <c r="D52" i="2"/>
  <c r="K52" i="2" s="1"/>
  <c r="C52" i="2"/>
  <c r="E52" i="2" s="1"/>
  <c r="D74" i="2"/>
  <c r="K74" i="2" s="1"/>
  <c r="G76" i="2"/>
  <c r="H76" i="2" s="1"/>
  <c r="J76" i="2" s="1"/>
  <c r="I76" i="2" s="1"/>
  <c r="G91" i="2"/>
  <c r="H91" i="2" s="1"/>
  <c r="J91" i="2" s="1"/>
  <c r="C91" i="2"/>
  <c r="D93" i="2"/>
  <c r="K93" i="2" s="1"/>
  <c r="C93" i="2"/>
  <c r="G108" i="2"/>
  <c r="H108" i="2" s="1"/>
  <c r="J108" i="2" s="1"/>
  <c r="C108" i="2"/>
  <c r="E108" i="2" s="1"/>
  <c r="G143" i="2"/>
  <c r="H143" i="2" s="1"/>
  <c r="J143" i="2" s="1"/>
  <c r="I143" i="2" s="1"/>
  <c r="C143" i="2"/>
  <c r="E143" i="2" s="1"/>
  <c r="G159" i="2"/>
  <c r="H159" i="2" s="1"/>
  <c r="J159" i="2" s="1"/>
  <c r="I159" i="2" s="1"/>
  <c r="D180" i="2"/>
  <c r="K180" i="2" s="1"/>
  <c r="D192" i="2"/>
  <c r="K192" i="2" s="1"/>
  <c r="D220" i="2"/>
  <c r="K220" i="2" s="1"/>
  <c r="G255" i="2"/>
  <c r="H255" i="2" s="1"/>
  <c r="J255" i="2" s="1"/>
  <c r="I255" i="2" s="1"/>
  <c r="C255" i="2"/>
  <c r="E255" i="2" s="1"/>
  <c r="E257" i="2"/>
  <c r="D278" i="2"/>
  <c r="K278" i="2" s="1"/>
  <c r="G286" i="2"/>
  <c r="H286" i="2" s="1"/>
  <c r="F286" i="2" s="1"/>
  <c r="C286" i="2"/>
  <c r="D288" i="2"/>
  <c r="K288" i="2" s="1"/>
  <c r="C288" i="2"/>
  <c r="E288" i="2" s="1"/>
  <c r="G311" i="2"/>
  <c r="H311" i="2" s="1"/>
  <c r="J311" i="2" s="1"/>
  <c r="C311" i="2"/>
  <c r="E311" i="2" s="1"/>
  <c r="C316" i="2"/>
  <c r="E316" i="2" s="1"/>
  <c r="D323" i="2"/>
  <c r="K323" i="2" s="1"/>
  <c r="G347" i="2"/>
  <c r="H347" i="2" s="1"/>
  <c r="F347" i="2" s="1"/>
  <c r="C347" i="2"/>
  <c r="E347" i="2" s="1"/>
  <c r="G360" i="2"/>
  <c r="H360" i="2" s="1"/>
  <c r="J360" i="2" s="1"/>
  <c r="C360" i="2"/>
  <c r="E360" i="2" s="1"/>
  <c r="G387" i="2"/>
  <c r="H387" i="2" s="1"/>
  <c r="F387" i="2" s="1"/>
  <c r="D405" i="2"/>
  <c r="K405" i="2" s="1"/>
  <c r="C405" i="2"/>
  <c r="E405" i="2" s="1"/>
  <c r="D407" i="2"/>
  <c r="K407" i="2" s="1"/>
  <c r="C407" i="2"/>
  <c r="E407" i="2" s="1"/>
  <c r="G460" i="2"/>
  <c r="H460" i="2" s="1"/>
  <c r="F460" i="2" s="1"/>
  <c r="C460" i="2"/>
  <c r="C488" i="2"/>
  <c r="E488" i="2" s="1"/>
  <c r="G501" i="2"/>
  <c r="H501" i="2" s="1"/>
  <c r="J501" i="2" s="1"/>
  <c r="I501" i="2" s="1"/>
  <c r="C501" i="2"/>
  <c r="E501" i="2" s="1"/>
  <c r="C547" i="2"/>
  <c r="E547" i="2" s="1"/>
  <c r="G552" i="2"/>
  <c r="H552" i="2" s="1"/>
  <c r="J552" i="2" s="1"/>
  <c r="C552" i="2"/>
  <c r="E552" i="2" s="1"/>
  <c r="G557" i="2"/>
  <c r="H557" i="2" s="1"/>
  <c r="C557" i="2"/>
  <c r="G562" i="2"/>
  <c r="H562" i="2" s="1"/>
  <c r="J562" i="2" s="1"/>
  <c r="D570" i="2"/>
  <c r="K570" i="2" s="1"/>
  <c r="G570" i="2"/>
  <c r="H570" i="2" s="1"/>
  <c r="J570" i="2" s="1"/>
  <c r="G583" i="2"/>
  <c r="H583" i="2" s="1"/>
  <c r="C583" i="2"/>
  <c r="E583" i="2" s="1"/>
  <c r="D591" i="2"/>
  <c r="K591" i="2" s="1"/>
  <c r="C591" i="2"/>
  <c r="D596" i="2"/>
  <c r="K596" i="2" s="1"/>
  <c r="C596" i="2"/>
  <c r="E596" i="2" s="1"/>
  <c r="C586" i="2"/>
  <c r="E586" i="2" s="1"/>
  <c r="C554" i="2"/>
  <c r="E554" i="2" s="1"/>
  <c r="C458" i="2"/>
  <c r="E458" i="2" s="1"/>
  <c r="C330" i="2"/>
  <c r="E330" i="2" s="1"/>
  <c r="C266" i="2"/>
  <c r="E266" i="2" s="1"/>
  <c r="C234" i="2"/>
  <c r="E234" i="2" s="1"/>
  <c r="C202" i="2"/>
  <c r="C170" i="2"/>
  <c r="E170" i="2" s="1"/>
  <c r="C138" i="2"/>
  <c r="E138" i="2" s="1"/>
  <c r="C10" i="2"/>
  <c r="E10" i="2" s="1"/>
  <c r="D43" i="2"/>
  <c r="K43" i="2" s="1"/>
  <c r="C43" i="2"/>
  <c r="E43" i="2" s="1"/>
  <c r="D67" i="2"/>
  <c r="K67" i="2" s="1"/>
  <c r="C67" i="2"/>
  <c r="E67" i="2" s="1"/>
  <c r="G139" i="2"/>
  <c r="H139" i="2" s="1"/>
  <c r="C139" i="2"/>
  <c r="E139" i="2" s="1"/>
  <c r="G141" i="2"/>
  <c r="H141" i="2" s="1"/>
  <c r="C141" i="2"/>
  <c r="E141" i="2" s="1"/>
  <c r="H167" i="2"/>
  <c r="F167" i="2" s="1"/>
  <c r="C167" i="2"/>
  <c r="E167" i="2" s="1"/>
  <c r="G191" i="2"/>
  <c r="H191" i="2" s="1"/>
  <c r="J191" i="2" s="1"/>
  <c r="C191" i="2"/>
  <c r="E191" i="2" s="1"/>
  <c r="C227" i="2"/>
  <c r="E227" i="2" s="1"/>
  <c r="G245" i="2"/>
  <c r="H245" i="2" s="1"/>
  <c r="J245" i="2" s="1"/>
  <c r="I245" i="2" s="1"/>
  <c r="C245" i="2"/>
  <c r="E245" i="2" s="1"/>
  <c r="G261" i="2"/>
  <c r="H261" i="2" s="1"/>
  <c r="J261" i="2" s="1"/>
  <c r="I261" i="2" s="1"/>
  <c r="C261" i="2"/>
  <c r="E261" i="2" s="1"/>
  <c r="D275" i="2"/>
  <c r="K275" i="2" s="1"/>
  <c r="C275" i="2"/>
  <c r="E275" i="2" s="1"/>
  <c r="E305" i="2"/>
  <c r="D309" i="2"/>
  <c r="K309" i="2" s="1"/>
  <c r="C309" i="2"/>
  <c r="E309" i="2" s="1"/>
  <c r="E314" i="2"/>
  <c r="G319" i="2"/>
  <c r="H319" i="2" s="1"/>
  <c r="J319" i="2" s="1"/>
  <c r="C319" i="2"/>
  <c r="E319" i="2" s="1"/>
  <c r="G340" i="2"/>
  <c r="H340" i="2" s="1"/>
  <c r="J340" i="2" s="1"/>
  <c r="I340" i="2" s="1"/>
  <c r="C340" i="2"/>
  <c r="E340" i="2" s="1"/>
  <c r="C371" i="2"/>
  <c r="E371" i="2" s="1"/>
  <c r="G376" i="2"/>
  <c r="C376" i="2"/>
  <c r="E376" i="2" s="1"/>
  <c r="D432" i="2"/>
  <c r="K432" i="2" s="1"/>
  <c r="C432" i="2"/>
  <c r="E432" i="2" s="1"/>
  <c r="C438" i="2"/>
  <c r="E438" i="2" s="1"/>
  <c r="D448" i="2"/>
  <c r="K448" i="2" s="1"/>
  <c r="C448" i="2"/>
  <c r="E448" i="2" s="1"/>
  <c r="G455" i="2"/>
  <c r="H455" i="2" s="1"/>
  <c r="J455" i="2" s="1"/>
  <c r="I455" i="2" s="1"/>
  <c r="C455" i="2"/>
  <c r="E455" i="2" s="1"/>
  <c r="G463" i="2"/>
  <c r="H463" i="2" s="1"/>
  <c r="J463" i="2" s="1"/>
  <c r="C463" i="2"/>
  <c r="E463" i="2" s="1"/>
  <c r="D468" i="2"/>
  <c r="K468" i="2" s="1"/>
  <c r="C468" i="2"/>
  <c r="E468" i="2" s="1"/>
  <c r="G491" i="2"/>
  <c r="H491" i="2" s="1"/>
  <c r="J491" i="2" s="1"/>
  <c r="I491" i="2" s="1"/>
  <c r="C491" i="2"/>
  <c r="E491" i="2" s="1"/>
  <c r="D565" i="2"/>
  <c r="K565" i="2" s="1"/>
  <c r="C565" i="2"/>
  <c r="E565" i="2" s="1"/>
  <c r="D659" i="2"/>
  <c r="K659" i="2" s="1"/>
  <c r="C659" i="2"/>
  <c r="E659" i="2" s="1"/>
  <c r="C649" i="2"/>
  <c r="E649" i="2" s="1"/>
  <c r="C489" i="2"/>
  <c r="E489" i="2" s="1"/>
  <c r="C425" i="2"/>
  <c r="E425" i="2" s="1"/>
  <c r="C393" i="2"/>
  <c r="E393" i="2" s="1"/>
  <c r="C297" i="2"/>
  <c r="E297" i="2" s="1"/>
  <c r="C265" i="2"/>
  <c r="E265" i="2" s="1"/>
  <c r="C233" i="2"/>
  <c r="E233" i="2" s="1"/>
  <c r="C201" i="2"/>
  <c r="E201" i="2" s="1"/>
  <c r="C169" i="2"/>
  <c r="E169" i="2" s="1"/>
  <c r="C105" i="2"/>
  <c r="E105" i="2" s="1"/>
  <c r="C73" i="2"/>
  <c r="E73" i="2" s="1"/>
  <c r="C656" i="2"/>
  <c r="E656" i="2" s="1"/>
  <c r="C648" i="2"/>
  <c r="C640" i="2"/>
  <c r="E640" i="2" s="1"/>
  <c r="C632" i="2"/>
  <c r="E632" i="2" s="1"/>
  <c r="C616" i="2"/>
  <c r="E616" i="2" s="1"/>
  <c r="C608" i="2"/>
  <c r="E608" i="2" s="1"/>
  <c r="C655" i="2"/>
  <c r="E655" i="2" s="1"/>
  <c r="C639" i="2"/>
  <c r="E639" i="2" s="1"/>
  <c r="C631" i="2"/>
  <c r="E631" i="2" s="1"/>
  <c r="C599" i="2"/>
  <c r="C638" i="2"/>
  <c r="E638" i="2" s="1"/>
  <c r="C606" i="2"/>
  <c r="E606" i="2" s="1"/>
  <c r="C598" i="2"/>
  <c r="E598" i="2" s="1"/>
  <c r="C637" i="2"/>
  <c r="E637" i="2" s="1"/>
  <c r="C621" i="2"/>
  <c r="E621" i="2" s="1"/>
  <c r="C605" i="2"/>
  <c r="E605" i="2" s="1"/>
  <c r="C652" i="2"/>
  <c r="E652" i="2" s="1"/>
  <c r="C612" i="2"/>
  <c r="C580" i="2"/>
  <c r="E580" i="2" s="1"/>
  <c r="C627" i="2"/>
  <c r="E627" i="2" s="1"/>
  <c r="C619" i="2"/>
  <c r="E619" i="2" s="1"/>
  <c r="C603" i="2"/>
  <c r="E603" i="2" s="1"/>
  <c r="C555" i="2"/>
  <c r="E555" i="2" s="1"/>
  <c r="D124" i="2"/>
  <c r="K124" i="2" s="1"/>
  <c r="D126" i="2"/>
  <c r="K126" i="2" s="1"/>
  <c r="E238" i="2"/>
  <c r="D292" i="2"/>
  <c r="K292" i="2" s="1"/>
  <c r="E324" i="2"/>
  <c r="D372" i="2"/>
  <c r="K372" i="2" s="1"/>
  <c r="D400" i="2"/>
  <c r="K400" i="2" s="1"/>
  <c r="D491" i="2"/>
  <c r="K491" i="2" s="1"/>
  <c r="G502" i="2"/>
  <c r="H502" i="2" s="1"/>
  <c r="J502" i="2" s="1"/>
  <c r="I502" i="2" s="1"/>
  <c r="G550" i="2"/>
  <c r="G591" i="2"/>
  <c r="G13" i="2"/>
  <c r="H13" i="2" s="1"/>
  <c r="E25" i="2"/>
  <c r="D100" i="2"/>
  <c r="K100" i="2" s="1"/>
  <c r="D102" i="2"/>
  <c r="K102" i="2" s="1"/>
  <c r="D106" i="2"/>
  <c r="K106" i="2" s="1"/>
  <c r="G25" i="2"/>
  <c r="H25" i="2" s="1"/>
  <c r="D27" i="2"/>
  <c r="K27" i="2" s="1"/>
  <c r="G100" i="2"/>
  <c r="H100" i="2" s="1"/>
  <c r="J100" i="2" s="1"/>
  <c r="G106" i="2"/>
  <c r="H106" i="2" s="1"/>
  <c r="D138" i="2"/>
  <c r="K138" i="2" s="1"/>
  <c r="D179" i="2"/>
  <c r="K179" i="2" s="1"/>
  <c r="D210" i="2"/>
  <c r="K210" i="2" s="1"/>
  <c r="D227" i="2"/>
  <c r="K227" i="2" s="1"/>
  <c r="D229" i="2"/>
  <c r="K229" i="2" s="1"/>
  <c r="D233" i="2"/>
  <c r="K233" i="2" s="1"/>
  <c r="D234" i="2"/>
  <c r="K234" i="2" s="1"/>
  <c r="D238" i="2"/>
  <c r="K238" i="2" s="1"/>
  <c r="D257" i="2"/>
  <c r="K257" i="2" s="1"/>
  <c r="G275" i="2"/>
  <c r="H275" i="2" s="1"/>
  <c r="J275" i="2" s="1"/>
  <c r="I275" i="2" s="1"/>
  <c r="D281" i="2"/>
  <c r="K281" i="2" s="1"/>
  <c r="G292" i="2"/>
  <c r="H292" i="2" s="1"/>
  <c r="J292" i="2" s="1"/>
  <c r="I292" i="2" s="1"/>
  <c r="D314" i="2"/>
  <c r="K314" i="2" s="1"/>
  <c r="E323" i="2"/>
  <c r="D324" i="2"/>
  <c r="K324" i="2" s="1"/>
  <c r="G459" i="2"/>
  <c r="H459" i="2" s="1"/>
  <c r="F459" i="2" s="1"/>
  <c r="D541" i="2"/>
  <c r="K541" i="2" s="1"/>
  <c r="G565" i="2"/>
  <c r="H565" i="2" s="1"/>
  <c r="J565" i="2" s="1"/>
  <c r="I565" i="2" s="1"/>
  <c r="G27" i="2"/>
  <c r="H27" i="2" s="1"/>
  <c r="J27" i="2" s="1"/>
  <c r="I27" i="2" s="1"/>
  <c r="D33" i="2"/>
  <c r="K33" i="2" s="1"/>
  <c r="D99" i="2"/>
  <c r="K99" i="2" s="1"/>
  <c r="G227" i="2"/>
  <c r="H227" i="2" s="1"/>
  <c r="J227" i="2" s="1"/>
  <c r="I227" i="2" s="1"/>
  <c r="G229" i="2"/>
  <c r="H229" i="2" s="1"/>
  <c r="J229" i="2" s="1"/>
  <c r="I229" i="2" s="1"/>
  <c r="G234" i="2"/>
  <c r="H234" i="2" s="1"/>
  <c r="G257" i="2"/>
  <c r="H257" i="2" s="1"/>
  <c r="J257" i="2" s="1"/>
  <c r="I257" i="2" s="1"/>
  <c r="F281" i="2"/>
  <c r="G324" i="2"/>
  <c r="H324" i="2" s="1"/>
  <c r="G53" i="2"/>
  <c r="H53" i="2" s="1"/>
  <c r="J53" i="2" s="1"/>
  <c r="I53" i="2" s="1"/>
  <c r="H66" i="2"/>
  <c r="J66" i="2" s="1"/>
  <c r="G24" i="2"/>
  <c r="H24" i="2" s="1"/>
  <c r="D85" i="2"/>
  <c r="K85" i="2" s="1"/>
  <c r="D89" i="2"/>
  <c r="K89" i="2" s="1"/>
  <c r="H99" i="2"/>
  <c r="F99" i="2" s="1"/>
  <c r="D160" i="2"/>
  <c r="K160" i="2" s="1"/>
  <c r="D177" i="2"/>
  <c r="K177" i="2" s="1"/>
  <c r="G188" i="2"/>
  <c r="H188" i="2" s="1"/>
  <c r="J188" i="2" s="1"/>
  <c r="I188" i="2" s="1"/>
  <c r="G192" i="2"/>
  <c r="H192" i="2" s="1"/>
  <c r="J192" i="2" s="1"/>
  <c r="I192" i="2" s="1"/>
  <c r="G218" i="2"/>
  <c r="H218" i="2" s="1"/>
  <c r="J218" i="2" s="1"/>
  <c r="I218" i="2" s="1"/>
  <c r="H274" i="2"/>
  <c r="J274" i="2" s="1"/>
  <c r="I274" i="2" s="1"/>
  <c r="D291" i="2"/>
  <c r="K291" i="2" s="1"/>
  <c r="G307" i="2"/>
  <c r="H307" i="2" s="1"/>
  <c r="J307" i="2" s="1"/>
  <c r="G322" i="2"/>
  <c r="H322" i="2" s="1"/>
  <c r="G323" i="2"/>
  <c r="H323" i="2" s="1"/>
  <c r="D384" i="2"/>
  <c r="K384" i="2" s="1"/>
  <c r="G505" i="2"/>
  <c r="H505" i="2" s="1"/>
  <c r="D587" i="2"/>
  <c r="K587" i="2" s="1"/>
  <c r="G28" i="2"/>
  <c r="H28" i="2" s="1"/>
  <c r="J28" i="2" s="1"/>
  <c r="I28" i="2" s="1"/>
  <c r="H39" i="2"/>
  <c r="J39" i="2" s="1"/>
  <c r="I39" i="2" s="1"/>
  <c r="H89" i="2"/>
  <c r="D167" i="2"/>
  <c r="K167" i="2" s="1"/>
  <c r="G177" i="2"/>
  <c r="H177" i="2" s="1"/>
  <c r="J177" i="2" s="1"/>
  <c r="I177" i="2" s="1"/>
  <c r="H291" i="2"/>
  <c r="F291" i="2" s="1"/>
  <c r="D313" i="2"/>
  <c r="K313" i="2" s="1"/>
  <c r="G317" i="2"/>
  <c r="H317" i="2" s="1"/>
  <c r="D319" i="2"/>
  <c r="K319" i="2" s="1"/>
  <c r="G309" i="2"/>
  <c r="H309" i="2" s="1"/>
  <c r="J309" i="2" s="1"/>
  <c r="D316" i="2"/>
  <c r="K316" i="2" s="1"/>
  <c r="G321" i="2"/>
  <c r="H321" i="2" s="1"/>
  <c r="J321" i="2" s="1"/>
  <c r="I321" i="2" s="1"/>
  <c r="G367" i="2"/>
  <c r="H367" i="2" s="1"/>
  <c r="G559" i="2"/>
  <c r="H559" i="2" s="1"/>
  <c r="J559" i="2" s="1"/>
  <c r="I559" i="2" s="1"/>
  <c r="G620" i="2"/>
  <c r="H620" i="2" s="1"/>
  <c r="J620" i="2" s="1"/>
  <c r="I620" i="2" s="1"/>
  <c r="D53" i="2"/>
  <c r="K53" i="2" s="1"/>
  <c r="D66" i="2"/>
  <c r="K66" i="2" s="1"/>
  <c r="G182" i="2"/>
  <c r="H182" i="2" s="1"/>
  <c r="J182" i="2" s="1"/>
  <c r="I182" i="2" s="1"/>
  <c r="D251" i="2"/>
  <c r="K251" i="2" s="1"/>
  <c r="D268" i="2"/>
  <c r="K268" i="2" s="1"/>
  <c r="G271" i="2"/>
  <c r="G316" i="2"/>
  <c r="H316" i="2" s="1"/>
  <c r="J316" i="2" s="1"/>
  <c r="I316" i="2" s="1"/>
  <c r="D376" i="2"/>
  <c r="K376" i="2" s="1"/>
  <c r="G240" i="2"/>
  <c r="H240" i="2" s="1"/>
  <c r="F240" i="2" s="1"/>
  <c r="D240" i="2"/>
  <c r="K240" i="2" s="1"/>
  <c r="E240" i="2"/>
  <c r="D282" i="2"/>
  <c r="K282" i="2" s="1"/>
  <c r="G282" i="2"/>
  <c r="H282" i="2" s="1"/>
  <c r="G329" i="2"/>
  <c r="H329" i="2" s="1"/>
  <c r="F329" i="2" s="1"/>
  <c r="G7" i="2"/>
  <c r="G17" i="2"/>
  <c r="H17" i="2" s="1"/>
  <c r="J17" i="2" s="1"/>
  <c r="I17" i="2" s="1"/>
  <c r="D21" i="2"/>
  <c r="K21" i="2" s="1"/>
  <c r="D29" i="2"/>
  <c r="K29" i="2" s="1"/>
  <c r="D32" i="2"/>
  <c r="K32" i="2" s="1"/>
  <c r="D37" i="2"/>
  <c r="K37" i="2" s="1"/>
  <c r="D38" i="2"/>
  <c r="K38" i="2" s="1"/>
  <c r="D45" i="2"/>
  <c r="K45" i="2" s="1"/>
  <c r="D46" i="2"/>
  <c r="K46" i="2" s="1"/>
  <c r="E61" i="2"/>
  <c r="G61" i="2"/>
  <c r="E75" i="2"/>
  <c r="G109" i="2"/>
  <c r="H109" i="2" s="1"/>
  <c r="D109" i="2"/>
  <c r="K109" i="2" s="1"/>
  <c r="E145" i="2"/>
  <c r="E211" i="2"/>
  <c r="E214" i="2"/>
  <c r="G214" i="2"/>
  <c r="H214" i="2" s="1"/>
  <c r="J214" i="2" s="1"/>
  <c r="I214" i="2" s="1"/>
  <c r="D214" i="2"/>
  <c r="K214" i="2" s="1"/>
  <c r="G247" i="2"/>
  <c r="E282" i="2"/>
  <c r="G318" i="2"/>
  <c r="H318" i="2" s="1"/>
  <c r="E318" i="2"/>
  <c r="E404" i="2"/>
  <c r="G404" i="2"/>
  <c r="H404" i="2" s="1"/>
  <c r="D404" i="2"/>
  <c r="K404" i="2" s="1"/>
  <c r="E176" i="2"/>
  <c r="E21" i="2"/>
  <c r="G26" i="2"/>
  <c r="E29" i="2"/>
  <c r="E36" i="2"/>
  <c r="G37" i="2"/>
  <c r="H37" i="2" s="1"/>
  <c r="J37" i="2" s="1"/>
  <c r="I37" i="2" s="1"/>
  <c r="E44" i="2"/>
  <c r="G45" i="2"/>
  <c r="H45" i="2" s="1"/>
  <c r="D58" i="2"/>
  <c r="K58" i="2" s="1"/>
  <c r="D61" i="2"/>
  <c r="K61" i="2" s="1"/>
  <c r="D75" i="2"/>
  <c r="K75" i="2" s="1"/>
  <c r="D78" i="2"/>
  <c r="K78" i="2" s="1"/>
  <c r="E78" i="2"/>
  <c r="D176" i="2"/>
  <c r="K176" i="2" s="1"/>
  <c r="G194" i="2"/>
  <c r="H194" i="2" s="1"/>
  <c r="J194" i="2" s="1"/>
  <c r="E194" i="2"/>
  <c r="D211" i="2"/>
  <c r="K211" i="2" s="1"/>
  <c r="G222" i="2"/>
  <c r="H222" i="2" s="1"/>
  <c r="J222" i="2" s="1"/>
  <c r="I222" i="2" s="1"/>
  <c r="D222" i="2"/>
  <c r="K222" i="2" s="1"/>
  <c r="E222" i="2"/>
  <c r="E247" i="2"/>
  <c r="D318" i="2"/>
  <c r="K318" i="2" s="1"/>
  <c r="G504" i="2"/>
  <c r="H504" i="2" s="1"/>
  <c r="G97" i="2"/>
  <c r="H97" i="2" s="1"/>
  <c r="D97" i="2"/>
  <c r="K97" i="2" s="1"/>
  <c r="G198" i="2"/>
  <c r="H198" i="2" s="1"/>
  <c r="F198" i="2" s="1"/>
  <c r="G21" i="2"/>
  <c r="H21" i="2" s="1"/>
  <c r="G52" i="2"/>
  <c r="H52" i="2" s="1"/>
  <c r="J52" i="2" s="1"/>
  <c r="I52" i="2" s="1"/>
  <c r="G74" i="2"/>
  <c r="H74" i="2" s="1"/>
  <c r="J74" i="2" s="1"/>
  <c r="I74" i="2" s="1"/>
  <c r="G104" i="2"/>
  <c r="H104" i="2" s="1"/>
  <c r="F104" i="2" s="1"/>
  <c r="D104" i="2"/>
  <c r="K104" i="2" s="1"/>
  <c r="D130" i="2"/>
  <c r="K130" i="2" s="1"/>
  <c r="E130" i="2"/>
  <c r="E161" i="2"/>
  <c r="G161" i="2"/>
  <c r="H161" i="2" s="1"/>
  <c r="F161" i="2" s="1"/>
  <c r="D161" i="2"/>
  <c r="K161" i="2" s="1"/>
  <c r="G205" i="2"/>
  <c r="H205" i="2" s="1"/>
  <c r="E205" i="2"/>
  <c r="D247" i="2"/>
  <c r="K247" i="2" s="1"/>
  <c r="H249" i="2"/>
  <c r="F249" i="2" s="1"/>
  <c r="G253" i="2"/>
  <c r="H253" i="2" s="1"/>
  <c r="D253" i="2"/>
  <c r="K253" i="2" s="1"/>
  <c r="E253" i="2"/>
  <c r="E165" i="2"/>
  <c r="G165" i="2"/>
  <c r="H165" i="2" s="1"/>
  <c r="J165" i="2" s="1"/>
  <c r="I165" i="2" s="1"/>
  <c r="D165" i="2"/>
  <c r="K165" i="2" s="1"/>
  <c r="E14" i="2"/>
  <c r="G16" i="2"/>
  <c r="H16" i="2" s="1"/>
  <c r="J16" i="2" s="1"/>
  <c r="I16" i="2" s="1"/>
  <c r="D20" i="2"/>
  <c r="K20" i="2" s="1"/>
  <c r="D35" i="2"/>
  <c r="K35" i="2" s="1"/>
  <c r="G36" i="2"/>
  <c r="E42" i="2"/>
  <c r="G43" i="2"/>
  <c r="H43" i="2" s="1"/>
  <c r="J43" i="2" s="1"/>
  <c r="I43" i="2" s="1"/>
  <c r="G44" i="2"/>
  <c r="H44" i="2" s="1"/>
  <c r="J44" i="2" s="1"/>
  <c r="I44" i="2" s="1"/>
  <c r="E50" i="2"/>
  <c r="G51" i="2"/>
  <c r="G78" i="2"/>
  <c r="H78" i="2" s="1"/>
  <c r="F78" i="2" s="1"/>
  <c r="F98" i="2"/>
  <c r="E104" i="2"/>
  <c r="G111" i="2"/>
  <c r="E128" i="2"/>
  <c r="D128" i="2"/>
  <c r="K128" i="2" s="1"/>
  <c r="G142" i="2"/>
  <c r="H142" i="2" s="1"/>
  <c r="F142" i="2" s="1"/>
  <c r="E150" i="2"/>
  <c r="D194" i="2"/>
  <c r="K194" i="2" s="1"/>
  <c r="H201" i="2"/>
  <c r="F201" i="2" s="1"/>
  <c r="E203" i="2"/>
  <c r="G203" i="2"/>
  <c r="D205" i="2"/>
  <c r="K205" i="2" s="1"/>
  <c r="H225" i="2"/>
  <c r="F225" i="2" s="1"/>
  <c r="G231" i="2"/>
  <c r="H231" i="2" s="1"/>
  <c r="J231" i="2" s="1"/>
  <c r="I231" i="2" s="1"/>
  <c r="E231" i="2"/>
  <c r="D231" i="2"/>
  <c r="K231" i="2" s="1"/>
  <c r="E326" i="2"/>
  <c r="G326" i="2"/>
  <c r="H326" i="2" s="1"/>
  <c r="J326" i="2" s="1"/>
  <c r="I326" i="2" s="1"/>
  <c r="D326" i="2"/>
  <c r="K326" i="2" s="1"/>
  <c r="D339" i="2"/>
  <c r="K339" i="2" s="1"/>
  <c r="G339" i="2"/>
  <c r="H339" i="2" s="1"/>
  <c r="J339" i="2" s="1"/>
  <c r="I339" i="2" s="1"/>
  <c r="E339" i="2"/>
  <c r="G80" i="2"/>
  <c r="E86" i="2"/>
  <c r="D86" i="2"/>
  <c r="K86" i="2" s="1"/>
  <c r="G114" i="2"/>
  <c r="H114" i="2" s="1"/>
  <c r="F114" i="2" s="1"/>
  <c r="D114" i="2"/>
  <c r="K114" i="2" s="1"/>
  <c r="E114" i="2"/>
  <c r="D150" i="2"/>
  <c r="K150" i="2" s="1"/>
  <c r="G185" i="2"/>
  <c r="H185" i="2" s="1"/>
  <c r="J185" i="2" s="1"/>
  <c r="I185" i="2" s="1"/>
  <c r="D185" i="2"/>
  <c r="K185" i="2" s="1"/>
  <c r="E185" i="2"/>
  <c r="D643" i="2"/>
  <c r="K643" i="2" s="1"/>
  <c r="E7" i="2"/>
  <c r="F8" i="2"/>
  <c r="G41" i="2"/>
  <c r="H41" i="2" s="1"/>
  <c r="J41" i="2" s="1"/>
  <c r="I41" i="2" s="1"/>
  <c r="G42" i="2"/>
  <c r="H42" i="2" s="1"/>
  <c r="J42" i="2" s="1"/>
  <c r="E48" i="2"/>
  <c r="G49" i="2"/>
  <c r="H49" i="2" s="1"/>
  <c r="J49" i="2" s="1"/>
  <c r="I49" i="2" s="1"/>
  <c r="G50" i="2"/>
  <c r="H50" i="2" s="1"/>
  <c r="J50" i="2" s="1"/>
  <c r="I50" i="2" s="1"/>
  <c r="D59" i="2"/>
  <c r="K59" i="2" s="1"/>
  <c r="E80" i="2"/>
  <c r="D94" i="2"/>
  <c r="K94" i="2" s="1"/>
  <c r="J98" i="2"/>
  <c r="I98" i="2" s="1"/>
  <c r="D101" i="2"/>
  <c r="K101" i="2" s="1"/>
  <c r="G110" i="2"/>
  <c r="H110" i="2" s="1"/>
  <c r="D110" i="2"/>
  <c r="K110" i="2" s="1"/>
  <c r="D163" i="2"/>
  <c r="K163" i="2" s="1"/>
  <c r="G172" i="2"/>
  <c r="H172" i="2" s="1"/>
  <c r="J172" i="2" s="1"/>
  <c r="I172" i="2" s="1"/>
  <c r="E172" i="2"/>
  <c r="D172" i="2"/>
  <c r="K172" i="2" s="1"/>
  <c r="E236" i="2"/>
  <c r="G236" i="2"/>
  <c r="H236" i="2" s="1"/>
  <c r="D236" i="2"/>
  <c r="K236" i="2" s="1"/>
  <c r="G283" i="2"/>
  <c r="H283" i="2" s="1"/>
  <c r="D7" i="2"/>
  <c r="K7" i="2" s="1"/>
  <c r="D39" i="2"/>
  <c r="K39" i="2" s="1"/>
  <c r="D40" i="2"/>
  <c r="K40" i="2" s="1"/>
  <c r="D47" i="2"/>
  <c r="K47" i="2" s="1"/>
  <c r="D48" i="2"/>
  <c r="K48" i="2" s="1"/>
  <c r="G59" i="2"/>
  <c r="D80" i="2"/>
  <c r="K80" i="2" s="1"/>
  <c r="G86" i="2"/>
  <c r="H86" i="2" s="1"/>
  <c r="J86" i="2" s="1"/>
  <c r="E94" i="2"/>
  <c r="E137" i="2"/>
  <c r="D137" i="2"/>
  <c r="K137" i="2" s="1"/>
  <c r="G199" i="2"/>
  <c r="G254" i="2"/>
  <c r="H254" i="2" s="1"/>
  <c r="D264" i="2"/>
  <c r="K264" i="2" s="1"/>
  <c r="G264" i="2"/>
  <c r="E264" i="2"/>
  <c r="E290" i="2"/>
  <c r="G290" i="2"/>
  <c r="H290" i="2" s="1"/>
  <c r="J290" i="2" s="1"/>
  <c r="I290" i="2" s="1"/>
  <c r="G312" i="2"/>
  <c r="H312" i="2" s="1"/>
  <c r="J312" i="2" s="1"/>
  <c r="I312" i="2" s="1"/>
  <c r="D312" i="2"/>
  <c r="K312" i="2" s="1"/>
  <c r="D453" i="2"/>
  <c r="K453" i="2" s="1"/>
  <c r="E453" i="2"/>
  <c r="G457" i="2"/>
  <c r="H457" i="2" s="1"/>
  <c r="D457" i="2"/>
  <c r="K457" i="2" s="1"/>
  <c r="E457" i="2"/>
  <c r="G542" i="2"/>
  <c r="H542" i="2" s="1"/>
  <c r="F542" i="2" s="1"/>
  <c r="D542" i="2"/>
  <c r="K542" i="2" s="1"/>
  <c r="D382" i="2"/>
  <c r="K382" i="2" s="1"/>
  <c r="G447" i="2"/>
  <c r="H447" i="2" s="1"/>
  <c r="D447" i="2"/>
  <c r="K447" i="2" s="1"/>
  <c r="G475" i="2"/>
  <c r="D475" i="2"/>
  <c r="K475" i="2" s="1"/>
  <c r="D551" i="2"/>
  <c r="K551" i="2" s="1"/>
  <c r="G574" i="2"/>
  <c r="H574" i="2" s="1"/>
  <c r="J574" i="2" s="1"/>
  <c r="D585" i="2"/>
  <c r="K585" i="2" s="1"/>
  <c r="F646" i="2"/>
  <c r="G287" i="2"/>
  <c r="H287" i="2" s="1"/>
  <c r="F287" i="2" s="1"/>
  <c r="D287" i="2"/>
  <c r="K287" i="2" s="1"/>
  <c r="D320" i="2"/>
  <c r="K320" i="2" s="1"/>
  <c r="G325" i="2"/>
  <c r="H325" i="2" s="1"/>
  <c r="J325" i="2" s="1"/>
  <c r="E402" i="2"/>
  <c r="G402" i="2"/>
  <c r="H402" i="2" s="1"/>
  <c r="J402" i="2" s="1"/>
  <c r="I402" i="2" s="1"/>
  <c r="D486" i="2"/>
  <c r="K486" i="2" s="1"/>
  <c r="E551" i="2"/>
  <c r="D574" i="2"/>
  <c r="K574" i="2" s="1"/>
  <c r="D583" i="2"/>
  <c r="K583" i="2" s="1"/>
  <c r="E122" i="2"/>
  <c r="D157" i="2"/>
  <c r="K157" i="2" s="1"/>
  <c r="D168" i="2"/>
  <c r="K168" i="2" s="1"/>
  <c r="D207" i="2"/>
  <c r="K207" i="2" s="1"/>
  <c r="D216" i="2"/>
  <c r="K216" i="2" s="1"/>
  <c r="G259" i="2"/>
  <c r="D279" i="2"/>
  <c r="K279" i="2" s="1"/>
  <c r="G279" i="2"/>
  <c r="H279" i="2" s="1"/>
  <c r="J279" i="2" s="1"/>
  <c r="I279" i="2" s="1"/>
  <c r="D295" i="2"/>
  <c r="K295" i="2" s="1"/>
  <c r="G297" i="2"/>
  <c r="D308" i="2"/>
  <c r="K308" i="2" s="1"/>
  <c r="G320" i="2"/>
  <c r="H320" i="2" s="1"/>
  <c r="J320" i="2" s="1"/>
  <c r="I320" i="2" s="1"/>
  <c r="D325" i="2"/>
  <c r="K325" i="2" s="1"/>
  <c r="G341" i="2"/>
  <c r="H341" i="2" s="1"/>
  <c r="E352" i="2"/>
  <c r="E379" i="2"/>
  <c r="E399" i="2"/>
  <c r="D402" i="2"/>
  <c r="K402" i="2" s="1"/>
  <c r="E426" i="2"/>
  <c r="D426" i="2"/>
  <c r="K426" i="2" s="1"/>
  <c r="G464" i="2"/>
  <c r="H464" i="2" s="1"/>
  <c r="D464" i="2"/>
  <c r="K464" i="2" s="1"/>
  <c r="E464" i="2"/>
  <c r="E486" i="2"/>
  <c r="D590" i="2"/>
  <c r="K590" i="2" s="1"/>
  <c r="H650" i="2"/>
  <c r="F650" i="2" s="1"/>
  <c r="E157" i="2"/>
  <c r="G207" i="2"/>
  <c r="G216" i="2"/>
  <c r="H216" i="2" s="1"/>
  <c r="J216" i="2" s="1"/>
  <c r="I216" i="2" s="1"/>
  <c r="D249" i="2"/>
  <c r="K249" i="2" s="1"/>
  <c r="G273" i="2"/>
  <c r="H273" i="2" s="1"/>
  <c r="F273" i="2" s="1"/>
  <c r="D274" i="2"/>
  <c r="K274" i="2" s="1"/>
  <c r="G289" i="2"/>
  <c r="H289" i="2" s="1"/>
  <c r="J289" i="2" s="1"/>
  <c r="E294" i="2"/>
  <c r="G294" i="2"/>
  <c r="E295" i="2"/>
  <c r="G308" i="2"/>
  <c r="D311" i="2"/>
  <c r="K311" i="2" s="1"/>
  <c r="E325" i="2"/>
  <c r="G328" i="2"/>
  <c r="H328" i="2" s="1"/>
  <c r="J328" i="2" s="1"/>
  <c r="I328" i="2" s="1"/>
  <c r="E334" i="2"/>
  <c r="E336" i="2"/>
  <c r="D336" i="2"/>
  <c r="K336" i="2" s="1"/>
  <c r="E422" i="2"/>
  <c r="G499" i="2"/>
  <c r="H499" i="2" s="1"/>
  <c r="E499" i="2"/>
  <c r="D289" i="2"/>
  <c r="K289" i="2" s="1"/>
  <c r="D294" i="2"/>
  <c r="K294" i="2" s="1"/>
  <c r="G295" i="2"/>
  <c r="H295" i="2" s="1"/>
  <c r="F295" i="2" s="1"/>
  <c r="D315" i="2"/>
  <c r="K315" i="2" s="1"/>
  <c r="G327" i="2"/>
  <c r="H327" i="2" s="1"/>
  <c r="J327" i="2" s="1"/>
  <c r="D334" i="2"/>
  <c r="K334" i="2" s="1"/>
  <c r="G410" i="2"/>
  <c r="H410" i="2" s="1"/>
  <c r="G450" i="2"/>
  <c r="H450" i="2" s="1"/>
  <c r="F450" i="2" s="1"/>
  <c r="D450" i="2"/>
  <c r="K450" i="2" s="1"/>
  <c r="G493" i="2"/>
  <c r="H493" i="2" s="1"/>
  <c r="D182" i="2"/>
  <c r="K182" i="2" s="1"/>
  <c r="G183" i="2"/>
  <c r="H183" i="2" s="1"/>
  <c r="J183" i="2" s="1"/>
  <c r="I183" i="2" s="1"/>
  <c r="D225" i="2"/>
  <c r="K225" i="2" s="1"/>
  <c r="E285" i="2"/>
  <c r="D285" i="2"/>
  <c r="K285" i="2" s="1"/>
  <c r="G310" i="2"/>
  <c r="H310" i="2" s="1"/>
  <c r="J310" i="2" s="1"/>
  <c r="I310" i="2" s="1"/>
  <c r="G342" i="2"/>
  <c r="H342" i="2" s="1"/>
  <c r="E493" i="2"/>
  <c r="G539" i="2"/>
  <c r="H539" i="2" s="1"/>
  <c r="D539" i="2"/>
  <c r="K539" i="2" s="1"/>
  <c r="G595" i="2"/>
  <c r="H595" i="2" s="1"/>
  <c r="F595" i="2" s="1"/>
  <c r="D595" i="2"/>
  <c r="K595" i="2" s="1"/>
  <c r="H481" i="2"/>
  <c r="J481" i="2" s="1"/>
  <c r="E553" i="2"/>
  <c r="D406" i="2"/>
  <c r="K406" i="2" s="1"/>
  <c r="D418" i="2"/>
  <c r="K418" i="2" s="1"/>
  <c r="D452" i="2"/>
  <c r="K452" i="2" s="1"/>
  <c r="G506" i="2"/>
  <c r="H506" i="2" s="1"/>
  <c r="D534" i="2"/>
  <c r="K534" i="2" s="1"/>
  <c r="D599" i="2"/>
  <c r="K599" i="2" s="1"/>
  <c r="D608" i="2"/>
  <c r="K608" i="2" s="1"/>
  <c r="G642" i="2"/>
  <c r="H642" i="2" s="1"/>
  <c r="G660" i="2"/>
  <c r="H660" i="2" s="1"/>
  <c r="D422" i="2"/>
  <c r="K422" i="2" s="1"/>
  <c r="D455" i="2"/>
  <c r="K455" i="2" s="1"/>
  <c r="D462" i="2"/>
  <c r="K462" i="2" s="1"/>
  <c r="D533" i="2"/>
  <c r="K533" i="2" s="1"/>
  <c r="D557" i="2"/>
  <c r="K557" i="2" s="1"/>
  <c r="J281" i="2"/>
  <c r="I281" i="2" s="1"/>
  <c r="D293" i="2"/>
  <c r="K293" i="2" s="1"/>
  <c r="E338" i="2"/>
  <c r="F455" i="2"/>
  <c r="D525" i="2"/>
  <c r="K525" i="2" s="1"/>
  <c r="E527" i="2"/>
  <c r="J33" i="2"/>
  <c r="I33" i="2" s="1"/>
  <c r="D112" i="2"/>
  <c r="K112" i="2" s="1"/>
  <c r="E112" i="2"/>
  <c r="G112" i="2"/>
  <c r="H112" i="2" s="1"/>
  <c r="J112" i="2" s="1"/>
  <c r="E276" i="2"/>
  <c r="G276" i="2"/>
  <c r="H276" i="2" s="1"/>
  <c r="J276" i="2" s="1"/>
  <c r="D276" i="2"/>
  <c r="K276" i="2" s="1"/>
  <c r="E6" i="2"/>
  <c r="G10" i="2"/>
  <c r="D12" i="2"/>
  <c r="K12" i="2" s="1"/>
  <c r="D15" i="2"/>
  <c r="K15" i="2" s="1"/>
  <c r="H19" i="2"/>
  <c r="F19" i="2" s="1"/>
  <c r="J29" i="2"/>
  <c r="I29" i="2" s="1"/>
  <c r="G31" i="2"/>
  <c r="H31" i="2" s="1"/>
  <c r="J31" i="2" s="1"/>
  <c r="G34" i="2"/>
  <c r="H34" i="2" s="1"/>
  <c r="J34" i="2" s="1"/>
  <c r="D54" i="2"/>
  <c r="K54" i="2" s="1"/>
  <c r="J58" i="2"/>
  <c r="I58" i="2" s="1"/>
  <c r="H65" i="2"/>
  <c r="D69" i="2"/>
  <c r="K69" i="2" s="1"/>
  <c r="H73" i="2"/>
  <c r="J73" i="2" s="1"/>
  <c r="I73" i="2" s="1"/>
  <c r="D77" i="2"/>
  <c r="K77" i="2" s="1"/>
  <c r="D83" i="2"/>
  <c r="K83" i="2" s="1"/>
  <c r="G93" i="2"/>
  <c r="H93" i="2" s="1"/>
  <c r="D96" i="2"/>
  <c r="K96" i="2" s="1"/>
  <c r="G103" i="2"/>
  <c r="H103" i="2" s="1"/>
  <c r="D107" i="2"/>
  <c r="K107" i="2" s="1"/>
  <c r="E107" i="2"/>
  <c r="G107" i="2"/>
  <c r="H107" i="2" s="1"/>
  <c r="D6" i="2"/>
  <c r="K6" i="2" s="1"/>
  <c r="J8" i="2"/>
  <c r="I8" i="2" s="1"/>
  <c r="D9" i="2"/>
  <c r="K9" i="2" s="1"/>
  <c r="E12" i="2"/>
  <c r="E15" i="2"/>
  <c r="F18" i="2"/>
  <c r="D30" i="2"/>
  <c r="K30" i="2" s="1"/>
  <c r="F33" i="2"/>
  <c r="E54" i="2"/>
  <c r="D56" i="2"/>
  <c r="K56" i="2" s="1"/>
  <c r="D64" i="2"/>
  <c r="K64" i="2" s="1"/>
  <c r="E69" i="2"/>
  <c r="D72" i="2"/>
  <c r="K72" i="2" s="1"/>
  <c r="G77" i="2"/>
  <c r="H77" i="2" s="1"/>
  <c r="J77" i="2" s="1"/>
  <c r="I77" i="2" s="1"/>
  <c r="G82" i="2"/>
  <c r="H82" i="2" s="1"/>
  <c r="J82" i="2" s="1"/>
  <c r="I82" i="2" s="1"/>
  <c r="G87" i="2"/>
  <c r="H87" i="2" s="1"/>
  <c r="D87" i="2"/>
  <c r="K87" i="2" s="1"/>
  <c r="E93" i="2"/>
  <c r="G228" i="2"/>
  <c r="D228" i="2"/>
  <c r="K228" i="2" s="1"/>
  <c r="E228" i="2"/>
  <c r="G84" i="2"/>
  <c r="D84" i="2"/>
  <c r="K84" i="2" s="1"/>
  <c r="E84" i="2"/>
  <c r="G152" i="2"/>
  <c r="H152" i="2" s="1"/>
  <c r="E152" i="2"/>
  <c r="D152" i="2"/>
  <c r="K152" i="2" s="1"/>
  <c r="E72" i="2"/>
  <c r="E9" i="2"/>
  <c r="E56" i="2"/>
  <c r="D11" i="2"/>
  <c r="K11" i="2" s="1"/>
  <c r="G12" i="2"/>
  <c r="H12" i="2" s="1"/>
  <c r="J12" i="2" s="1"/>
  <c r="I12" i="2" s="1"/>
  <c r="D22" i="2"/>
  <c r="K22" i="2" s="1"/>
  <c r="G54" i="2"/>
  <c r="H54" i="2" s="1"/>
  <c r="J54" i="2" s="1"/>
  <c r="I54" i="2" s="1"/>
  <c r="G64" i="2"/>
  <c r="H64" i="2" s="1"/>
  <c r="E65" i="2"/>
  <c r="G69" i="2"/>
  <c r="H69" i="2" s="1"/>
  <c r="G72" i="2"/>
  <c r="H72" i="2" s="1"/>
  <c r="J72" i="2" s="1"/>
  <c r="D76" i="2"/>
  <c r="K76" i="2" s="1"/>
  <c r="D79" i="2"/>
  <c r="K79" i="2" s="1"/>
  <c r="I101" i="2"/>
  <c r="J121" i="2"/>
  <c r="I121" i="2" s="1"/>
  <c r="E103" i="2"/>
  <c r="D103" i="2"/>
  <c r="K103" i="2" s="1"/>
  <c r="D8" i="2"/>
  <c r="K8" i="2" s="1"/>
  <c r="D17" i="2"/>
  <c r="K17" i="2" s="1"/>
  <c r="D24" i="2"/>
  <c r="K24" i="2" s="1"/>
  <c r="D26" i="2"/>
  <c r="K26" i="2" s="1"/>
  <c r="F3" i="2"/>
  <c r="D5" i="2"/>
  <c r="K5" i="2" s="1"/>
  <c r="G6" i="2"/>
  <c r="G9" i="2"/>
  <c r="H9" i="2" s="1"/>
  <c r="E11" i="2"/>
  <c r="E17" i="2"/>
  <c r="D19" i="2"/>
  <c r="K19" i="2" s="1"/>
  <c r="E24" i="2"/>
  <c r="E26" i="2"/>
  <c r="F29" i="2"/>
  <c r="G30" i="2"/>
  <c r="H30" i="2" s="1"/>
  <c r="E37" i="2"/>
  <c r="E39" i="2"/>
  <c r="E41" i="2"/>
  <c r="E45" i="2"/>
  <c r="E47" i="2"/>
  <c r="E49" i="2"/>
  <c r="E53" i="2"/>
  <c r="D55" i="2"/>
  <c r="K55" i="2" s="1"/>
  <c r="G56" i="2"/>
  <c r="H56" i="2" s="1"/>
  <c r="F58" i="2"/>
  <c r="G62" i="2"/>
  <c r="H62" i="2" s="1"/>
  <c r="D65" i="2"/>
  <c r="K65" i="2" s="1"/>
  <c r="I71" i="2"/>
  <c r="D73" i="2"/>
  <c r="K73" i="2" s="1"/>
  <c r="E76" i="2"/>
  <c r="E79" i="2"/>
  <c r="G83" i="2"/>
  <c r="H83" i="2" s="1"/>
  <c r="G90" i="2"/>
  <c r="D113" i="2"/>
  <c r="K113" i="2" s="1"/>
  <c r="G113" i="2"/>
  <c r="E113" i="2"/>
  <c r="G173" i="2"/>
  <c r="E173" i="2"/>
  <c r="D173" i="2"/>
  <c r="K173" i="2" s="1"/>
  <c r="H96" i="2"/>
  <c r="F96" i="2" s="1"/>
  <c r="E30" i="2"/>
  <c r="G15" i="2"/>
  <c r="E19" i="2"/>
  <c r="G67" i="2"/>
  <c r="H67" i="2" s="1"/>
  <c r="J67" i="2" s="1"/>
  <c r="D68" i="2"/>
  <c r="K68" i="2" s="1"/>
  <c r="G70" i="2"/>
  <c r="H70" i="2" s="1"/>
  <c r="J70" i="2" s="1"/>
  <c r="E74" i="2"/>
  <c r="G75" i="2"/>
  <c r="H75" i="2" s="1"/>
  <c r="G79" i="2"/>
  <c r="H79" i="2" s="1"/>
  <c r="G81" i="2"/>
  <c r="G85" i="2"/>
  <c r="H85" i="2" s="1"/>
  <c r="J85" i="2" s="1"/>
  <c r="D108" i="2"/>
  <c r="K108" i="2" s="1"/>
  <c r="E64" i="2"/>
  <c r="E77" i="2"/>
  <c r="D82" i="2"/>
  <c r="K82" i="2" s="1"/>
  <c r="E82" i="2"/>
  <c r="E125" i="2"/>
  <c r="G125" i="2"/>
  <c r="H125" i="2" s="1"/>
  <c r="D125" i="2"/>
  <c r="K125" i="2" s="1"/>
  <c r="G132" i="2"/>
  <c r="H132" i="2" s="1"/>
  <c r="D132" i="2"/>
  <c r="K132" i="2" s="1"/>
  <c r="D140" i="2"/>
  <c r="K140" i="2" s="1"/>
  <c r="D162" i="2"/>
  <c r="K162" i="2" s="1"/>
  <c r="G162" i="2"/>
  <c r="H162" i="2" s="1"/>
  <c r="E162" i="2"/>
  <c r="E91" i="2"/>
  <c r="D98" i="2"/>
  <c r="K98" i="2" s="1"/>
  <c r="F101" i="2"/>
  <c r="G105" i="2"/>
  <c r="H105" i="2" s="1"/>
  <c r="E110" i="2"/>
  <c r="G115" i="2"/>
  <c r="H115" i="2" s="1"/>
  <c r="G119" i="2"/>
  <c r="H119" i="2" s="1"/>
  <c r="F121" i="2"/>
  <c r="D133" i="2"/>
  <c r="K133" i="2" s="1"/>
  <c r="E133" i="2"/>
  <c r="G134" i="2"/>
  <c r="H134" i="2" s="1"/>
  <c r="D134" i="2"/>
  <c r="K134" i="2" s="1"/>
  <c r="H138" i="2"/>
  <c r="J138" i="2" s="1"/>
  <c r="D151" i="2"/>
  <c r="K151" i="2" s="1"/>
  <c r="E151" i="2"/>
  <c r="J151" i="2"/>
  <c r="I151" i="2" s="1"/>
  <c r="F151" i="2"/>
  <c r="E89" i="2"/>
  <c r="D92" i="2"/>
  <c r="K92" i="2" s="1"/>
  <c r="G94" i="2"/>
  <c r="H94" i="2" s="1"/>
  <c r="D95" i="2"/>
  <c r="K95" i="2" s="1"/>
  <c r="E101" i="2"/>
  <c r="E106" i="2"/>
  <c r="E109" i="2"/>
  <c r="D121" i="2"/>
  <c r="K121" i="2" s="1"/>
  <c r="E132" i="2"/>
  <c r="E134" i="2"/>
  <c r="D135" i="2"/>
  <c r="K135" i="2" s="1"/>
  <c r="E142" i="2"/>
  <c r="D142" i="2"/>
  <c r="K142" i="2" s="1"/>
  <c r="G136" i="2"/>
  <c r="G148" i="2"/>
  <c r="H148" i="2" s="1"/>
  <c r="E148" i="2"/>
  <c r="D148" i="2"/>
  <c r="K148" i="2" s="1"/>
  <c r="F149" i="2"/>
  <c r="G129" i="2"/>
  <c r="H129" i="2" s="1"/>
  <c r="J129" i="2" s="1"/>
  <c r="E129" i="2"/>
  <c r="G144" i="2"/>
  <c r="H144" i="2" s="1"/>
  <c r="D144" i="2"/>
  <c r="K144" i="2" s="1"/>
  <c r="G146" i="2"/>
  <c r="H146" i="2" s="1"/>
  <c r="J146" i="2" s="1"/>
  <c r="D146" i="2"/>
  <c r="K146" i="2" s="1"/>
  <c r="G158" i="2"/>
  <c r="H158" i="2" s="1"/>
  <c r="D158" i="2"/>
  <c r="K158" i="2" s="1"/>
  <c r="E158" i="2"/>
  <c r="G204" i="2"/>
  <c r="H204" i="2" s="1"/>
  <c r="J204" i="2" s="1"/>
  <c r="I204" i="2" s="1"/>
  <c r="D204" i="2"/>
  <c r="K204" i="2" s="1"/>
  <c r="E204" i="2"/>
  <c r="D123" i="2"/>
  <c r="K123" i="2" s="1"/>
  <c r="D129" i="2"/>
  <c r="K129" i="2" s="1"/>
  <c r="G131" i="2"/>
  <c r="E131" i="2"/>
  <c r="D143" i="2"/>
  <c r="K143" i="2" s="1"/>
  <c r="E144" i="2"/>
  <c r="E146" i="2"/>
  <c r="G154" i="2"/>
  <c r="D154" i="2"/>
  <c r="K154" i="2" s="1"/>
  <c r="G156" i="2"/>
  <c r="H156" i="2" s="1"/>
  <c r="J156" i="2" s="1"/>
  <c r="D156" i="2"/>
  <c r="K156" i="2" s="1"/>
  <c r="E97" i="2"/>
  <c r="E115" i="2"/>
  <c r="G117" i="2"/>
  <c r="H117" i="2" s="1"/>
  <c r="E119" i="2"/>
  <c r="D131" i="2"/>
  <c r="K131" i="2" s="1"/>
  <c r="J139" i="2"/>
  <c r="I139" i="2" s="1"/>
  <c r="D153" i="2"/>
  <c r="K153" i="2" s="1"/>
  <c r="E153" i="2"/>
  <c r="G153" i="2"/>
  <c r="E154" i="2"/>
  <c r="E156" i="2"/>
  <c r="G166" i="2"/>
  <c r="H166" i="2" s="1"/>
  <c r="F166" i="2" s="1"/>
  <c r="D166" i="2"/>
  <c r="K166" i="2" s="1"/>
  <c r="E166" i="2"/>
  <c r="G116" i="2"/>
  <c r="G118" i="2"/>
  <c r="G120" i="2"/>
  <c r="G122" i="2"/>
  <c r="G124" i="2"/>
  <c r="G126" i="2"/>
  <c r="G128" i="2"/>
  <c r="G130" i="2"/>
  <c r="G137" i="2"/>
  <c r="G145" i="2"/>
  <c r="D147" i="2"/>
  <c r="K147" i="2" s="1"/>
  <c r="E163" i="2"/>
  <c r="G169" i="2"/>
  <c r="H169" i="2" s="1"/>
  <c r="G178" i="2"/>
  <c r="H178" i="2" s="1"/>
  <c r="F180" i="2"/>
  <c r="D181" i="2"/>
  <c r="K181" i="2" s="1"/>
  <c r="G189" i="2"/>
  <c r="H189" i="2" s="1"/>
  <c r="J189" i="2" s="1"/>
  <c r="I189" i="2" s="1"/>
  <c r="F196" i="2"/>
  <c r="G197" i="2"/>
  <c r="H197" i="2" s="1"/>
  <c r="E202" i="2"/>
  <c r="G209" i="2"/>
  <c r="H209" i="2" s="1"/>
  <c r="E209" i="2"/>
  <c r="D209" i="2"/>
  <c r="K209" i="2" s="1"/>
  <c r="D213" i="2"/>
  <c r="K213" i="2" s="1"/>
  <c r="D215" i="2"/>
  <c r="K215" i="2" s="1"/>
  <c r="D217" i="2"/>
  <c r="K217" i="2" s="1"/>
  <c r="G219" i="2"/>
  <c r="H219" i="2" s="1"/>
  <c r="E219" i="2"/>
  <c r="D219" i="2"/>
  <c r="K219" i="2" s="1"/>
  <c r="G221" i="2"/>
  <c r="H221" i="2" s="1"/>
  <c r="E221" i="2"/>
  <c r="D221" i="2"/>
  <c r="K221" i="2" s="1"/>
  <c r="G223" i="2"/>
  <c r="H223" i="2" s="1"/>
  <c r="E223" i="2"/>
  <c r="D223" i="2"/>
  <c r="K223" i="2" s="1"/>
  <c r="E181" i="2"/>
  <c r="D186" i="2"/>
  <c r="K186" i="2" s="1"/>
  <c r="E186" i="2"/>
  <c r="G190" i="2"/>
  <c r="H190" i="2" s="1"/>
  <c r="G193" i="2"/>
  <c r="H193" i="2" s="1"/>
  <c r="J193" i="2" s="1"/>
  <c r="G206" i="2"/>
  <c r="H206" i="2" s="1"/>
  <c r="J206" i="2" s="1"/>
  <c r="E213" i="2"/>
  <c r="G226" i="2"/>
  <c r="H226" i="2" s="1"/>
  <c r="G243" i="2"/>
  <c r="D243" i="2"/>
  <c r="K243" i="2" s="1"/>
  <c r="E243" i="2"/>
  <c r="G272" i="2"/>
  <c r="H272" i="2" s="1"/>
  <c r="E272" i="2"/>
  <c r="D272" i="2"/>
  <c r="K272" i="2" s="1"/>
  <c r="E299" i="2"/>
  <c r="D299" i="2"/>
  <c r="K299" i="2" s="1"/>
  <c r="G299" i="2"/>
  <c r="G164" i="2"/>
  <c r="H164" i="2" s="1"/>
  <c r="J164" i="2" s="1"/>
  <c r="D175" i="2"/>
  <c r="K175" i="2" s="1"/>
  <c r="G187" i="2"/>
  <c r="H187" i="2" s="1"/>
  <c r="E193" i="2"/>
  <c r="E226" i="2"/>
  <c r="D149" i="2"/>
  <c r="K149" i="2" s="1"/>
  <c r="E164" i="2"/>
  <c r="E175" i="2"/>
  <c r="E183" i="2"/>
  <c r="D183" i="2"/>
  <c r="K183" i="2" s="1"/>
  <c r="G186" i="2"/>
  <c r="E187" i="2"/>
  <c r="D190" i="2"/>
  <c r="K190" i="2" s="1"/>
  <c r="D193" i="2"/>
  <c r="K193" i="2" s="1"/>
  <c r="G195" i="2"/>
  <c r="H195" i="2" s="1"/>
  <c r="J195" i="2" s="1"/>
  <c r="G200" i="2"/>
  <c r="H200" i="2" s="1"/>
  <c r="D206" i="2"/>
  <c r="K206" i="2" s="1"/>
  <c r="G208" i="2"/>
  <c r="H208" i="2" s="1"/>
  <c r="D226" i="2"/>
  <c r="K226" i="2" s="1"/>
  <c r="G241" i="2"/>
  <c r="H241" i="2" s="1"/>
  <c r="D241" i="2"/>
  <c r="K241" i="2" s="1"/>
  <c r="E241" i="2"/>
  <c r="G150" i="2"/>
  <c r="D155" i="2"/>
  <c r="K155" i="2" s="1"/>
  <c r="G160" i="2"/>
  <c r="H160" i="2" s="1"/>
  <c r="D164" i="2"/>
  <c r="K164" i="2" s="1"/>
  <c r="G175" i="2"/>
  <c r="H175" i="2" s="1"/>
  <c r="G176" i="2"/>
  <c r="G179" i="2"/>
  <c r="H179" i="2" s="1"/>
  <c r="D187" i="2"/>
  <c r="K187" i="2" s="1"/>
  <c r="E190" i="2"/>
  <c r="J196" i="2"/>
  <c r="I196" i="2" s="1"/>
  <c r="E200" i="2"/>
  <c r="E206" i="2"/>
  <c r="G212" i="2"/>
  <c r="H212" i="2" s="1"/>
  <c r="J212" i="2" s="1"/>
  <c r="E212" i="2"/>
  <c r="D212" i="2"/>
  <c r="K212" i="2" s="1"/>
  <c r="G237" i="2"/>
  <c r="H237" i="2" s="1"/>
  <c r="J237" i="2" s="1"/>
  <c r="E237" i="2"/>
  <c r="D267" i="2"/>
  <c r="K267" i="2" s="1"/>
  <c r="G267" i="2"/>
  <c r="E267" i="2"/>
  <c r="E277" i="2"/>
  <c r="G277" i="2"/>
  <c r="H277" i="2" s="1"/>
  <c r="D277" i="2"/>
  <c r="K277" i="2" s="1"/>
  <c r="G163" i="2"/>
  <c r="H163" i="2" s="1"/>
  <c r="J163" i="2" s="1"/>
  <c r="G171" i="2"/>
  <c r="H171" i="2" s="1"/>
  <c r="G184" i="2"/>
  <c r="H184" i="2" s="1"/>
  <c r="E184" i="2"/>
  <c r="G202" i="2"/>
  <c r="G232" i="2"/>
  <c r="H232" i="2" s="1"/>
  <c r="E232" i="2"/>
  <c r="D232" i="2"/>
  <c r="K232" i="2" s="1"/>
  <c r="G239" i="2"/>
  <c r="H239" i="2" s="1"/>
  <c r="J239" i="2" s="1"/>
  <c r="D239" i="2"/>
  <c r="K239" i="2" s="1"/>
  <c r="E239" i="2"/>
  <c r="G250" i="2"/>
  <c r="E250" i="2"/>
  <c r="D250" i="2"/>
  <c r="K250" i="2" s="1"/>
  <c r="G252" i="2"/>
  <c r="H252" i="2" s="1"/>
  <c r="D252" i="2"/>
  <c r="K252" i="2" s="1"/>
  <c r="E252" i="2"/>
  <c r="G256" i="2"/>
  <c r="H256" i="2" s="1"/>
  <c r="J256" i="2" s="1"/>
  <c r="I256" i="2" s="1"/>
  <c r="G181" i="2"/>
  <c r="E189" i="2"/>
  <c r="D189" i="2"/>
  <c r="K189" i="2" s="1"/>
  <c r="E197" i="2"/>
  <c r="D197" i="2"/>
  <c r="K197" i="2" s="1"/>
  <c r="G213" i="2"/>
  <c r="H213" i="2" s="1"/>
  <c r="J213" i="2" s="1"/>
  <c r="I213" i="2" s="1"/>
  <c r="G215" i="2"/>
  <c r="G217" i="2"/>
  <c r="G230" i="2"/>
  <c r="E230" i="2"/>
  <c r="D230" i="2"/>
  <c r="K230" i="2" s="1"/>
  <c r="G235" i="2"/>
  <c r="G248" i="2"/>
  <c r="H248" i="2" s="1"/>
  <c r="E248" i="2"/>
  <c r="D248" i="2"/>
  <c r="K248" i="2" s="1"/>
  <c r="G258" i="2"/>
  <c r="H258" i="2" s="1"/>
  <c r="E258" i="2"/>
  <c r="D258" i="2"/>
  <c r="K258" i="2" s="1"/>
  <c r="D286" i="2"/>
  <c r="K286" i="2" s="1"/>
  <c r="E286" i="2"/>
  <c r="D355" i="2"/>
  <c r="K355" i="2" s="1"/>
  <c r="E355" i="2"/>
  <c r="G355" i="2"/>
  <c r="D366" i="2"/>
  <c r="K366" i="2" s="1"/>
  <c r="E366" i="2"/>
  <c r="G366" i="2"/>
  <c r="J305" i="2"/>
  <c r="I305" i="2" s="1"/>
  <c r="E363" i="2"/>
  <c r="D363" i="2"/>
  <c r="K363" i="2" s="1"/>
  <c r="G363" i="2"/>
  <c r="H363" i="2" s="1"/>
  <c r="D368" i="2"/>
  <c r="K368" i="2" s="1"/>
  <c r="G368" i="2"/>
  <c r="H368" i="2" s="1"/>
  <c r="E368" i="2"/>
  <c r="G298" i="2"/>
  <c r="H298" i="2" s="1"/>
  <c r="F298" i="2" s="1"/>
  <c r="E298" i="2"/>
  <c r="D303" i="2"/>
  <c r="K303" i="2" s="1"/>
  <c r="E303" i="2"/>
  <c r="G356" i="2"/>
  <c r="D356" i="2"/>
  <c r="K356" i="2" s="1"/>
  <c r="E356" i="2"/>
  <c r="G390" i="2"/>
  <c r="H390" i="2" s="1"/>
  <c r="J390" i="2" s="1"/>
  <c r="I390" i="2" s="1"/>
  <c r="D390" i="2"/>
  <c r="K390" i="2" s="1"/>
  <c r="E390" i="2"/>
  <c r="J180" i="2"/>
  <c r="I180" i="2" s="1"/>
  <c r="H210" i="2"/>
  <c r="F210" i="2" s="1"/>
  <c r="H233" i="2"/>
  <c r="G244" i="2"/>
  <c r="H244" i="2" s="1"/>
  <c r="G246" i="2"/>
  <c r="H246" i="2" s="1"/>
  <c r="J246" i="2" s="1"/>
  <c r="I246" i="2" s="1"/>
  <c r="E254" i="2"/>
  <c r="D262" i="2"/>
  <c r="K262" i="2" s="1"/>
  <c r="H266" i="2"/>
  <c r="F266" i="2" s="1"/>
  <c r="D298" i="2"/>
  <c r="K298" i="2" s="1"/>
  <c r="J313" i="2"/>
  <c r="I313" i="2" s="1"/>
  <c r="E483" i="2"/>
  <c r="D483" i="2"/>
  <c r="K483" i="2" s="1"/>
  <c r="G483" i="2"/>
  <c r="H483" i="2" s="1"/>
  <c r="D245" i="2"/>
  <c r="K245" i="2" s="1"/>
  <c r="D254" i="2"/>
  <c r="K254" i="2" s="1"/>
  <c r="D255" i="2"/>
  <c r="K255" i="2" s="1"/>
  <c r="G265" i="2"/>
  <c r="E283" i="2"/>
  <c r="D283" i="2"/>
  <c r="K283" i="2" s="1"/>
  <c r="G296" i="2"/>
  <c r="D296" i="2"/>
  <c r="K296" i="2" s="1"/>
  <c r="E296" i="2"/>
  <c r="G302" i="2"/>
  <c r="D302" i="2"/>
  <c r="K302" i="2" s="1"/>
  <c r="E302" i="2"/>
  <c r="G303" i="2"/>
  <c r="H303" i="2" s="1"/>
  <c r="G362" i="2"/>
  <c r="H362" i="2" s="1"/>
  <c r="F362" i="2" s="1"/>
  <c r="E362" i="2"/>
  <c r="D362" i="2"/>
  <c r="K362" i="2" s="1"/>
  <c r="E259" i="2"/>
  <c r="E262" i="2"/>
  <c r="G270" i="2"/>
  <c r="D270" i="2"/>
  <c r="K270" i="2" s="1"/>
  <c r="E380" i="2"/>
  <c r="D380" i="2"/>
  <c r="K380" i="2" s="1"/>
  <c r="G380" i="2"/>
  <c r="H380" i="2" s="1"/>
  <c r="E395" i="2"/>
  <c r="G395" i="2"/>
  <c r="H395" i="2" s="1"/>
  <c r="D395" i="2"/>
  <c r="K395" i="2" s="1"/>
  <c r="G260" i="2"/>
  <c r="E260" i="2"/>
  <c r="G263" i="2"/>
  <c r="H263" i="2" s="1"/>
  <c r="J263" i="2" s="1"/>
  <c r="I263" i="2" s="1"/>
  <c r="G280" i="2"/>
  <c r="H280" i="2" s="1"/>
  <c r="G284" i="2"/>
  <c r="H284" i="2" s="1"/>
  <c r="D301" i="2"/>
  <c r="K301" i="2" s="1"/>
  <c r="E301" i="2"/>
  <c r="H301" i="2"/>
  <c r="F301" i="2" s="1"/>
  <c r="E344" i="2"/>
  <c r="G344" i="2"/>
  <c r="D344" i="2"/>
  <c r="K344" i="2" s="1"/>
  <c r="D412" i="2"/>
  <c r="K412" i="2" s="1"/>
  <c r="G412" i="2"/>
  <c r="H412" i="2" s="1"/>
  <c r="E412" i="2"/>
  <c r="F288" i="2"/>
  <c r="E333" i="2"/>
  <c r="G335" i="2"/>
  <c r="H335" i="2" s="1"/>
  <c r="J335" i="2" s="1"/>
  <c r="E335" i="2"/>
  <c r="G337" i="2"/>
  <c r="H337" i="2" s="1"/>
  <c r="J337" i="2" s="1"/>
  <c r="E337" i="2"/>
  <c r="E345" i="2"/>
  <c r="D345" i="2"/>
  <c r="K345" i="2" s="1"/>
  <c r="E354" i="2"/>
  <c r="D357" i="2"/>
  <c r="K357" i="2" s="1"/>
  <c r="E357" i="2"/>
  <c r="D360" i="2"/>
  <c r="K360" i="2" s="1"/>
  <c r="D361" i="2"/>
  <c r="K361" i="2" s="1"/>
  <c r="D364" i="2"/>
  <c r="K364" i="2" s="1"/>
  <c r="E364" i="2"/>
  <c r="J383" i="2"/>
  <c r="I383" i="2" s="1"/>
  <c r="E385" i="2"/>
  <c r="G385" i="2"/>
  <c r="D385" i="2"/>
  <c r="K385" i="2" s="1"/>
  <c r="E420" i="2"/>
  <c r="G420" i="2"/>
  <c r="H420" i="2" s="1"/>
  <c r="D420" i="2"/>
  <c r="K420" i="2" s="1"/>
  <c r="D467" i="2"/>
  <c r="K467" i="2" s="1"/>
  <c r="E467" i="2"/>
  <c r="G467" i="2"/>
  <c r="H467" i="2" s="1"/>
  <c r="E378" i="2"/>
  <c r="G378" i="2"/>
  <c r="H378" i="2" s="1"/>
  <c r="D378" i="2"/>
  <c r="K378" i="2" s="1"/>
  <c r="E389" i="2"/>
  <c r="G407" i="2"/>
  <c r="D435" i="2"/>
  <c r="K435" i="2" s="1"/>
  <c r="G435" i="2"/>
  <c r="H435" i="2" s="1"/>
  <c r="E435" i="2"/>
  <c r="G480" i="2"/>
  <c r="D480" i="2"/>
  <c r="K480" i="2" s="1"/>
  <c r="E480" i="2"/>
  <c r="H343" i="2"/>
  <c r="J343" i="2" s="1"/>
  <c r="E346" i="2"/>
  <c r="G375" i="2"/>
  <c r="D375" i="2"/>
  <c r="K375" i="2" s="1"/>
  <c r="E375" i="2"/>
  <c r="G377" i="2"/>
  <c r="H377" i="2" s="1"/>
  <c r="J377" i="2" s="1"/>
  <c r="D377" i="2"/>
  <c r="K377" i="2" s="1"/>
  <c r="D389" i="2"/>
  <c r="K389" i="2" s="1"/>
  <c r="H268" i="2"/>
  <c r="E287" i="2"/>
  <c r="E289" i="2"/>
  <c r="E329" i="2"/>
  <c r="G345" i="2"/>
  <c r="D346" i="2"/>
  <c r="K346" i="2" s="1"/>
  <c r="D347" i="2"/>
  <c r="K347" i="2" s="1"/>
  <c r="G348" i="2"/>
  <c r="H348" i="2" s="1"/>
  <c r="D348" i="2"/>
  <c r="K348" i="2" s="1"/>
  <c r="G357" i="2"/>
  <c r="H357" i="2" s="1"/>
  <c r="J357" i="2" s="1"/>
  <c r="G361" i="2"/>
  <c r="H361" i="2" s="1"/>
  <c r="G364" i="2"/>
  <c r="E377" i="2"/>
  <c r="G392" i="2"/>
  <c r="H392" i="2" s="1"/>
  <c r="D392" i="2"/>
  <c r="K392" i="2" s="1"/>
  <c r="E392" i="2"/>
  <c r="G411" i="2"/>
  <c r="E411" i="2"/>
  <c r="E427" i="2"/>
  <c r="G427" i="2"/>
  <c r="H427" i="2" s="1"/>
  <c r="D427" i="2"/>
  <c r="K427" i="2" s="1"/>
  <c r="J288" i="2"/>
  <c r="I288" i="2" s="1"/>
  <c r="G300" i="2"/>
  <c r="H300" i="2" s="1"/>
  <c r="D341" i="2"/>
  <c r="K341" i="2" s="1"/>
  <c r="D349" i="2"/>
  <c r="K349" i="2" s="1"/>
  <c r="H349" i="2"/>
  <c r="G350" i="2"/>
  <c r="H350" i="2" s="1"/>
  <c r="J350" i="2" s="1"/>
  <c r="D350" i="2"/>
  <c r="K350" i="2" s="1"/>
  <c r="D358" i="2"/>
  <c r="K358" i="2" s="1"/>
  <c r="E358" i="2"/>
  <c r="G373" i="2"/>
  <c r="D373" i="2"/>
  <c r="K373" i="2" s="1"/>
  <c r="E373" i="2"/>
  <c r="G389" i="2"/>
  <c r="H389" i="2" s="1"/>
  <c r="I398" i="2"/>
  <c r="D411" i="2"/>
  <c r="K411" i="2" s="1"/>
  <c r="G421" i="2"/>
  <c r="D421" i="2"/>
  <c r="K421" i="2" s="1"/>
  <c r="E421" i="2"/>
  <c r="J477" i="2"/>
  <c r="I477" i="2" s="1"/>
  <c r="D329" i="2"/>
  <c r="K329" i="2" s="1"/>
  <c r="D330" i="2"/>
  <c r="K330" i="2" s="1"/>
  <c r="H330" i="2"/>
  <c r="G331" i="2"/>
  <c r="H331" i="2" s="1"/>
  <c r="D331" i="2"/>
  <c r="K331" i="2" s="1"/>
  <c r="D340" i="2"/>
  <c r="K340" i="2" s="1"/>
  <c r="E341" i="2"/>
  <c r="E342" i="2"/>
  <c r="G346" i="2"/>
  <c r="E348" i="2"/>
  <c r="E349" i="2"/>
  <c r="E350" i="2"/>
  <c r="D351" i="2"/>
  <c r="K351" i="2" s="1"/>
  <c r="E351" i="2"/>
  <c r="H351" i="2"/>
  <c r="G352" i="2"/>
  <c r="D352" i="2"/>
  <c r="K352" i="2" s="1"/>
  <c r="D408" i="2"/>
  <c r="K408" i="2" s="1"/>
  <c r="G408" i="2"/>
  <c r="H408" i="2" s="1"/>
  <c r="E408" i="2"/>
  <c r="E429" i="2"/>
  <c r="G429" i="2"/>
  <c r="D429" i="2"/>
  <c r="K429" i="2" s="1"/>
  <c r="F313" i="2"/>
  <c r="D332" i="2"/>
  <c r="K332" i="2" s="1"/>
  <c r="E332" i="2"/>
  <c r="G333" i="2"/>
  <c r="D333" i="2"/>
  <c r="K333" i="2" s="1"/>
  <c r="E343" i="2"/>
  <c r="D343" i="2"/>
  <c r="K343" i="2" s="1"/>
  <c r="D353" i="2"/>
  <c r="K353" i="2" s="1"/>
  <c r="H353" i="2"/>
  <c r="F353" i="2" s="1"/>
  <c r="G354" i="2"/>
  <c r="H354" i="2" s="1"/>
  <c r="D354" i="2"/>
  <c r="K354" i="2" s="1"/>
  <c r="H372" i="2"/>
  <c r="F372" i="2" s="1"/>
  <c r="E372" i="2"/>
  <c r="G436" i="2"/>
  <c r="H436" i="2" s="1"/>
  <c r="J436" i="2" s="1"/>
  <c r="I436" i="2" s="1"/>
  <c r="D436" i="2"/>
  <c r="K436" i="2" s="1"/>
  <c r="E436" i="2"/>
  <c r="D496" i="2"/>
  <c r="K496" i="2" s="1"/>
  <c r="E496" i="2"/>
  <c r="G496" i="2"/>
  <c r="H496" i="2" s="1"/>
  <c r="E513" i="2"/>
  <c r="G513" i="2"/>
  <c r="H513" i="2" s="1"/>
  <c r="F513" i="2" s="1"/>
  <c r="D513" i="2"/>
  <c r="K513" i="2" s="1"/>
  <c r="G468" i="2"/>
  <c r="H468" i="2" s="1"/>
  <c r="F468" i="2" s="1"/>
  <c r="G490" i="2"/>
  <c r="D490" i="2"/>
  <c r="K490" i="2" s="1"/>
  <c r="E490" i="2"/>
  <c r="D501" i="2"/>
  <c r="K501" i="2" s="1"/>
  <c r="G511" i="2"/>
  <c r="E511" i="2"/>
  <c r="D511" i="2"/>
  <c r="K511" i="2" s="1"/>
  <c r="F305" i="2"/>
  <c r="J318" i="2"/>
  <c r="I318" i="2" s="1"/>
  <c r="G334" i="2"/>
  <c r="G336" i="2"/>
  <c r="G338" i="2"/>
  <c r="E365" i="2"/>
  <c r="E369" i="2"/>
  <c r="G379" i="2"/>
  <c r="H379" i="2" s="1"/>
  <c r="D379" i="2"/>
  <c r="K379" i="2" s="1"/>
  <c r="E382" i="2"/>
  <c r="G386" i="2"/>
  <c r="H386" i="2" s="1"/>
  <c r="D386" i="2"/>
  <c r="K386" i="2" s="1"/>
  <c r="E391" i="2"/>
  <c r="E396" i="2"/>
  <c r="G438" i="2"/>
  <c r="H438" i="2" s="1"/>
  <c r="J438" i="2" s="1"/>
  <c r="D438" i="2"/>
  <c r="K438" i="2" s="1"/>
  <c r="E447" i="2"/>
  <c r="E450" i="2"/>
  <c r="E452" i="2"/>
  <c r="E454" i="2"/>
  <c r="G466" i="2"/>
  <c r="H466" i="2" s="1"/>
  <c r="J466" i="2" s="1"/>
  <c r="D466" i="2"/>
  <c r="K466" i="2" s="1"/>
  <c r="E479" i="2"/>
  <c r="G479" i="2"/>
  <c r="D498" i="2"/>
  <c r="K498" i="2" s="1"/>
  <c r="G498" i="2"/>
  <c r="H498" i="2" s="1"/>
  <c r="J498" i="2" s="1"/>
  <c r="E498" i="2"/>
  <c r="H409" i="2"/>
  <c r="J409" i="2" s="1"/>
  <c r="G413" i="2"/>
  <c r="D413" i="2"/>
  <c r="K413" i="2" s="1"/>
  <c r="E423" i="2"/>
  <c r="E439" i="2"/>
  <c r="G440" i="2"/>
  <c r="H440" i="2" s="1"/>
  <c r="J440" i="2" s="1"/>
  <c r="D440" i="2"/>
  <c r="K440" i="2" s="1"/>
  <c r="E445" i="2"/>
  <c r="E456" i="2"/>
  <c r="G495" i="2"/>
  <c r="H495" i="2" s="1"/>
  <c r="E495" i="2"/>
  <c r="E521" i="2"/>
  <c r="G521" i="2"/>
  <c r="H521" i="2" s="1"/>
  <c r="D521" i="2"/>
  <c r="K521" i="2" s="1"/>
  <c r="D383" i="2"/>
  <c r="K383" i="2" s="1"/>
  <c r="E387" i="2"/>
  <c r="E409" i="2"/>
  <c r="E413" i="2"/>
  <c r="G415" i="2"/>
  <c r="D415" i="2"/>
  <c r="K415" i="2" s="1"/>
  <c r="D423" i="2"/>
  <c r="K423" i="2" s="1"/>
  <c r="D431" i="2"/>
  <c r="K431" i="2" s="1"/>
  <c r="D439" i="2"/>
  <c r="K439" i="2" s="1"/>
  <c r="E440" i="2"/>
  <c r="H441" i="2"/>
  <c r="F441" i="2" s="1"/>
  <c r="E443" i="2"/>
  <c r="D445" i="2"/>
  <c r="K445" i="2" s="1"/>
  <c r="D456" i="2"/>
  <c r="K456" i="2" s="1"/>
  <c r="H458" i="2"/>
  <c r="G461" i="2"/>
  <c r="H461" i="2" s="1"/>
  <c r="E461" i="2"/>
  <c r="G474" i="2"/>
  <c r="H474" i="2" s="1"/>
  <c r="J474" i="2" s="1"/>
  <c r="D474" i="2"/>
  <c r="K474" i="2" s="1"/>
  <c r="D495" i="2"/>
  <c r="K495" i="2" s="1"/>
  <c r="G519" i="2"/>
  <c r="H519" i="2" s="1"/>
  <c r="J519" i="2" s="1"/>
  <c r="E519" i="2"/>
  <c r="D519" i="2"/>
  <c r="K519" i="2" s="1"/>
  <c r="E308" i="2"/>
  <c r="E312" i="2"/>
  <c r="H370" i="2"/>
  <c r="G381" i="2"/>
  <c r="D381" i="2"/>
  <c r="K381" i="2" s="1"/>
  <c r="E383" i="2"/>
  <c r="D387" i="2"/>
  <c r="K387" i="2" s="1"/>
  <c r="G388" i="2"/>
  <c r="D388" i="2"/>
  <c r="K388" i="2" s="1"/>
  <c r="H393" i="2"/>
  <c r="J393" i="2" s="1"/>
  <c r="F398" i="2"/>
  <c r="E398" i="2"/>
  <c r="D409" i="2"/>
  <c r="K409" i="2" s="1"/>
  <c r="D410" i="2"/>
  <c r="K410" i="2" s="1"/>
  <c r="D414" i="2"/>
  <c r="K414" i="2" s="1"/>
  <c r="G417" i="2"/>
  <c r="D417" i="2"/>
  <c r="K417" i="2" s="1"/>
  <c r="H425" i="2"/>
  <c r="F425" i="2" s="1"/>
  <c r="E431" i="2"/>
  <c r="E433" i="2"/>
  <c r="G437" i="2"/>
  <c r="D441" i="2"/>
  <c r="K441" i="2" s="1"/>
  <c r="D443" i="2"/>
  <c r="K443" i="2" s="1"/>
  <c r="G445" i="2"/>
  <c r="G448" i="2"/>
  <c r="H448" i="2" s="1"/>
  <c r="J448" i="2" s="1"/>
  <c r="D458" i="2"/>
  <c r="K458" i="2" s="1"/>
  <c r="E460" i="2"/>
  <c r="D461" i="2"/>
  <c r="K461" i="2" s="1"/>
  <c r="E474" i="2"/>
  <c r="G478" i="2"/>
  <c r="E478" i="2"/>
  <c r="G365" i="2"/>
  <c r="G369" i="2"/>
  <c r="H369" i="2" s="1"/>
  <c r="D370" i="2"/>
  <c r="K370" i="2" s="1"/>
  <c r="G371" i="2"/>
  <c r="D371" i="2"/>
  <c r="K371" i="2" s="1"/>
  <c r="H376" i="2"/>
  <c r="E381" i="2"/>
  <c r="G382" i="2"/>
  <c r="H382" i="2" s="1"/>
  <c r="H384" i="2"/>
  <c r="E388" i="2"/>
  <c r="G391" i="2"/>
  <c r="H391" i="2" s="1"/>
  <c r="D393" i="2"/>
  <c r="K393" i="2" s="1"/>
  <c r="G394" i="2"/>
  <c r="D394" i="2"/>
  <c r="K394" i="2" s="1"/>
  <c r="H396" i="2"/>
  <c r="D398" i="2"/>
  <c r="K398" i="2" s="1"/>
  <c r="G405" i="2"/>
  <c r="H405" i="2" s="1"/>
  <c r="J405" i="2" s="1"/>
  <c r="E410" i="2"/>
  <c r="E415" i="2"/>
  <c r="D416" i="2"/>
  <c r="K416" i="2" s="1"/>
  <c r="E417" i="2"/>
  <c r="H418" i="2"/>
  <c r="G419" i="2"/>
  <c r="D419" i="2"/>
  <c r="K419" i="2" s="1"/>
  <c r="G423" i="2"/>
  <c r="H423" i="2" s="1"/>
  <c r="D425" i="2"/>
  <c r="K425" i="2" s="1"/>
  <c r="G431" i="2"/>
  <c r="H431" i="2" s="1"/>
  <c r="D433" i="2"/>
  <c r="K433" i="2" s="1"/>
  <c r="I434" i="2"/>
  <c r="F434" i="2"/>
  <c r="G439" i="2"/>
  <c r="H439" i="2" s="1"/>
  <c r="G443" i="2"/>
  <c r="G456" i="2"/>
  <c r="H456" i="2" s="1"/>
  <c r="D460" i="2"/>
  <c r="K460" i="2" s="1"/>
  <c r="E469" i="2"/>
  <c r="G469" i="2"/>
  <c r="H469" i="2" s="1"/>
  <c r="D469" i="2"/>
  <c r="K469" i="2" s="1"/>
  <c r="D478" i="2"/>
  <c r="K478" i="2" s="1"/>
  <c r="E564" i="2"/>
  <c r="D564" i="2"/>
  <c r="K564" i="2" s="1"/>
  <c r="G564" i="2"/>
  <c r="H564" i="2" s="1"/>
  <c r="J564" i="2" s="1"/>
  <c r="J359" i="2"/>
  <c r="I359" i="2" s="1"/>
  <c r="G397" i="2"/>
  <c r="G399" i="2"/>
  <c r="G401" i="2"/>
  <c r="G422" i="2"/>
  <c r="G424" i="2"/>
  <c r="G426" i="2"/>
  <c r="G428" i="2"/>
  <c r="G430" i="2"/>
  <c r="G432" i="2"/>
  <c r="D442" i="2"/>
  <c r="K442" i="2" s="1"/>
  <c r="D444" i="2"/>
  <c r="K444" i="2" s="1"/>
  <c r="D446" i="2"/>
  <c r="K446" i="2" s="1"/>
  <c r="G449" i="2"/>
  <c r="G451" i="2"/>
  <c r="G453" i="2"/>
  <c r="D465" i="2"/>
  <c r="K465" i="2" s="1"/>
  <c r="G471" i="2"/>
  <c r="D472" i="2"/>
  <c r="K472" i="2" s="1"/>
  <c r="E473" i="2"/>
  <c r="F477" i="2"/>
  <c r="G484" i="2"/>
  <c r="G487" i="2"/>
  <c r="D488" i="2"/>
  <c r="K488" i="2" s="1"/>
  <c r="F494" i="2"/>
  <c r="D500" i="2"/>
  <c r="K500" i="2" s="1"/>
  <c r="E500" i="2"/>
  <c r="G508" i="2"/>
  <c r="H508" i="2" s="1"/>
  <c r="F508" i="2" s="1"/>
  <c r="D508" i="2"/>
  <c r="K508" i="2" s="1"/>
  <c r="E508" i="2"/>
  <c r="G516" i="2"/>
  <c r="H516" i="2" s="1"/>
  <c r="D516" i="2"/>
  <c r="K516" i="2" s="1"/>
  <c r="E516" i="2"/>
  <c r="G524" i="2"/>
  <c r="H524" i="2" s="1"/>
  <c r="D524" i="2"/>
  <c r="K524" i="2" s="1"/>
  <c r="E524" i="2"/>
  <c r="D532" i="2"/>
  <c r="K532" i="2" s="1"/>
  <c r="G532" i="2"/>
  <c r="E532" i="2"/>
  <c r="G535" i="2"/>
  <c r="H535" i="2" s="1"/>
  <c r="J535" i="2" s="1"/>
  <c r="D535" i="2"/>
  <c r="K535" i="2" s="1"/>
  <c r="E535" i="2"/>
  <c r="E540" i="2"/>
  <c r="D540" i="2"/>
  <c r="K540" i="2" s="1"/>
  <c r="G540" i="2"/>
  <c r="H540" i="2" s="1"/>
  <c r="J540" i="2" s="1"/>
  <c r="G566" i="2"/>
  <c r="H566" i="2" s="1"/>
  <c r="J566" i="2" s="1"/>
  <c r="I566" i="2" s="1"/>
  <c r="E566" i="2"/>
  <c r="D566" i="2"/>
  <c r="K566" i="2" s="1"/>
  <c r="G568" i="2"/>
  <c r="D568" i="2"/>
  <c r="K568" i="2" s="1"/>
  <c r="E568" i="2"/>
  <c r="E485" i="2"/>
  <c r="G510" i="2"/>
  <c r="H510" i="2" s="1"/>
  <c r="D510" i="2"/>
  <c r="K510" i="2" s="1"/>
  <c r="E510" i="2"/>
  <c r="G518" i="2"/>
  <c r="H518" i="2" s="1"/>
  <c r="J518" i="2" s="1"/>
  <c r="I518" i="2" s="1"/>
  <c r="D518" i="2"/>
  <c r="K518" i="2" s="1"/>
  <c r="E518" i="2"/>
  <c r="G442" i="2"/>
  <c r="G444" i="2"/>
  <c r="G446" i="2"/>
  <c r="H465" i="2"/>
  <c r="G470" i="2"/>
  <c r="G473" i="2"/>
  <c r="E475" i="2"/>
  <c r="D485" i="2"/>
  <c r="K485" i="2" s="1"/>
  <c r="G486" i="2"/>
  <c r="G489" i="2"/>
  <c r="G500" i="2"/>
  <c r="E507" i="2"/>
  <c r="G507" i="2"/>
  <c r="H507" i="2" s="1"/>
  <c r="J507" i="2" s="1"/>
  <c r="D507" i="2"/>
  <c r="K507" i="2" s="1"/>
  <c r="G515" i="2"/>
  <c r="H515" i="2" s="1"/>
  <c r="J515" i="2" s="1"/>
  <c r="E515" i="2"/>
  <c r="D515" i="2"/>
  <c r="K515" i="2" s="1"/>
  <c r="E523" i="2"/>
  <c r="G523" i="2"/>
  <c r="H523" i="2" s="1"/>
  <c r="J523" i="2" s="1"/>
  <c r="D523" i="2"/>
  <c r="K523" i="2" s="1"/>
  <c r="G528" i="2"/>
  <c r="H528" i="2" s="1"/>
  <c r="J528" i="2" s="1"/>
  <c r="D528" i="2"/>
  <c r="K528" i="2" s="1"/>
  <c r="E528" i="2"/>
  <c r="G476" i="2"/>
  <c r="H476" i="2" s="1"/>
  <c r="J476" i="2" s="1"/>
  <c r="D492" i="2"/>
  <c r="K492" i="2" s="1"/>
  <c r="H492" i="2"/>
  <c r="F492" i="2" s="1"/>
  <c r="G512" i="2"/>
  <c r="D512" i="2"/>
  <c r="K512" i="2" s="1"/>
  <c r="E512" i="2"/>
  <c r="G520" i="2"/>
  <c r="H520" i="2" s="1"/>
  <c r="J520" i="2" s="1"/>
  <c r="D520" i="2"/>
  <c r="K520" i="2" s="1"/>
  <c r="E520" i="2"/>
  <c r="D536" i="2"/>
  <c r="K536" i="2" s="1"/>
  <c r="E536" i="2"/>
  <c r="G536" i="2"/>
  <c r="H536" i="2" s="1"/>
  <c r="J536" i="2" s="1"/>
  <c r="I536" i="2" s="1"/>
  <c r="J557" i="2"/>
  <c r="I557" i="2" s="1"/>
  <c r="G561" i="2"/>
  <c r="H561" i="2" s="1"/>
  <c r="D561" i="2"/>
  <c r="K561" i="2" s="1"/>
  <c r="E561" i="2"/>
  <c r="G571" i="2"/>
  <c r="H571" i="2" s="1"/>
  <c r="D571" i="2"/>
  <c r="K571" i="2" s="1"/>
  <c r="E571" i="2"/>
  <c r="D481" i="2"/>
  <c r="K481" i="2" s="1"/>
  <c r="G482" i="2"/>
  <c r="G485" i="2"/>
  <c r="H485" i="2" s="1"/>
  <c r="E487" i="2"/>
  <c r="D493" i="2"/>
  <c r="K493" i="2" s="1"/>
  <c r="D504" i="2"/>
  <c r="K504" i="2" s="1"/>
  <c r="E504" i="2"/>
  <c r="E509" i="2"/>
  <c r="G509" i="2"/>
  <c r="D509" i="2"/>
  <c r="K509" i="2" s="1"/>
  <c r="E517" i="2"/>
  <c r="G517" i="2"/>
  <c r="H517" i="2" s="1"/>
  <c r="F517" i="2" s="1"/>
  <c r="D517" i="2"/>
  <c r="K517" i="2" s="1"/>
  <c r="G472" i="2"/>
  <c r="E477" i="2"/>
  <c r="G488" i="2"/>
  <c r="H488" i="2" s="1"/>
  <c r="J488" i="2" s="1"/>
  <c r="D494" i="2"/>
  <c r="K494" i="2" s="1"/>
  <c r="J494" i="2"/>
  <c r="I494" i="2" s="1"/>
  <c r="G503" i="2"/>
  <c r="H503" i="2" s="1"/>
  <c r="J503" i="2" s="1"/>
  <c r="G514" i="2"/>
  <c r="D514" i="2"/>
  <c r="K514" i="2" s="1"/>
  <c r="E514" i="2"/>
  <c r="G522" i="2"/>
  <c r="H522" i="2" s="1"/>
  <c r="F522" i="2" s="1"/>
  <c r="D522" i="2"/>
  <c r="K522" i="2" s="1"/>
  <c r="E522" i="2"/>
  <c r="G526" i="2"/>
  <c r="H526" i="2" s="1"/>
  <c r="D526" i="2"/>
  <c r="K526" i="2" s="1"/>
  <c r="E526" i="2"/>
  <c r="E622" i="2"/>
  <c r="G622" i="2"/>
  <c r="D622" i="2"/>
  <c r="K622" i="2" s="1"/>
  <c r="H652" i="2"/>
  <c r="F652" i="2" s="1"/>
  <c r="E610" i="2"/>
  <c r="D610" i="2"/>
  <c r="K610" i="2" s="1"/>
  <c r="G610" i="2"/>
  <c r="H610" i="2" s="1"/>
  <c r="E556" i="2"/>
  <c r="D556" i="2"/>
  <c r="K556" i="2" s="1"/>
  <c r="G556" i="2"/>
  <c r="H556" i="2" s="1"/>
  <c r="G563" i="2"/>
  <c r="H563" i="2" s="1"/>
  <c r="D563" i="2"/>
  <c r="K563" i="2" s="1"/>
  <c r="E572" i="2"/>
  <c r="D572" i="2"/>
  <c r="K572" i="2" s="1"/>
  <c r="G530" i="2"/>
  <c r="D530" i="2"/>
  <c r="K530" i="2" s="1"/>
  <c r="E530" i="2"/>
  <c r="F546" i="2"/>
  <c r="E563" i="2"/>
  <c r="G572" i="2"/>
  <c r="D499" i="2"/>
  <c r="K499" i="2" s="1"/>
  <c r="J546" i="2"/>
  <c r="I546" i="2" s="1"/>
  <c r="G558" i="2"/>
  <c r="H558" i="2" s="1"/>
  <c r="E558" i="2"/>
  <c r="D558" i="2"/>
  <c r="K558" i="2" s="1"/>
  <c r="G543" i="2"/>
  <c r="D543" i="2"/>
  <c r="K543" i="2" s="1"/>
  <c r="E543" i="2"/>
  <c r="G560" i="2"/>
  <c r="H560" i="2" s="1"/>
  <c r="E560" i="2"/>
  <c r="D560" i="2"/>
  <c r="K560" i="2" s="1"/>
  <c r="E569" i="2"/>
  <c r="G569" i="2"/>
  <c r="D569" i="2"/>
  <c r="K569" i="2" s="1"/>
  <c r="G525" i="2"/>
  <c r="H525" i="2" s="1"/>
  <c r="G527" i="2"/>
  <c r="H527" i="2" s="1"/>
  <c r="J527" i="2" s="1"/>
  <c r="G529" i="2"/>
  <c r="G531" i="2"/>
  <c r="D544" i="2"/>
  <c r="K544" i="2" s="1"/>
  <c r="E544" i="2"/>
  <c r="G545" i="2"/>
  <c r="H545" i="2" s="1"/>
  <c r="H554" i="2"/>
  <c r="G577" i="2"/>
  <c r="H577" i="2" s="1"/>
  <c r="D634" i="2"/>
  <c r="K634" i="2" s="1"/>
  <c r="E634" i="2"/>
  <c r="G634" i="2"/>
  <c r="H634" i="2" s="1"/>
  <c r="D546" i="2"/>
  <c r="K546" i="2" s="1"/>
  <c r="G547" i="2"/>
  <c r="H547" i="2" s="1"/>
  <c r="J547" i="2" s="1"/>
  <c r="F557" i="2"/>
  <c r="D548" i="2"/>
  <c r="K548" i="2" s="1"/>
  <c r="E548" i="2"/>
  <c r="G549" i="2"/>
  <c r="H549" i="2" s="1"/>
  <c r="J549" i="2" s="1"/>
  <c r="E579" i="2"/>
  <c r="G607" i="2"/>
  <c r="H607" i="2" s="1"/>
  <c r="E607" i="2"/>
  <c r="H618" i="2"/>
  <c r="F618" i="2" s="1"/>
  <c r="G647" i="2"/>
  <c r="D647" i="2"/>
  <c r="K647" i="2" s="1"/>
  <c r="E647" i="2"/>
  <c r="H537" i="2"/>
  <c r="J537" i="2" s="1"/>
  <c r="I537" i="2" s="1"/>
  <c r="H544" i="2"/>
  <c r="J544" i="2" s="1"/>
  <c r="D550" i="2"/>
  <c r="K550" i="2" s="1"/>
  <c r="E550" i="2"/>
  <c r="G551" i="2"/>
  <c r="H551" i="2" s="1"/>
  <c r="J551" i="2" s="1"/>
  <c r="E576" i="2"/>
  <c r="G576" i="2"/>
  <c r="D579" i="2"/>
  <c r="K579" i="2" s="1"/>
  <c r="D607" i="2"/>
  <c r="K607" i="2" s="1"/>
  <c r="E531" i="2"/>
  <c r="E534" i="2"/>
  <c r="G538" i="2"/>
  <c r="H538" i="2" s="1"/>
  <c r="E539" i="2"/>
  <c r="E542" i="2"/>
  <c r="G548" i="2"/>
  <c r="H548" i="2" s="1"/>
  <c r="D549" i="2"/>
  <c r="K549" i="2" s="1"/>
  <c r="D552" i="2"/>
  <c r="K552" i="2" s="1"/>
  <c r="G553" i="2"/>
  <c r="H553" i="2" s="1"/>
  <c r="J553" i="2" s="1"/>
  <c r="I553" i="2" s="1"/>
  <c r="G575" i="2"/>
  <c r="D576" i="2"/>
  <c r="K576" i="2" s="1"/>
  <c r="G579" i="2"/>
  <c r="H579" i="2" s="1"/>
  <c r="E549" i="2"/>
  <c r="D554" i="2"/>
  <c r="K554" i="2" s="1"/>
  <c r="G555" i="2"/>
  <c r="H555" i="2" s="1"/>
  <c r="J555" i="2" s="1"/>
  <c r="E578" i="2"/>
  <c r="G578" i="2"/>
  <c r="E624" i="2"/>
  <c r="D624" i="2"/>
  <c r="K624" i="2" s="1"/>
  <c r="G624" i="2"/>
  <c r="H624" i="2" s="1"/>
  <c r="E584" i="2"/>
  <c r="E585" i="2"/>
  <c r="E587" i="2"/>
  <c r="E588" i="2"/>
  <c r="E589" i="2"/>
  <c r="E590" i="2"/>
  <c r="E591" i="2"/>
  <c r="E592" i="2"/>
  <c r="E595" i="2"/>
  <c r="E599" i="2"/>
  <c r="E602" i="2"/>
  <c r="H654" i="2"/>
  <c r="G615" i="2"/>
  <c r="D615" i="2"/>
  <c r="K615" i="2" s="1"/>
  <c r="E615" i="2"/>
  <c r="G573" i="2"/>
  <c r="G580" i="2"/>
  <c r="H580" i="2" s="1"/>
  <c r="J580" i="2" s="1"/>
  <c r="G582" i="2"/>
  <c r="H582" i="2" s="1"/>
  <c r="J582" i="2" s="1"/>
  <c r="G584" i="2"/>
  <c r="H584" i="2" s="1"/>
  <c r="G586" i="2"/>
  <c r="H586" i="2" s="1"/>
  <c r="H587" i="2"/>
  <c r="F587" i="2" s="1"/>
  <c r="G588" i="2"/>
  <c r="H588" i="2" s="1"/>
  <c r="G590" i="2"/>
  <c r="H590" i="2" s="1"/>
  <c r="J590" i="2" s="1"/>
  <c r="H591" i="2"/>
  <c r="F591" i="2" s="1"/>
  <c r="G592" i="2"/>
  <c r="H592" i="2" s="1"/>
  <c r="J592" i="2" s="1"/>
  <c r="I592" i="2" s="1"/>
  <c r="G594" i="2"/>
  <c r="H594" i="2" s="1"/>
  <c r="F594" i="2" s="1"/>
  <c r="G596" i="2"/>
  <c r="H596" i="2" s="1"/>
  <c r="J596" i="2" s="1"/>
  <c r="G598" i="2"/>
  <c r="H599" i="2"/>
  <c r="F599" i="2" s="1"/>
  <c r="G600" i="2"/>
  <c r="H600" i="2" s="1"/>
  <c r="G602" i="2"/>
  <c r="H602" i="2" s="1"/>
  <c r="H603" i="2"/>
  <c r="F603" i="2" s="1"/>
  <c r="G604" i="2"/>
  <c r="H604" i="2" s="1"/>
  <c r="G606" i="2"/>
  <c r="E559" i="2"/>
  <c r="E573" i="2"/>
  <c r="G581" i="2"/>
  <c r="H581" i="2" s="1"/>
  <c r="J581" i="2" s="1"/>
  <c r="G585" i="2"/>
  <c r="H585" i="2" s="1"/>
  <c r="G589" i="2"/>
  <c r="H589" i="2" s="1"/>
  <c r="G593" i="2"/>
  <c r="G597" i="2"/>
  <c r="H597" i="2" s="1"/>
  <c r="J597" i="2" s="1"/>
  <c r="G601" i="2"/>
  <c r="H601" i="2" s="1"/>
  <c r="G609" i="2"/>
  <c r="H609" i="2" s="1"/>
  <c r="E609" i="2"/>
  <c r="D609" i="2"/>
  <c r="K609" i="2" s="1"/>
  <c r="G623" i="2"/>
  <c r="H623" i="2" s="1"/>
  <c r="J623" i="2" s="1"/>
  <c r="I623" i="2" s="1"/>
  <c r="D623" i="2"/>
  <c r="K623" i="2" s="1"/>
  <c r="E557" i="2"/>
  <c r="D559" i="2"/>
  <c r="K559" i="2" s="1"/>
  <c r="D567" i="2"/>
  <c r="K567" i="2" s="1"/>
  <c r="E570" i="2"/>
  <c r="D573" i="2"/>
  <c r="K573" i="2" s="1"/>
  <c r="E574" i="2"/>
  <c r="G611" i="2"/>
  <c r="E611" i="2"/>
  <c r="E614" i="2"/>
  <c r="G614" i="2"/>
  <c r="H614" i="2" s="1"/>
  <c r="J614" i="2" s="1"/>
  <c r="D614" i="2"/>
  <c r="K614" i="2" s="1"/>
  <c r="E623" i="2"/>
  <c r="G625" i="2"/>
  <c r="H625" i="2" s="1"/>
  <c r="J625" i="2" s="1"/>
  <c r="E625" i="2"/>
  <c r="D625" i="2"/>
  <c r="K625" i="2" s="1"/>
  <c r="G633" i="2"/>
  <c r="H633" i="2" s="1"/>
  <c r="J633" i="2" s="1"/>
  <c r="I633" i="2" s="1"/>
  <c r="D633" i="2"/>
  <c r="K633" i="2" s="1"/>
  <c r="E633" i="2"/>
  <c r="H608" i="2"/>
  <c r="F608" i="2" s="1"/>
  <c r="H638" i="2"/>
  <c r="J638" i="2" s="1"/>
  <c r="G645" i="2"/>
  <c r="H645" i="2" s="1"/>
  <c r="D645" i="2"/>
  <c r="K645" i="2" s="1"/>
  <c r="E645" i="2"/>
  <c r="D613" i="2"/>
  <c r="K613" i="2" s="1"/>
  <c r="G617" i="2"/>
  <c r="E617" i="2"/>
  <c r="G626" i="2"/>
  <c r="H626" i="2" s="1"/>
  <c r="J626" i="2" s="1"/>
  <c r="I626" i="2" s="1"/>
  <c r="D629" i="2"/>
  <c r="K629" i="2" s="1"/>
  <c r="G630" i="2"/>
  <c r="H630" i="2" s="1"/>
  <c r="H632" i="2"/>
  <c r="F632" i="2" s="1"/>
  <c r="G639" i="2"/>
  <c r="F640" i="2"/>
  <c r="D651" i="2"/>
  <c r="K651" i="2" s="1"/>
  <c r="G655" i="2"/>
  <c r="F656" i="2"/>
  <c r="G612" i="2"/>
  <c r="H612" i="2" s="1"/>
  <c r="J612" i="2" s="1"/>
  <c r="E618" i="2"/>
  <c r="G619" i="2"/>
  <c r="G628" i="2"/>
  <c r="H628" i="2" s="1"/>
  <c r="G649" i="2"/>
  <c r="H649" i="2" s="1"/>
  <c r="G605" i="2"/>
  <c r="D618" i="2"/>
  <c r="K618" i="2" s="1"/>
  <c r="G621" i="2"/>
  <c r="G637" i="2"/>
  <c r="G643" i="2"/>
  <c r="H643" i="2" s="1"/>
  <c r="E643" i="2"/>
  <c r="G659" i="2"/>
  <c r="H659" i="2" s="1"/>
  <c r="G635" i="2"/>
  <c r="H635" i="2" s="1"/>
  <c r="J635" i="2" s="1"/>
  <c r="E635" i="2"/>
  <c r="E636" i="2"/>
  <c r="D636" i="2"/>
  <c r="K636" i="2" s="1"/>
  <c r="G653" i="2"/>
  <c r="H653" i="2" s="1"/>
  <c r="J653" i="2" s="1"/>
  <c r="I653" i="2" s="1"/>
  <c r="E653" i="2"/>
  <c r="E626" i="2"/>
  <c r="G627" i="2"/>
  <c r="H627" i="2" s="1"/>
  <c r="J627" i="2" s="1"/>
  <c r="I627" i="2" s="1"/>
  <c r="G631" i="2"/>
  <c r="H631" i="2" s="1"/>
  <c r="F631" i="2" s="1"/>
  <c r="D632" i="2"/>
  <c r="K632" i="2" s="1"/>
  <c r="D635" i="2"/>
  <c r="K635" i="2" s="1"/>
  <c r="G636" i="2"/>
  <c r="H636" i="2" s="1"/>
  <c r="J636" i="2" s="1"/>
  <c r="G641" i="2"/>
  <c r="H641" i="2" s="1"/>
  <c r="D653" i="2"/>
  <c r="K653" i="2" s="1"/>
  <c r="G657" i="2"/>
  <c r="H657" i="2" s="1"/>
  <c r="E612" i="2"/>
  <c r="G613" i="2"/>
  <c r="H613" i="2" s="1"/>
  <c r="E613" i="2"/>
  <c r="D626" i="2"/>
  <c r="K626" i="2" s="1"/>
  <c r="G629" i="2"/>
  <c r="H629" i="2" s="1"/>
  <c r="E629" i="2"/>
  <c r="D630" i="2"/>
  <c r="K630" i="2" s="1"/>
  <c r="E630" i="2"/>
  <c r="E641" i="2"/>
  <c r="G651" i="2"/>
  <c r="E651" i="2"/>
  <c r="J640" i="2"/>
  <c r="I640" i="2" s="1"/>
  <c r="J646" i="2"/>
  <c r="I646" i="2" s="1"/>
  <c r="J648" i="2"/>
  <c r="I648" i="2" s="1"/>
  <c r="J656" i="2"/>
  <c r="I656" i="2" s="1"/>
  <c r="J658" i="2"/>
  <c r="I658" i="2" s="1"/>
  <c r="E642" i="2"/>
  <c r="E644" i="2"/>
  <c r="E646" i="2"/>
  <c r="E648" i="2"/>
  <c r="E654" i="2"/>
  <c r="E660" i="2"/>
  <c r="D638" i="2"/>
  <c r="K638" i="2" s="1"/>
  <c r="D640" i="2"/>
  <c r="K640" i="2" s="1"/>
  <c r="D642" i="2"/>
  <c r="K642" i="2" s="1"/>
  <c r="D644" i="2"/>
  <c r="K644" i="2" s="1"/>
  <c r="D646" i="2"/>
  <c r="K646" i="2" s="1"/>
  <c r="D648" i="2"/>
  <c r="K648" i="2" s="1"/>
  <c r="D650" i="2"/>
  <c r="K650" i="2" s="1"/>
  <c r="D652" i="2"/>
  <c r="K652" i="2" s="1"/>
  <c r="D654" i="2"/>
  <c r="K654" i="2" s="1"/>
  <c r="D656" i="2"/>
  <c r="K656" i="2" s="1"/>
  <c r="D658" i="2"/>
  <c r="K658" i="2" s="1"/>
  <c r="D660" i="2"/>
  <c r="K660" i="2" s="1"/>
  <c r="B664" i="1"/>
  <c r="A664" i="1"/>
  <c r="B663" i="1"/>
  <c r="A663" i="1"/>
  <c r="B662" i="1"/>
  <c r="A662" i="1"/>
  <c r="B661" i="1"/>
  <c r="C661" i="1" s="1"/>
  <c r="A661" i="1"/>
  <c r="L660" i="1"/>
  <c r="B660" i="1"/>
  <c r="G660" i="1" s="1"/>
  <c r="H660" i="1" s="1"/>
  <c r="A660" i="1"/>
  <c r="L659" i="1"/>
  <c r="B659" i="1"/>
  <c r="A659" i="1"/>
  <c r="L658" i="1"/>
  <c r="B658" i="1"/>
  <c r="G658" i="1" s="1"/>
  <c r="H658" i="1" s="1"/>
  <c r="J658" i="1" s="1"/>
  <c r="A658" i="1"/>
  <c r="L657" i="1"/>
  <c r="B657" i="1"/>
  <c r="A657" i="1"/>
  <c r="L656" i="1"/>
  <c r="B656" i="1"/>
  <c r="G656" i="1" s="1"/>
  <c r="A656" i="1"/>
  <c r="L655" i="1"/>
  <c r="B655" i="1"/>
  <c r="A655" i="1"/>
  <c r="L654" i="1"/>
  <c r="B654" i="1"/>
  <c r="G654" i="1" s="1"/>
  <c r="A654" i="1"/>
  <c r="L653" i="1"/>
  <c r="B653" i="1"/>
  <c r="A653" i="1"/>
  <c r="L652" i="1"/>
  <c r="B652" i="1"/>
  <c r="G652" i="1" s="1"/>
  <c r="A652" i="1"/>
  <c r="L651" i="1"/>
  <c r="B651" i="1"/>
  <c r="A651" i="1"/>
  <c r="L650" i="1"/>
  <c r="B650" i="1"/>
  <c r="G650" i="1" s="1"/>
  <c r="H650" i="1" s="1"/>
  <c r="A650" i="1"/>
  <c r="L649" i="1"/>
  <c r="B649" i="1"/>
  <c r="A649" i="1"/>
  <c r="L648" i="1"/>
  <c r="B648" i="1"/>
  <c r="A648" i="1"/>
  <c r="L647" i="1"/>
  <c r="B647" i="1"/>
  <c r="C647" i="1" s="1"/>
  <c r="A647" i="1"/>
  <c r="L646" i="1"/>
  <c r="B646" i="1"/>
  <c r="A646" i="1"/>
  <c r="L645" i="1"/>
  <c r="B645" i="1"/>
  <c r="C645" i="1" s="1"/>
  <c r="E645" i="1" s="1"/>
  <c r="A645" i="1"/>
  <c r="L644" i="1"/>
  <c r="B644" i="1"/>
  <c r="A644" i="1"/>
  <c r="L643" i="1"/>
  <c r="B643" i="1"/>
  <c r="C643" i="1" s="1"/>
  <c r="A643" i="1"/>
  <c r="L642" i="1"/>
  <c r="B642" i="1"/>
  <c r="G642" i="1" s="1"/>
  <c r="A642" i="1"/>
  <c r="L641" i="1"/>
  <c r="B641" i="1"/>
  <c r="A641" i="1"/>
  <c r="L640" i="1"/>
  <c r="B640" i="1"/>
  <c r="C640" i="1" s="1"/>
  <c r="E640" i="1" s="1"/>
  <c r="A640" i="1"/>
  <c r="L639" i="1"/>
  <c r="B639" i="1"/>
  <c r="A639" i="1"/>
  <c r="L638" i="1"/>
  <c r="B638" i="1"/>
  <c r="C638" i="1" s="1"/>
  <c r="A638" i="1"/>
  <c r="L637" i="1"/>
  <c r="B637" i="1"/>
  <c r="A637" i="1"/>
  <c r="L636" i="1"/>
  <c r="B636" i="1"/>
  <c r="G636" i="1" s="1"/>
  <c r="A636" i="1"/>
  <c r="L635" i="1"/>
  <c r="B635" i="1"/>
  <c r="A635" i="1"/>
  <c r="L634" i="1"/>
  <c r="B634" i="1"/>
  <c r="D634" i="1" s="1"/>
  <c r="K634" i="1" s="1"/>
  <c r="A634" i="1"/>
  <c r="L633" i="1"/>
  <c r="B633" i="1"/>
  <c r="A633" i="1"/>
  <c r="L632" i="1"/>
  <c r="B632" i="1"/>
  <c r="A632" i="1"/>
  <c r="L631" i="1"/>
  <c r="B631" i="1"/>
  <c r="A631" i="1"/>
  <c r="L630" i="1"/>
  <c r="B630" i="1"/>
  <c r="C630" i="1" s="1"/>
  <c r="E630" i="1" s="1"/>
  <c r="A630" i="1"/>
  <c r="L629" i="1"/>
  <c r="B629" i="1"/>
  <c r="A629" i="1"/>
  <c r="L628" i="1"/>
  <c r="B628" i="1"/>
  <c r="A628" i="1"/>
  <c r="L627" i="1"/>
  <c r="B627" i="1"/>
  <c r="A627" i="1"/>
  <c r="L626" i="1"/>
  <c r="B626" i="1"/>
  <c r="G626" i="1" s="1"/>
  <c r="A626" i="1"/>
  <c r="L625" i="1"/>
  <c r="B625" i="1"/>
  <c r="D625" i="1" s="1"/>
  <c r="K625" i="1" s="1"/>
  <c r="A625" i="1"/>
  <c r="L624" i="1"/>
  <c r="B624" i="1"/>
  <c r="A624" i="1"/>
  <c r="L623" i="1"/>
  <c r="B623" i="1"/>
  <c r="C623" i="1" s="1"/>
  <c r="A623" i="1"/>
  <c r="L622" i="1"/>
  <c r="B622" i="1"/>
  <c r="A622" i="1"/>
  <c r="L621" i="1"/>
  <c r="B621" i="1"/>
  <c r="A621" i="1"/>
  <c r="L620" i="1"/>
  <c r="B620" i="1"/>
  <c r="C620" i="1" s="1"/>
  <c r="A620" i="1"/>
  <c r="L619" i="1"/>
  <c r="B619" i="1"/>
  <c r="A619" i="1"/>
  <c r="L618" i="1"/>
  <c r="B618" i="1"/>
  <c r="D618" i="1" s="1"/>
  <c r="K618" i="1" s="1"/>
  <c r="A618" i="1"/>
  <c r="L617" i="1"/>
  <c r="B617" i="1"/>
  <c r="D617" i="1" s="1"/>
  <c r="K617" i="1" s="1"/>
  <c r="A617" i="1"/>
  <c r="L616" i="1"/>
  <c r="B616" i="1"/>
  <c r="A616" i="1"/>
  <c r="L615" i="1"/>
  <c r="B615" i="1"/>
  <c r="A615" i="1"/>
  <c r="L614" i="1"/>
  <c r="B614" i="1"/>
  <c r="A614" i="1"/>
  <c r="L613" i="1"/>
  <c r="B613" i="1"/>
  <c r="C613" i="1" s="1"/>
  <c r="A613" i="1"/>
  <c r="L612" i="1"/>
  <c r="B612" i="1"/>
  <c r="A612" i="1"/>
  <c r="L611" i="1"/>
  <c r="B611" i="1"/>
  <c r="A611" i="1"/>
  <c r="L610" i="1"/>
  <c r="B610" i="1"/>
  <c r="G610" i="1" s="1"/>
  <c r="A610" i="1"/>
  <c r="L609" i="1"/>
  <c r="B609" i="1"/>
  <c r="G609" i="1" s="1"/>
  <c r="A609" i="1"/>
  <c r="L608" i="1"/>
  <c r="B608" i="1"/>
  <c r="D608" i="1" s="1"/>
  <c r="K608" i="1" s="1"/>
  <c r="A608" i="1"/>
  <c r="L607" i="1"/>
  <c r="B607" i="1"/>
  <c r="C607" i="1" s="1"/>
  <c r="A607" i="1"/>
  <c r="L606" i="1"/>
  <c r="B606" i="1"/>
  <c r="C606" i="1" s="1"/>
  <c r="A606" i="1"/>
  <c r="L605" i="1"/>
  <c r="B605" i="1"/>
  <c r="D605" i="1" s="1"/>
  <c r="K605" i="1" s="1"/>
  <c r="A605" i="1"/>
  <c r="L604" i="1"/>
  <c r="B604" i="1"/>
  <c r="C604" i="1" s="1"/>
  <c r="A604" i="1"/>
  <c r="L603" i="1"/>
  <c r="B603" i="1"/>
  <c r="D603" i="1" s="1"/>
  <c r="K603" i="1" s="1"/>
  <c r="A603" i="1"/>
  <c r="L602" i="1"/>
  <c r="B602" i="1"/>
  <c r="A602" i="1"/>
  <c r="L601" i="1"/>
  <c r="B601" i="1"/>
  <c r="G601" i="1" s="1"/>
  <c r="A601" i="1"/>
  <c r="L600" i="1"/>
  <c r="B600" i="1"/>
  <c r="A600" i="1"/>
  <c r="L599" i="1"/>
  <c r="B599" i="1"/>
  <c r="A599" i="1"/>
  <c r="L598" i="1"/>
  <c r="B598" i="1"/>
  <c r="A598" i="1"/>
  <c r="L597" i="1"/>
  <c r="B597" i="1"/>
  <c r="G597" i="1" s="1"/>
  <c r="H597" i="1" s="1"/>
  <c r="A597" i="1"/>
  <c r="L596" i="1"/>
  <c r="B596" i="1"/>
  <c r="C596" i="1" s="1"/>
  <c r="A596" i="1"/>
  <c r="L595" i="1"/>
  <c r="B595" i="1"/>
  <c r="G595" i="1" s="1"/>
  <c r="A595" i="1"/>
  <c r="L594" i="1"/>
  <c r="B594" i="1"/>
  <c r="A594" i="1"/>
  <c r="L593" i="1"/>
  <c r="B593" i="1"/>
  <c r="A593" i="1"/>
  <c r="L592" i="1"/>
  <c r="B592" i="1"/>
  <c r="C592" i="1" s="1"/>
  <c r="A592" i="1"/>
  <c r="L591" i="1"/>
  <c r="B591" i="1"/>
  <c r="G591" i="1" s="1"/>
  <c r="A591" i="1"/>
  <c r="L590" i="1"/>
  <c r="B590" i="1"/>
  <c r="A590" i="1"/>
  <c r="L589" i="1"/>
  <c r="B589" i="1"/>
  <c r="G589" i="1" s="1"/>
  <c r="H589" i="1" s="1"/>
  <c r="A589" i="1"/>
  <c r="L588" i="1"/>
  <c r="B588" i="1"/>
  <c r="A588" i="1"/>
  <c r="L587" i="1"/>
  <c r="B587" i="1"/>
  <c r="A587" i="1"/>
  <c r="L586" i="1"/>
  <c r="B586" i="1"/>
  <c r="A586" i="1"/>
  <c r="L585" i="1"/>
  <c r="B585" i="1"/>
  <c r="A585" i="1"/>
  <c r="L584" i="1"/>
  <c r="B584" i="1"/>
  <c r="C584" i="1" s="1"/>
  <c r="A584" i="1"/>
  <c r="L583" i="1"/>
  <c r="B583" i="1"/>
  <c r="A583" i="1"/>
  <c r="L582" i="1"/>
  <c r="B582" i="1"/>
  <c r="A582" i="1"/>
  <c r="L581" i="1"/>
  <c r="B581" i="1"/>
  <c r="G581" i="1" s="1"/>
  <c r="A581" i="1"/>
  <c r="L580" i="1"/>
  <c r="B580" i="1"/>
  <c r="A580" i="1"/>
  <c r="L579" i="1"/>
  <c r="B579" i="1"/>
  <c r="D579" i="1" s="1"/>
  <c r="K579" i="1" s="1"/>
  <c r="A579" i="1"/>
  <c r="L578" i="1"/>
  <c r="B578" i="1"/>
  <c r="A578" i="1"/>
  <c r="L577" i="1"/>
  <c r="B577" i="1"/>
  <c r="A577" i="1"/>
  <c r="L576" i="1"/>
  <c r="B576" i="1"/>
  <c r="D576" i="1" s="1"/>
  <c r="K576" i="1" s="1"/>
  <c r="A576" i="1"/>
  <c r="L575" i="1"/>
  <c r="B575" i="1"/>
  <c r="A575" i="1"/>
  <c r="L574" i="1"/>
  <c r="B574" i="1"/>
  <c r="A574" i="1"/>
  <c r="L573" i="1"/>
  <c r="B573" i="1"/>
  <c r="A573" i="1"/>
  <c r="L572" i="1"/>
  <c r="B572" i="1"/>
  <c r="D572" i="1" s="1"/>
  <c r="K572" i="1" s="1"/>
  <c r="A572" i="1"/>
  <c r="L571" i="1"/>
  <c r="B571" i="1"/>
  <c r="A571" i="1"/>
  <c r="L570" i="1"/>
  <c r="B570" i="1"/>
  <c r="A570" i="1"/>
  <c r="L569" i="1"/>
  <c r="B569" i="1"/>
  <c r="A569" i="1"/>
  <c r="L568" i="1"/>
  <c r="B568" i="1"/>
  <c r="D568" i="1" s="1"/>
  <c r="K568" i="1" s="1"/>
  <c r="A568" i="1"/>
  <c r="L567" i="1"/>
  <c r="B567" i="1"/>
  <c r="A567" i="1"/>
  <c r="L566" i="1"/>
  <c r="B566" i="1"/>
  <c r="G566" i="1" s="1"/>
  <c r="H566" i="1" s="1"/>
  <c r="A566" i="1"/>
  <c r="L565" i="1"/>
  <c r="B565" i="1"/>
  <c r="A565" i="1"/>
  <c r="L564" i="1"/>
  <c r="B564" i="1"/>
  <c r="A564" i="1"/>
  <c r="L563" i="1"/>
  <c r="B563" i="1"/>
  <c r="D563" i="1" s="1"/>
  <c r="K563" i="1" s="1"/>
  <c r="A563" i="1"/>
  <c r="L562" i="1"/>
  <c r="B562" i="1"/>
  <c r="A562" i="1"/>
  <c r="L561" i="1"/>
  <c r="B561" i="1"/>
  <c r="A561" i="1"/>
  <c r="L560" i="1"/>
  <c r="B560" i="1"/>
  <c r="A560" i="1"/>
  <c r="L559" i="1"/>
  <c r="B559" i="1"/>
  <c r="C559" i="1" s="1"/>
  <c r="A559" i="1"/>
  <c r="L558" i="1"/>
  <c r="B558" i="1"/>
  <c r="C558" i="1" s="1"/>
  <c r="A558" i="1"/>
  <c r="L557" i="1"/>
  <c r="B557" i="1"/>
  <c r="D557" i="1" s="1"/>
  <c r="K557" i="1" s="1"/>
  <c r="A557" i="1"/>
  <c r="L556" i="1"/>
  <c r="B556" i="1"/>
  <c r="A556" i="1"/>
  <c r="L555" i="1"/>
  <c r="B555" i="1"/>
  <c r="G555" i="1" s="1"/>
  <c r="A555" i="1"/>
  <c r="L554" i="1"/>
  <c r="B554" i="1"/>
  <c r="A554" i="1"/>
  <c r="L553" i="1"/>
  <c r="B553" i="1"/>
  <c r="A553" i="1"/>
  <c r="L552" i="1"/>
  <c r="B552" i="1"/>
  <c r="A552" i="1"/>
  <c r="L551" i="1"/>
  <c r="B551" i="1"/>
  <c r="C551" i="1" s="1"/>
  <c r="A551" i="1"/>
  <c r="L550" i="1"/>
  <c r="B550" i="1"/>
  <c r="G550" i="1" s="1"/>
  <c r="A550" i="1"/>
  <c r="L549" i="1"/>
  <c r="B549" i="1"/>
  <c r="D549" i="1" s="1"/>
  <c r="K549" i="1" s="1"/>
  <c r="A549" i="1"/>
  <c r="L548" i="1"/>
  <c r="B548" i="1"/>
  <c r="G548" i="1" s="1"/>
  <c r="A548" i="1"/>
  <c r="L547" i="1"/>
  <c r="B547" i="1"/>
  <c r="A547" i="1"/>
  <c r="L546" i="1"/>
  <c r="B546" i="1"/>
  <c r="A546" i="1"/>
  <c r="L545" i="1"/>
  <c r="B545" i="1"/>
  <c r="A545" i="1"/>
  <c r="L544" i="1"/>
  <c r="B544" i="1"/>
  <c r="C544" i="1" s="1"/>
  <c r="A544" i="1"/>
  <c r="L543" i="1"/>
  <c r="B543" i="1"/>
  <c r="G543" i="1" s="1"/>
  <c r="A543" i="1"/>
  <c r="L542" i="1"/>
  <c r="B542" i="1"/>
  <c r="A542" i="1"/>
  <c r="L541" i="1"/>
  <c r="B541" i="1"/>
  <c r="G541" i="1" s="1"/>
  <c r="A541" i="1"/>
  <c r="L540" i="1"/>
  <c r="B540" i="1"/>
  <c r="G540" i="1" s="1"/>
  <c r="A540" i="1"/>
  <c r="L539" i="1"/>
  <c r="B539" i="1"/>
  <c r="A539" i="1"/>
  <c r="L538" i="1"/>
  <c r="B538" i="1"/>
  <c r="D538" i="1" s="1"/>
  <c r="K538" i="1" s="1"/>
  <c r="A538" i="1"/>
  <c r="L537" i="1"/>
  <c r="B537" i="1"/>
  <c r="C537" i="1" s="1"/>
  <c r="E537" i="1" s="1"/>
  <c r="A537" i="1"/>
  <c r="L536" i="1"/>
  <c r="B536" i="1"/>
  <c r="A536" i="1"/>
  <c r="L535" i="1"/>
  <c r="B535" i="1"/>
  <c r="G535" i="1" s="1"/>
  <c r="A535" i="1"/>
  <c r="L534" i="1"/>
  <c r="B534" i="1"/>
  <c r="G534" i="1" s="1"/>
  <c r="A534" i="1"/>
  <c r="L533" i="1"/>
  <c r="B533" i="1"/>
  <c r="A533" i="1"/>
  <c r="L532" i="1"/>
  <c r="B532" i="1"/>
  <c r="A532" i="1"/>
  <c r="L531" i="1"/>
  <c r="B531" i="1"/>
  <c r="G531" i="1" s="1"/>
  <c r="A531" i="1"/>
  <c r="L530" i="1"/>
  <c r="B530" i="1"/>
  <c r="D530" i="1" s="1"/>
  <c r="K530" i="1" s="1"/>
  <c r="A530" i="1"/>
  <c r="L529" i="1"/>
  <c r="B529" i="1"/>
  <c r="A529" i="1"/>
  <c r="L528" i="1"/>
  <c r="B528" i="1"/>
  <c r="G528" i="1" s="1"/>
  <c r="H528" i="1" s="1"/>
  <c r="A528" i="1"/>
  <c r="L527" i="1"/>
  <c r="B527" i="1"/>
  <c r="G527" i="1" s="1"/>
  <c r="A527" i="1"/>
  <c r="L526" i="1"/>
  <c r="B526" i="1"/>
  <c r="G526" i="1" s="1"/>
  <c r="A526" i="1"/>
  <c r="L525" i="1"/>
  <c r="B525" i="1"/>
  <c r="A525" i="1"/>
  <c r="L524" i="1"/>
  <c r="B524" i="1"/>
  <c r="D524" i="1" s="1"/>
  <c r="K524" i="1" s="1"/>
  <c r="A524" i="1"/>
  <c r="L523" i="1"/>
  <c r="B523" i="1"/>
  <c r="D523" i="1" s="1"/>
  <c r="K523" i="1" s="1"/>
  <c r="A523" i="1"/>
  <c r="L522" i="1"/>
  <c r="B522" i="1"/>
  <c r="A522" i="1"/>
  <c r="L521" i="1"/>
  <c r="B521" i="1"/>
  <c r="A521" i="1"/>
  <c r="L520" i="1"/>
  <c r="B520" i="1"/>
  <c r="C520" i="1" s="1"/>
  <c r="E520" i="1" s="1"/>
  <c r="A520" i="1"/>
  <c r="L519" i="1"/>
  <c r="B519" i="1"/>
  <c r="D519" i="1" s="1"/>
  <c r="K519" i="1" s="1"/>
  <c r="A519" i="1"/>
  <c r="L518" i="1"/>
  <c r="B518" i="1"/>
  <c r="G518" i="1" s="1"/>
  <c r="H518" i="1" s="1"/>
  <c r="A518" i="1"/>
  <c r="L517" i="1"/>
  <c r="B517" i="1"/>
  <c r="A517" i="1"/>
  <c r="L516" i="1"/>
  <c r="B516" i="1"/>
  <c r="A516" i="1"/>
  <c r="L515" i="1"/>
  <c r="B515" i="1"/>
  <c r="G515" i="1" s="1"/>
  <c r="H515" i="1" s="1"/>
  <c r="A515" i="1"/>
  <c r="L514" i="1"/>
  <c r="B514" i="1"/>
  <c r="G514" i="1" s="1"/>
  <c r="H514" i="1" s="1"/>
  <c r="A514" i="1"/>
  <c r="L513" i="1"/>
  <c r="B513" i="1"/>
  <c r="A513" i="1"/>
  <c r="L512" i="1"/>
  <c r="B512" i="1"/>
  <c r="C512" i="1" s="1"/>
  <c r="E512" i="1" s="1"/>
  <c r="A512" i="1"/>
  <c r="L511" i="1"/>
  <c r="B511" i="1"/>
  <c r="C511" i="1" s="1"/>
  <c r="A511" i="1"/>
  <c r="L510" i="1"/>
  <c r="B510" i="1"/>
  <c r="G510" i="1" s="1"/>
  <c r="H510" i="1" s="1"/>
  <c r="A510" i="1"/>
  <c r="L509" i="1"/>
  <c r="B509" i="1"/>
  <c r="A509" i="1"/>
  <c r="L508" i="1"/>
  <c r="B508" i="1"/>
  <c r="C508" i="1" s="1"/>
  <c r="A508" i="1"/>
  <c r="L507" i="1"/>
  <c r="B507" i="1"/>
  <c r="A507" i="1"/>
  <c r="L506" i="1"/>
  <c r="B506" i="1"/>
  <c r="A506" i="1"/>
  <c r="L505" i="1"/>
  <c r="B505" i="1"/>
  <c r="A505" i="1"/>
  <c r="L504" i="1"/>
  <c r="B504" i="1"/>
  <c r="A504" i="1"/>
  <c r="L503" i="1"/>
  <c r="B503" i="1"/>
  <c r="A503" i="1"/>
  <c r="L502" i="1"/>
  <c r="B502" i="1"/>
  <c r="D502" i="1" s="1"/>
  <c r="K502" i="1" s="1"/>
  <c r="A502" i="1"/>
  <c r="L501" i="1"/>
  <c r="B501" i="1"/>
  <c r="G501" i="1" s="1"/>
  <c r="A501" i="1"/>
  <c r="L500" i="1"/>
  <c r="B500" i="1"/>
  <c r="G500" i="1" s="1"/>
  <c r="A500" i="1"/>
  <c r="L499" i="1"/>
  <c r="B499" i="1"/>
  <c r="A499" i="1"/>
  <c r="L498" i="1"/>
  <c r="B498" i="1"/>
  <c r="G498" i="1" s="1"/>
  <c r="A498" i="1"/>
  <c r="L497" i="1"/>
  <c r="B497" i="1"/>
  <c r="A497" i="1"/>
  <c r="L496" i="1"/>
  <c r="B496" i="1"/>
  <c r="D496" i="1" s="1"/>
  <c r="K496" i="1" s="1"/>
  <c r="A496" i="1"/>
  <c r="L495" i="1"/>
  <c r="B495" i="1"/>
  <c r="A495" i="1"/>
  <c r="L494" i="1"/>
  <c r="B494" i="1"/>
  <c r="C494" i="1" s="1"/>
  <c r="E494" i="1" s="1"/>
  <c r="A494" i="1"/>
  <c r="L493" i="1"/>
  <c r="B493" i="1"/>
  <c r="C493" i="1" s="1"/>
  <c r="A493" i="1"/>
  <c r="L492" i="1"/>
  <c r="B492" i="1"/>
  <c r="D492" i="1" s="1"/>
  <c r="K492" i="1" s="1"/>
  <c r="A492" i="1"/>
  <c r="L491" i="1"/>
  <c r="B491" i="1"/>
  <c r="C491" i="1" s="1"/>
  <c r="A491" i="1"/>
  <c r="L490" i="1"/>
  <c r="B490" i="1"/>
  <c r="A490" i="1"/>
  <c r="L489" i="1"/>
  <c r="B489" i="1"/>
  <c r="A489" i="1"/>
  <c r="L488" i="1"/>
  <c r="B488" i="1"/>
  <c r="D488" i="1" s="1"/>
  <c r="K488" i="1" s="1"/>
  <c r="A488" i="1"/>
  <c r="L487" i="1"/>
  <c r="B487" i="1"/>
  <c r="G487" i="1" s="1"/>
  <c r="H487" i="1" s="1"/>
  <c r="A487" i="1"/>
  <c r="L486" i="1"/>
  <c r="B486" i="1"/>
  <c r="G486" i="1" s="1"/>
  <c r="A486" i="1"/>
  <c r="L485" i="1"/>
  <c r="B485" i="1"/>
  <c r="C485" i="1" s="1"/>
  <c r="A485" i="1"/>
  <c r="L484" i="1"/>
  <c r="B484" i="1"/>
  <c r="C484" i="1" s="1"/>
  <c r="A484" i="1"/>
  <c r="L483" i="1"/>
  <c r="B483" i="1"/>
  <c r="G483" i="1" s="1"/>
  <c r="H483" i="1" s="1"/>
  <c r="A483" i="1"/>
  <c r="L482" i="1"/>
  <c r="B482" i="1"/>
  <c r="G482" i="1" s="1"/>
  <c r="H482" i="1" s="1"/>
  <c r="J482" i="1" s="1"/>
  <c r="A482" i="1"/>
  <c r="L481" i="1"/>
  <c r="B481" i="1"/>
  <c r="A481" i="1"/>
  <c r="L480" i="1"/>
  <c r="B480" i="1"/>
  <c r="A480" i="1"/>
  <c r="L479" i="1"/>
  <c r="B479" i="1"/>
  <c r="G479" i="1" s="1"/>
  <c r="A479" i="1"/>
  <c r="L478" i="1"/>
  <c r="B478" i="1"/>
  <c r="C478" i="1" s="1"/>
  <c r="E478" i="1" s="1"/>
  <c r="A478" i="1"/>
  <c r="L477" i="1"/>
  <c r="B477" i="1"/>
  <c r="G477" i="1" s="1"/>
  <c r="A477" i="1"/>
  <c r="L476" i="1"/>
  <c r="B476" i="1"/>
  <c r="A476" i="1"/>
  <c r="L475" i="1"/>
  <c r="B475" i="1"/>
  <c r="G475" i="1" s="1"/>
  <c r="H475" i="1" s="1"/>
  <c r="A475" i="1"/>
  <c r="L474" i="1"/>
  <c r="B474" i="1"/>
  <c r="G474" i="1" s="1"/>
  <c r="H474" i="1" s="1"/>
  <c r="J474" i="1" s="1"/>
  <c r="A474" i="1"/>
  <c r="L473" i="1"/>
  <c r="B473" i="1"/>
  <c r="A473" i="1"/>
  <c r="L472" i="1"/>
  <c r="B472" i="1"/>
  <c r="A472" i="1"/>
  <c r="L471" i="1"/>
  <c r="B471" i="1"/>
  <c r="D471" i="1" s="1"/>
  <c r="K471" i="1" s="1"/>
  <c r="A471" i="1"/>
  <c r="L470" i="1"/>
  <c r="B470" i="1"/>
  <c r="A470" i="1"/>
  <c r="L469" i="1"/>
  <c r="B469" i="1"/>
  <c r="A469" i="1"/>
  <c r="L468" i="1"/>
  <c r="B468" i="1"/>
  <c r="A468" i="1"/>
  <c r="L467" i="1"/>
  <c r="B467" i="1"/>
  <c r="A467" i="1"/>
  <c r="L466" i="1"/>
  <c r="B466" i="1"/>
  <c r="A466" i="1"/>
  <c r="L465" i="1"/>
  <c r="B465" i="1"/>
  <c r="A465" i="1"/>
  <c r="L464" i="1"/>
  <c r="B464" i="1"/>
  <c r="A464" i="1"/>
  <c r="L463" i="1"/>
  <c r="B463" i="1"/>
  <c r="D463" i="1" s="1"/>
  <c r="K463" i="1" s="1"/>
  <c r="A463" i="1"/>
  <c r="L462" i="1"/>
  <c r="B462" i="1"/>
  <c r="A462" i="1"/>
  <c r="L461" i="1"/>
  <c r="B461" i="1"/>
  <c r="A461" i="1"/>
  <c r="L460" i="1"/>
  <c r="B460" i="1"/>
  <c r="A460" i="1"/>
  <c r="L459" i="1"/>
  <c r="B459" i="1"/>
  <c r="C459" i="1" s="1"/>
  <c r="A459" i="1"/>
  <c r="L458" i="1"/>
  <c r="B458" i="1"/>
  <c r="A458" i="1"/>
  <c r="L457" i="1"/>
  <c r="B457" i="1"/>
  <c r="D457" i="1" s="1"/>
  <c r="K457" i="1" s="1"/>
  <c r="A457" i="1"/>
  <c r="L456" i="1"/>
  <c r="B456" i="1"/>
  <c r="G456" i="1" s="1"/>
  <c r="A456" i="1"/>
  <c r="L455" i="1"/>
  <c r="B455" i="1"/>
  <c r="G455" i="1" s="1"/>
  <c r="A455" i="1"/>
  <c r="L454" i="1"/>
  <c r="B454" i="1"/>
  <c r="G454" i="1" s="1"/>
  <c r="A454" i="1"/>
  <c r="L453" i="1"/>
  <c r="B453" i="1"/>
  <c r="G453" i="1" s="1"/>
  <c r="A453" i="1"/>
  <c r="L452" i="1"/>
  <c r="B452" i="1"/>
  <c r="A452" i="1"/>
  <c r="L451" i="1"/>
  <c r="B451" i="1"/>
  <c r="C451" i="1" s="1"/>
  <c r="A451" i="1"/>
  <c r="L450" i="1"/>
  <c r="B450" i="1"/>
  <c r="A450" i="1"/>
  <c r="L449" i="1"/>
  <c r="B449" i="1"/>
  <c r="A449" i="1"/>
  <c r="L448" i="1"/>
  <c r="B448" i="1"/>
  <c r="G448" i="1" s="1"/>
  <c r="A448" i="1"/>
  <c r="M447" i="1"/>
  <c r="L447" i="1"/>
  <c r="B447" i="1"/>
  <c r="D447" i="1" s="1"/>
  <c r="K447" i="1" s="1"/>
  <c r="A447" i="1"/>
  <c r="L446" i="1"/>
  <c r="B446" i="1"/>
  <c r="D446" i="1" s="1"/>
  <c r="K446" i="1" s="1"/>
  <c r="A446" i="1"/>
  <c r="L445" i="1"/>
  <c r="B445" i="1"/>
  <c r="A445" i="1"/>
  <c r="L444" i="1"/>
  <c r="B444" i="1"/>
  <c r="A444" i="1"/>
  <c r="L443" i="1"/>
  <c r="B443" i="1"/>
  <c r="C443" i="1" s="1"/>
  <c r="E443" i="1" s="1"/>
  <c r="A443" i="1"/>
  <c r="L442" i="1"/>
  <c r="B442" i="1"/>
  <c r="D442" i="1" s="1"/>
  <c r="K442" i="1" s="1"/>
  <c r="A442" i="1"/>
  <c r="L441" i="1"/>
  <c r="B441" i="1"/>
  <c r="D441" i="1" s="1"/>
  <c r="K441" i="1" s="1"/>
  <c r="A441" i="1"/>
  <c r="L440" i="1"/>
  <c r="B440" i="1"/>
  <c r="A440" i="1"/>
  <c r="L439" i="1"/>
  <c r="B439" i="1"/>
  <c r="A439" i="1"/>
  <c r="L438" i="1"/>
  <c r="B438" i="1"/>
  <c r="A438" i="1"/>
  <c r="L437" i="1"/>
  <c r="B437" i="1"/>
  <c r="D437" i="1" s="1"/>
  <c r="K437" i="1" s="1"/>
  <c r="A437" i="1"/>
  <c r="L436" i="1"/>
  <c r="B436" i="1"/>
  <c r="A436" i="1"/>
  <c r="M435" i="1"/>
  <c r="L435" i="1"/>
  <c r="B435" i="1"/>
  <c r="G435" i="1" s="1"/>
  <c r="H435" i="1" s="1"/>
  <c r="A435" i="1"/>
  <c r="M434" i="1"/>
  <c r="L434" i="1"/>
  <c r="B434" i="1"/>
  <c r="A434" i="1"/>
  <c r="M433" i="1"/>
  <c r="L433" i="1"/>
  <c r="B433" i="1"/>
  <c r="C433" i="1" s="1"/>
  <c r="E433" i="1" s="1"/>
  <c r="A433" i="1"/>
  <c r="L432" i="1"/>
  <c r="B432" i="1"/>
  <c r="C432" i="1" s="1"/>
  <c r="A432" i="1"/>
  <c r="L431" i="1"/>
  <c r="B431" i="1"/>
  <c r="C431" i="1" s="1"/>
  <c r="E431" i="1" s="1"/>
  <c r="A431" i="1"/>
  <c r="L430" i="1"/>
  <c r="B430" i="1"/>
  <c r="C430" i="1" s="1"/>
  <c r="E430" i="1" s="1"/>
  <c r="A430" i="1"/>
  <c r="L429" i="1"/>
  <c r="B429" i="1"/>
  <c r="D429" i="1" s="1"/>
  <c r="K429" i="1" s="1"/>
  <c r="A429" i="1"/>
  <c r="L428" i="1"/>
  <c r="B428" i="1"/>
  <c r="A428" i="1"/>
  <c r="L427" i="1"/>
  <c r="B427" i="1"/>
  <c r="A427" i="1"/>
  <c r="L426" i="1"/>
  <c r="B426" i="1"/>
  <c r="A426" i="1"/>
  <c r="L425" i="1"/>
  <c r="B425" i="1"/>
  <c r="A425" i="1"/>
  <c r="L424" i="1"/>
  <c r="B424" i="1"/>
  <c r="G424" i="1" s="1"/>
  <c r="A424" i="1"/>
  <c r="L423" i="1"/>
  <c r="B423" i="1"/>
  <c r="G423" i="1" s="1"/>
  <c r="H423" i="1" s="1"/>
  <c r="F423" i="1" s="1"/>
  <c r="A423" i="1"/>
  <c r="L422" i="1"/>
  <c r="B422" i="1"/>
  <c r="G422" i="1" s="1"/>
  <c r="A422" i="1"/>
  <c r="M421" i="1"/>
  <c r="L421" i="1"/>
  <c r="B421" i="1"/>
  <c r="G421" i="1" s="1"/>
  <c r="A421" i="1"/>
  <c r="L420" i="1"/>
  <c r="B420" i="1"/>
  <c r="C420" i="1" s="1"/>
  <c r="E420" i="1" s="1"/>
  <c r="A420" i="1"/>
  <c r="L419" i="1"/>
  <c r="B419" i="1"/>
  <c r="A419" i="1"/>
  <c r="L418" i="1"/>
  <c r="B418" i="1"/>
  <c r="G418" i="1" s="1"/>
  <c r="H418" i="1" s="1"/>
  <c r="F418" i="1" s="1"/>
  <c r="A418" i="1"/>
  <c r="L417" i="1"/>
  <c r="B417" i="1"/>
  <c r="D417" i="1" s="1"/>
  <c r="K417" i="1" s="1"/>
  <c r="A417" i="1"/>
  <c r="L416" i="1"/>
  <c r="B416" i="1"/>
  <c r="G416" i="1" s="1"/>
  <c r="A416" i="1"/>
  <c r="L415" i="1"/>
  <c r="B415" i="1"/>
  <c r="A415" i="1"/>
  <c r="L414" i="1"/>
  <c r="B414" i="1"/>
  <c r="D414" i="1" s="1"/>
  <c r="K414" i="1" s="1"/>
  <c r="A414" i="1"/>
  <c r="L413" i="1"/>
  <c r="B413" i="1"/>
  <c r="D413" i="1" s="1"/>
  <c r="K413" i="1" s="1"/>
  <c r="A413" i="1"/>
  <c r="M412" i="1"/>
  <c r="L412" i="1"/>
  <c r="B412" i="1"/>
  <c r="C412" i="1" s="1"/>
  <c r="A412" i="1"/>
  <c r="L411" i="1"/>
  <c r="B411" i="1"/>
  <c r="A411" i="1"/>
  <c r="L410" i="1"/>
  <c r="B410" i="1"/>
  <c r="A410" i="1"/>
  <c r="L409" i="1"/>
  <c r="B409" i="1"/>
  <c r="G409" i="1" s="1"/>
  <c r="A409" i="1"/>
  <c r="L408" i="1"/>
  <c r="B408" i="1"/>
  <c r="C408" i="1" s="1"/>
  <c r="A408" i="1"/>
  <c r="L407" i="1"/>
  <c r="B407" i="1"/>
  <c r="A407" i="1"/>
  <c r="M406" i="1"/>
  <c r="L406" i="1"/>
  <c r="B406" i="1"/>
  <c r="C406" i="1" s="1"/>
  <c r="A406" i="1"/>
  <c r="L405" i="1"/>
  <c r="B405" i="1"/>
  <c r="A405" i="1"/>
  <c r="L404" i="1"/>
  <c r="B404" i="1"/>
  <c r="D404" i="1" s="1"/>
  <c r="K404" i="1" s="1"/>
  <c r="A404" i="1"/>
  <c r="L403" i="1"/>
  <c r="B403" i="1"/>
  <c r="A403" i="1"/>
  <c r="L402" i="1"/>
  <c r="B402" i="1"/>
  <c r="C402" i="1" s="1"/>
  <c r="A402" i="1"/>
  <c r="M401" i="1"/>
  <c r="L401" i="1"/>
  <c r="B401" i="1"/>
  <c r="C401" i="1" s="1"/>
  <c r="E401" i="1" s="1"/>
  <c r="A401" i="1"/>
  <c r="L400" i="1"/>
  <c r="B400" i="1"/>
  <c r="D400" i="1" s="1"/>
  <c r="K400" i="1" s="1"/>
  <c r="A400" i="1"/>
  <c r="L399" i="1"/>
  <c r="B399" i="1"/>
  <c r="G399" i="1" s="1"/>
  <c r="A399" i="1"/>
  <c r="L398" i="1"/>
  <c r="B398" i="1"/>
  <c r="A398" i="1"/>
  <c r="L397" i="1"/>
  <c r="B397" i="1"/>
  <c r="G397" i="1" s="1"/>
  <c r="A397" i="1"/>
  <c r="L396" i="1"/>
  <c r="B396" i="1"/>
  <c r="A396" i="1"/>
  <c r="M395" i="1"/>
  <c r="L395" i="1"/>
  <c r="B395" i="1"/>
  <c r="D395" i="1" s="1"/>
  <c r="K395" i="1" s="1"/>
  <c r="A395" i="1"/>
  <c r="L394" i="1"/>
  <c r="B394" i="1"/>
  <c r="C394" i="1" s="1"/>
  <c r="A394" i="1"/>
  <c r="L393" i="1"/>
  <c r="B393" i="1"/>
  <c r="D393" i="1" s="1"/>
  <c r="K393" i="1" s="1"/>
  <c r="A393" i="1"/>
  <c r="L392" i="1"/>
  <c r="B392" i="1"/>
  <c r="A392" i="1"/>
  <c r="L391" i="1"/>
  <c r="B391" i="1"/>
  <c r="A391" i="1"/>
  <c r="L390" i="1"/>
  <c r="B390" i="1"/>
  <c r="C390" i="1" s="1"/>
  <c r="A390" i="1"/>
  <c r="L389" i="1"/>
  <c r="B389" i="1"/>
  <c r="A389" i="1"/>
  <c r="L388" i="1"/>
  <c r="B388" i="1"/>
  <c r="C388" i="1" s="1"/>
  <c r="A388" i="1"/>
  <c r="L387" i="1"/>
  <c r="B387" i="1"/>
  <c r="D387" i="1" s="1"/>
  <c r="K387" i="1" s="1"/>
  <c r="A387" i="1"/>
  <c r="L386" i="1"/>
  <c r="B386" i="1"/>
  <c r="A386" i="1"/>
  <c r="L385" i="1"/>
  <c r="B385" i="1"/>
  <c r="D385" i="1" s="1"/>
  <c r="K385" i="1" s="1"/>
  <c r="A385" i="1"/>
  <c r="M384" i="1"/>
  <c r="L384" i="1"/>
  <c r="B384" i="1"/>
  <c r="G384" i="1" s="1"/>
  <c r="A384" i="1"/>
  <c r="L383" i="1"/>
  <c r="B383" i="1"/>
  <c r="G383" i="1" s="1"/>
  <c r="H383" i="1" s="1"/>
  <c r="F383" i="1" s="1"/>
  <c r="A383" i="1"/>
  <c r="L382" i="1"/>
  <c r="B382" i="1"/>
  <c r="A382" i="1"/>
  <c r="O381" i="1"/>
  <c r="N381" i="1"/>
  <c r="M381" i="1"/>
  <c r="L381" i="1"/>
  <c r="B381" i="1"/>
  <c r="C381" i="1" s="1"/>
  <c r="E381" i="1" s="1"/>
  <c r="A381" i="1"/>
  <c r="L380" i="1"/>
  <c r="B380" i="1"/>
  <c r="A380" i="1"/>
  <c r="L379" i="1"/>
  <c r="B379" i="1"/>
  <c r="A379" i="1"/>
  <c r="L378" i="1"/>
  <c r="B378" i="1"/>
  <c r="A378" i="1"/>
  <c r="L377" i="1"/>
  <c r="B377" i="1"/>
  <c r="A377" i="1"/>
  <c r="L376" i="1"/>
  <c r="B376" i="1"/>
  <c r="A376" i="1"/>
  <c r="L375" i="1"/>
  <c r="B375" i="1"/>
  <c r="A375" i="1"/>
  <c r="L374" i="1"/>
  <c r="B374" i="1"/>
  <c r="A374" i="1"/>
  <c r="L373" i="1"/>
  <c r="B373" i="1"/>
  <c r="A373" i="1"/>
  <c r="L372" i="1"/>
  <c r="B372" i="1"/>
  <c r="G372" i="1" s="1"/>
  <c r="A372" i="1"/>
  <c r="L371" i="1"/>
  <c r="B371" i="1"/>
  <c r="A371" i="1"/>
  <c r="L370" i="1"/>
  <c r="B370" i="1"/>
  <c r="D370" i="1" s="1"/>
  <c r="K370" i="1" s="1"/>
  <c r="A370" i="1"/>
  <c r="M369" i="1"/>
  <c r="L369" i="1"/>
  <c r="B369" i="1"/>
  <c r="D369" i="1" s="1"/>
  <c r="K369" i="1" s="1"/>
  <c r="A369" i="1"/>
  <c r="L368" i="1"/>
  <c r="B368" i="1"/>
  <c r="D368" i="1" s="1"/>
  <c r="K368" i="1" s="1"/>
  <c r="A368" i="1"/>
  <c r="L367" i="1"/>
  <c r="B367" i="1"/>
  <c r="A367" i="1"/>
  <c r="L366" i="1"/>
  <c r="B366" i="1"/>
  <c r="D366" i="1" s="1"/>
  <c r="K366" i="1" s="1"/>
  <c r="A366" i="1"/>
  <c r="L365" i="1"/>
  <c r="B365" i="1"/>
  <c r="D365" i="1" s="1"/>
  <c r="K365" i="1" s="1"/>
  <c r="A365" i="1"/>
  <c r="L364" i="1"/>
  <c r="B364" i="1"/>
  <c r="A364" i="1"/>
  <c r="O363" i="1"/>
  <c r="N363" i="1"/>
  <c r="M363" i="1"/>
  <c r="L363" i="1"/>
  <c r="B363" i="1"/>
  <c r="D363" i="1" s="1"/>
  <c r="K363" i="1" s="1"/>
  <c r="A363" i="1"/>
  <c r="M362" i="1"/>
  <c r="L362" i="1"/>
  <c r="B362" i="1"/>
  <c r="G362" i="1" s="1"/>
  <c r="H362" i="1" s="1"/>
  <c r="A362" i="1"/>
  <c r="L361" i="1"/>
  <c r="B361" i="1"/>
  <c r="D361" i="1" s="1"/>
  <c r="K361" i="1" s="1"/>
  <c r="A361" i="1"/>
  <c r="M360" i="1"/>
  <c r="L360" i="1"/>
  <c r="B360" i="1"/>
  <c r="A360" i="1"/>
  <c r="L359" i="1"/>
  <c r="B359" i="1"/>
  <c r="C359" i="1" s="1"/>
  <c r="A359" i="1"/>
  <c r="O358" i="1"/>
  <c r="N358" i="1"/>
  <c r="M358" i="1"/>
  <c r="L358" i="1"/>
  <c r="B358" i="1"/>
  <c r="C358" i="1" s="1"/>
  <c r="E358" i="1" s="1"/>
  <c r="A358" i="1"/>
  <c r="P357" i="1"/>
  <c r="O357" i="1"/>
  <c r="N357" i="1"/>
  <c r="M357" i="1"/>
  <c r="L357" i="1"/>
  <c r="B357" i="1"/>
  <c r="A357" i="1"/>
  <c r="L356" i="1"/>
  <c r="B356" i="1"/>
  <c r="G356" i="1" s="1"/>
  <c r="A356" i="1"/>
  <c r="L355" i="1"/>
  <c r="B355" i="1"/>
  <c r="A355" i="1"/>
  <c r="L354" i="1"/>
  <c r="B354" i="1"/>
  <c r="D354" i="1" s="1"/>
  <c r="K354" i="1" s="1"/>
  <c r="A354" i="1"/>
  <c r="L353" i="1"/>
  <c r="B353" i="1"/>
  <c r="A353" i="1"/>
  <c r="L352" i="1"/>
  <c r="B352" i="1"/>
  <c r="A352" i="1"/>
  <c r="L351" i="1"/>
  <c r="B351" i="1"/>
  <c r="G351" i="1" s="1"/>
  <c r="A351" i="1"/>
  <c r="L350" i="1"/>
  <c r="B350" i="1"/>
  <c r="C350" i="1" s="1"/>
  <c r="A350" i="1"/>
  <c r="L349" i="1"/>
  <c r="B349" i="1"/>
  <c r="A349" i="1"/>
  <c r="L348" i="1"/>
  <c r="B348" i="1"/>
  <c r="G348" i="1" s="1"/>
  <c r="A348" i="1"/>
  <c r="L347" i="1"/>
  <c r="B347" i="1"/>
  <c r="A347" i="1"/>
  <c r="M346" i="1"/>
  <c r="L346" i="1"/>
  <c r="B346" i="1"/>
  <c r="A346" i="1"/>
  <c r="L345" i="1"/>
  <c r="B345" i="1"/>
  <c r="G345" i="1" s="1"/>
  <c r="H345" i="1" s="1"/>
  <c r="A345" i="1"/>
  <c r="L344" i="1"/>
  <c r="B344" i="1"/>
  <c r="A344" i="1"/>
  <c r="L343" i="1"/>
  <c r="B343" i="1"/>
  <c r="D343" i="1" s="1"/>
  <c r="K343" i="1" s="1"/>
  <c r="A343" i="1"/>
  <c r="L342" i="1"/>
  <c r="B342" i="1"/>
  <c r="D342" i="1" s="1"/>
  <c r="K342" i="1" s="1"/>
  <c r="A342" i="1"/>
  <c r="L341" i="1"/>
  <c r="B341" i="1"/>
  <c r="G341" i="1" s="1"/>
  <c r="H341" i="1" s="1"/>
  <c r="A341" i="1"/>
  <c r="L340" i="1"/>
  <c r="B340" i="1"/>
  <c r="C340" i="1" s="1"/>
  <c r="A340" i="1"/>
  <c r="M339" i="1"/>
  <c r="L339" i="1"/>
  <c r="B339" i="1"/>
  <c r="A339" i="1"/>
  <c r="M338" i="1"/>
  <c r="L338" i="1"/>
  <c r="B338" i="1"/>
  <c r="A338" i="1"/>
  <c r="L337" i="1"/>
  <c r="B337" i="1"/>
  <c r="D337" i="1" s="1"/>
  <c r="K337" i="1" s="1"/>
  <c r="A337" i="1"/>
  <c r="L336" i="1"/>
  <c r="B336" i="1"/>
  <c r="G336" i="1" s="1"/>
  <c r="A336" i="1"/>
  <c r="L335" i="1"/>
  <c r="B335" i="1"/>
  <c r="A335" i="1"/>
  <c r="L334" i="1"/>
  <c r="B334" i="1"/>
  <c r="A334" i="1"/>
  <c r="M333" i="1"/>
  <c r="L333" i="1"/>
  <c r="B333" i="1"/>
  <c r="A333" i="1"/>
  <c r="L332" i="1"/>
  <c r="B332" i="1"/>
  <c r="A332" i="1"/>
  <c r="L331" i="1"/>
  <c r="B331" i="1"/>
  <c r="A331" i="1"/>
  <c r="L330" i="1"/>
  <c r="B330" i="1"/>
  <c r="A330" i="1"/>
  <c r="M329" i="1"/>
  <c r="L329" i="1"/>
  <c r="B329" i="1"/>
  <c r="A329" i="1"/>
  <c r="M328" i="1"/>
  <c r="L328" i="1"/>
  <c r="B328" i="1"/>
  <c r="G328" i="1" s="1"/>
  <c r="H328" i="1" s="1"/>
  <c r="A328" i="1"/>
  <c r="L327" i="1"/>
  <c r="B327" i="1"/>
  <c r="D327" i="1" s="1"/>
  <c r="K327" i="1" s="1"/>
  <c r="A327" i="1"/>
  <c r="L326" i="1"/>
  <c r="B326" i="1"/>
  <c r="A326" i="1"/>
  <c r="L325" i="1"/>
  <c r="B325" i="1"/>
  <c r="A325" i="1"/>
  <c r="L324" i="1"/>
  <c r="B324" i="1"/>
  <c r="G324" i="1" s="1"/>
  <c r="A324" i="1"/>
  <c r="L323" i="1"/>
  <c r="B323" i="1"/>
  <c r="D323" i="1" s="1"/>
  <c r="K323" i="1" s="1"/>
  <c r="A323" i="1"/>
  <c r="L322" i="1"/>
  <c r="B322" i="1"/>
  <c r="C322" i="1" s="1"/>
  <c r="A322" i="1"/>
  <c r="L321" i="1"/>
  <c r="B321" i="1"/>
  <c r="G321" i="1" s="1"/>
  <c r="A321" i="1"/>
  <c r="L320" i="1"/>
  <c r="B320" i="1"/>
  <c r="G320" i="1" s="1"/>
  <c r="A320" i="1"/>
  <c r="L319" i="1"/>
  <c r="B319" i="1"/>
  <c r="A319" i="1"/>
  <c r="L318" i="1"/>
  <c r="B318" i="1"/>
  <c r="G318" i="1" s="1"/>
  <c r="H318" i="1" s="1"/>
  <c r="A318" i="1"/>
  <c r="L317" i="1"/>
  <c r="B317" i="1"/>
  <c r="C317" i="1" s="1"/>
  <c r="E317" i="1" s="1"/>
  <c r="A317" i="1"/>
  <c r="L316" i="1"/>
  <c r="B316" i="1"/>
  <c r="A316" i="1"/>
  <c r="L315" i="1"/>
  <c r="B315" i="1"/>
  <c r="A315" i="1"/>
  <c r="L314" i="1"/>
  <c r="B314" i="1"/>
  <c r="A314" i="1"/>
  <c r="L313" i="1"/>
  <c r="B313" i="1"/>
  <c r="C313" i="1" s="1"/>
  <c r="A313" i="1"/>
  <c r="L312" i="1"/>
  <c r="B312" i="1"/>
  <c r="A312" i="1"/>
  <c r="L311" i="1"/>
  <c r="B311" i="1"/>
  <c r="A311" i="1"/>
  <c r="L310" i="1"/>
  <c r="B310" i="1"/>
  <c r="A310" i="1"/>
  <c r="L309" i="1"/>
  <c r="B309" i="1"/>
  <c r="C309" i="1" s="1"/>
  <c r="E309" i="1" s="1"/>
  <c r="A309" i="1"/>
  <c r="L308" i="1"/>
  <c r="B308" i="1"/>
  <c r="G308" i="1" s="1"/>
  <c r="A308" i="1"/>
  <c r="L307" i="1"/>
  <c r="B307" i="1"/>
  <c r="C307" i="1" s="1"/>
  <c r="A307" i="1"/>
  <c r="L306" i="1"/>
  <c r="B306" i="1"/>
  <c r="G306" i="1" s="1"/>
  <c r="A306" i="1"/>
  <c r="L305" i="1"/>
  <c r="B305" i="1"/>
  <c r="A305" i="1"/>
  <c r="L304" i="1"/>
  <c r="B304" i="1"/>
  <c r="G304" i="1" s="1"/>
  <c r="A304" i="1"/>
  <c r="N303" i="1"/>
  <c r="M303" i="1"/>
  <c r="L303" i="1"/>
  <c r="B303" i="1"/>
  <c r="A303" i="1"/>
  <c r="L302" i="1"/>
  <c r="B302" i="1"/>
  <c r="D302" i="1" s="1"/>
  <c r="K302" i="1" s="1"/>
  <c r="A302" i="1"/>
  <c r="L301" i="1"/>
  <c r="B301" i="1"/>
  <c r="C301" i="1" s="1"/>
  <c r="A301" i="1"/>
  <c r="L300" i="1"/>
  <c r="B300" i="1"/>
  <c r="C300" i="1" s="1"/>
  <c r="E300" i="1" s="1"/>
  <c r="A300" i="1"/>
  <c r="L299" i="1"/>
  <c r="B299" i="1"/>
  <c r="A299" i="1"/>
  <c r="L298" i="1"/>
  <c r="B298" i="1"/>
  <c r="A298" i="1"/>
  <c r="L297" i="1"/>
  <c r="B297" i="1"/>
  <c r="G297" i="1" s="1"/>
  <c r="A297" i="1"/>
  <c r="L296" i="1"/>
  <c r="B296" i="1"/>
  <c r="G296" i="1" s="1"/>
  <c r="A296" i="1"/>
  <c r="L295" i="1"/>
  <c r="B295" i="1"/>
  <c r="A295" i="1"/>
  <c r="L294" i="1"/>
  <c r="B294" i="1"/>
  <c r="A294" i="1"/>
  <c r="L293" i="1"/>
  <c r="B293" i="1"/>
  <c r="D293" i="1" s="1"/>
  <c r="K293" i="1" s="1"/>
  <c r="A293" i="1"/>
  <c r="L292" i="1"/>
  <c r="B292" i="1"/>
  <c r="A292" i="1"/>
  <c r="L291" i="1"/>
  <c r="B291" i="1"/>
  <c r="A291" i="1"/>
  <c r="L290" i="1"/>
  <c r="B290" i="1"/>
  <c r="C290" i="1" s="1"/>
  <c r="A290" i="1"/>
  <c r="L289" i="1"/>
  <c r="B289" i="1"/>
  <c r="G289" i="1" s="1"/>
  <c r="A289" i="1"/>
  <c r="L288" i="1"/>
  <c r="B288" i="1"/>
  <c r="A288" i="1"/>
  <c r="L287" i="1"/>
  <c r="B287" i="1"/>
  <c r="A287" i="1"/>
  <c r="N286" i="1"/>
  <c r="M286" i="1"/>
  <c r="L286" i="1"/>
  <c r="B286" i="1"/>
  <c r="A286" i="1"/>
  <c r="N285" i="1"/>
  <c r="M285" i="1"/>
  <c r="L285" i="1"/>
  <c r="B285" i="1"/>
  <c r="C285" i="1" s="1"/>
  <c r="A285" i="1"/>
  <c r="M284" i="1"/>
  <c r="L284" i="1"/>
  <c r="B284" i="1"/>
  <c r="A284" i="1"/>
  <c r="N283" i="1"/>
  <c r="M283" i="1"/>
  <c r="L283" i="1"/>
  <c r="B283" i="1"/>
  <c r="A283" i="1"/>
  <c r="N282" i="1"/>
  <c r="M282" i="1"/>
  <c r="L282" i="1"/>
  <c r="B282" i="1"/>
  <c r="G282" i="1" s="1"/>
  <c r="H282" i="1" s="1"/>
  <c r="A282" i="1"/>
  <c r="N281" i="1"/>
  <c r="M281" i="1"/>
  <c r="L281" i="1"/>
  <c r="B281" i="1"/>
  <c r="C281" i="1" s="1"/>
  <c r="E281" i="1" s="1"/>
  <c r="A281" i="1"/>
  <c r="N280" i="1"/>
  <c r="M280" i="1"/>
  <c r="L280" i="1"/>
  <c r="B280" i="1"/>
  <c r="A280" i="1"/>
  <c r="L279" i="1"/>
  <c r="B279" i="1"/>
  <c r="G279" i="1" s="1"/>
  <c r="A279" i="1"/>
  <c r="N278" i="1"/>
  <c r="M278" i="1"/>
  <c r="L278" i="1"/>
  <c r="B278" i="1"/>
  <c r="A278" i="1"/>
  <c r="N277" i="1"/>
  <c r="M277" i="1"/>
  <c r="L277" i="1"/>
  <c r="B277" i="1"/>
  <c r="A277" i="1"/>
  <c r="M276" i="1"/>
  <c r="L276" i="1"/>
  <c r="B276" i="1"/>
  <c r="G276" i="1" s="1"/>
  <c r="A276" i="1"/>
  <c r="M275" i="1"/>
  <c r="L275" i="1"/>
  <c r="B275" i="1"/>
  <c r="C275" i="1" s="1"/>
  <c r="A275" i="1"/>
  <c r="M274" i="1"/>
  <c r="L274" i="1"/>
  <c r="B274" i="1"/>
  <c r="C274" i="1" s="1"/>
  <c r="E274" i="1" s="1"/>
  <c r="A274" i="1"/>
  <c r="M273" i="1"/>
  <c r="L273" i="1"/>
  <c r="B273" i="1"/>
  <c r="G273" i="1" s="1"/>
  <c r="H273" i="1" s="1"/>
  <c r="J273" i="1" s="1"/>
  <c r="A273" i="1"/>
  <c r="L272" i="1"/>
  <c r="B272" i="1"/>
  <c r="D272" i="1" s="1"/>
  <c r="K272" i="1" s="1"/>
  <c r="A272" i="1"/>
  <c r="L271" i="1"/>
  <c r="B271" i="1"/>
  <c r="G271" i="1" s="1"/>
  <c r="H271" i="1" s="1"/>
  <c r="F271" i="1" s="1"/>
  <c r="A271" i="1"/>
  <c r="M270" i="1"/>
  <c r="L270" i="1"/>
  <c r="B270" i="1"/>
  <c r="D270" i="1" s="1"/>
  <c r="K270" i="1" s="1"/>
  <c r="A270" i="1"/>
  <c r="L269" i="1"/>
  <c r="B269" i="1"/>
  <c r="C269" i="1" s="1"/>
  <c r="E269" i="1" s="1"/>
  <c r="A269" i="1"/>
  <c r="M268" i="1"/>
  <c r="L268" i="1"/>
  <c r="B268" i="1"/>
  <c r="C268" i="1" s="1"/>
  <c r="E268" i="1" s="1"/>
  <c r="A268" i="1"/>
  <c r="L267" i="1"/>
  <c r="B267" i="1"/>
  <c r="D267" i="1" s="1"/>
  <c r="K267" i="1" s="1"/>
  <c r="A267" i="1"/>
  <c r="M266" i="1"/>
  <c r="L266" i="1"/>
  <c r="B266" i="1"/>
  <c r="A266" i="1"/>
  <c r="L265" i="1"/>
  <c r="B265" i="1"/>
  <c r="C265" i="1" s="1"/>
  <c r="E265" i="1" s="1"/>
  <c r="A265" i="1"/>
  <c r="M264" i="1"/>
  <c r="L264" i="1"/>
  <c r="B264" i="1"/>
  <c r="G264" i="1" s="1"/>
  <c r="H264" i="1" s="1"/>
  <c r="J264" i="1" s="1"/>
  <c r="A264" i="1"/>
  <c r="M263" i="1"/>
  <c r="L263" i="1"/>
  <c r="B263" i="1"/>
  <c r="C263" i="1" s="1"/>
  <c r="E263" i="1" s="1"/>
  <c r="A263" i="1"/>
  <c r="M262" i="1"/>
  <c r="L262" i="1"/>
  <c r="B262" i="1"/>
  <c r="A262" i="1"/>
  <c r="L261" i="1"/>
  <c r="B261" i="1"/>
  <c r="A261" i="1"/>
  <c r="M260" i="1"/>
  <c r="L260" i="1"/>
  <c r="B260" i="1"/>
  <c r="A260" i="1"/>
  <c r="L259" i="1"/>
  <c r="B259" i="1"/>
  <c r="A259" i="1"/>
  <c r="N258" i="1"/>
  <c r="M258" i="1"/>
  <c r="L258" i="1"/>
  <c r="B258" i="1"/>
  <c r="C258" i="1" s="1"/>
  <c r="E258" i="1" s="1"/>
  <c r="A258" i="1"/>
  <c r="M257" i="1"/>
  <c r="L257" i="1"/>
  <c r="B257" i="1"/>
  <c r="A257" i="1"/>
  <c r="M256" i="1"/>
  <c r="L256" i="1"/>
  <c r="B256" i="1"/>
  <c r="A256" i="1"/>
  <c r="M255" i="1"/>
  <c r="L255" i="1"/>
  <c r="B255" i="1"/>
  <c r="C255" i="1" s="1"/>
  <c r="A255" i="1"/>
  <c r="P254" i="1"/>
  <c r="O254" i="1"/>
  <c r="N254" i="1"/>
  <c r="M254" i="1"/>
  <c r="L254" i="1"/>
  <c r="B254" i="1"/>
  <c r="D254" i="1" s="1"/>
  <c r="K254" i="1" s="1"/>
  <c r="A254" i="1"/>
  <c r="M253" i="1"/>
  <c r="L253" i="1"/>
  <c r="B253" i="1"/>
  <c r="G253" i="1" s="1"/>
  <c r="A253" i="1"/>
  <c r="L252" i="1"/>
  <c r="B252" i="1"/>
  <c r="G252" i="1" s="1"/>
  <c r="H252" i="1" s="1"/>
  <c r="A252" i="1"/>
  <c r="M251" i="1"/>
  <c r="L251" i="1"/>
  <c r="B251" i="1"/>
  <c r="A251" i="1"/>
  <c r="L250" i="1"/>
  <c r="B250" i="1"/>
  <c r="C250" i="1" s="1"/>
  <c r="A250" i="1"/>
  <c r="L249" i="1"/>
  <c r="B249" i="1"/>
  <c r="D249" i="1" s="1"/>
  <c r="K249" i="1" s="1"/>
  <c r="A249" i="1"/>
  <c r="L248" i="1"/>
  <c r="B248" i="1"/>
  <c r="C248" i="1" s="1"/>
  <c r="E248" i="1" s="1"/>
  <c r="A248" i="1"/>
  <c r="L247" i="1"/>
  <c r="B247" i="1"/>
  <c r="A247" i="1"/>
  <c r="N246" i="1"/>
  <c r="M246" i="1"/>
  <c r="L246" i="1"/>
  <c r="B246" i="1"/>
  <c r="A246" i="1"/>
  <c r="L245" i="1"/>
  <c r="B245" i="1"/>
  <c r="A245" i="1"/>
  <c r="L244" i="1"/>
  <c r="B244" i="1"/>
  <c r="A244" i="1"/>
  <c r="M243" i="1"/>
  <c r="L243" i="1"/>
  <c r="B243" i="1"/>
  <c r="C243" i="1" s="1"/>
  <c r="E243" i="1" s="1"/>
  <c r="A243" i="1"/>
  <c r="L242" i="1"/>
  <c r="B242" i="1"/>
  <c r="C242" i="1" s="1"/>
  <c r="E242" i="1" s="1"/>
  <c r="A242" i="1"/>
  <c r="L241" i="1"/>
  <c r="B241" i="1"/>
  <c r="G241" i="1" s="1"/>
  <c r="H241" i="1" s="1"/>
  <c r="A241" i="1"/>
  <c r="L240" i="1"/>
  <c r="B240" i="1"/>
  <c r="A240" i="1"/>
  <c r="L239" i="1"/>
  <c r="B239" i="1"/>
  <c r="D239" i="1" s="1"/>
  <c r="K239" i="1" s="1"/>
  <c r="A239" i="1"/>
  <c r="M238" i="1"/>
  <c r="L238" i="1"/>
  <c r="B238" i="1"/>
  <c r="D238" i="1" s="1"/>
  <c r="K238" i="1" s="1"/>
  <c r="A238" i="1"/>
  <c r="M237" i="1"/>
  <c r="L237" i="1"/>
  <c r="B237" i="1"/>
  <c r="A237" i="1"/>
  <c r="L236" i="1"/>
  <c r="B236" i="1"/>
  <c r="C236" i="1" s="1"/>
  <c r="A236" i="1"/>
  <c r="L235" i="1"/>
  <c r="B235" i="1"/>
  <c r="D235" i="1" s="1"/>
  <c r="K235" i="1" s="1"/>
  <c r="A235" i="1"/>
  <c r="L234" i="1"/>
  <c r="B234" i="1"/>
  <c r="C234" i="1" s="1"/>
  <c r="E234" i="1" s="1"/>
  <c r="A234" i="1"/>
  <c r="N233" i="1"/>
  <c r="M233" i="1"/>
  <c r="L233" i="1"/>
  <c r="B233" i="1"/>
  <c r="G233" i="1" s="1"/>
  <c r="H233" i="1" s="1"/>
  <c r="A233" i="1"/>
  <c r="M232" i="1"/>
  <c r="L232" i="1"/>
  <c r="B232" i="1"/>
  <c r="C232" i="1" s="1"/>
  <c r="E232" i="1" s="1"/>
  <c r="A232" i="1"/>
  <c r="L231" i="1"/>
  <c r="B231" i="1"/>
  <c r="A231" i="1"/>
  <c r="L230" i="1"/>
  <c r="B230" i="1"/>
  <c r="C230" i="1" s="1"/>
  <c r="A230" i="1"/>
  <c r="M229" i="1"/>
  <c r="L229" i="1"/>
  <c r="B229" i="1"/>
  <c r="A229" i="1"/>
  <c r="L228" i="1"/>
  <c r="B228" i="1"/>
  <c r="D228" i="1" s="1"/>
  <c r="K228" i="1" s="1"/>
  <c r="A228" i="1"/>
  <c r="L227" i="1"/>
  <c r="B227" i="1"/>
  <c r="C227" i="1" s="1"/>
  <c r="E227" i="1" s="1"/>
  <c r="A227" i="1"/>
  <c r="L226" i="1"/>
  <c r="B226" i="1"/>
  <c r="D226" i="1" s="1"/>
  <c r="K226" i="1" s="1"/>
  <c r="A226" i="1"/>
  <c r="L225" i="1"/>
  <c r="B225" i="1"/>
  <c r="C225" i="1" s="1"/>
  <c r="A225" i="1"/>
  <c r="N224" i="1"/>
  <c r="M224" i="1"/>
  <c r="L224" i="1"/>
  <c r="B224" i="1"/>
  <c r="A224" i="1"/>
  <c r="L223" i="1"/>
  <c r="B223" i="1"/>
  <c r="D223" i="1" s="1"/>
  <c r="K223" i="1" s="1"/>
  <c r="A223" i="1"/>
  <c r="L222" i="1"/>
  <c r="B222" i="1"/>
  <c r="D222" i="1" s="1"/>
  <c r="K222" i="1" s="1"/>
  <c r="A222" i="1"/>
  <c r="L221" i="1"/>
  <c r="B221" i="1"/>
  <c r="G221" i="1" s="1"/>
  <c r="H221" i="1" s="1"/>
  <c r="A221" i="1"/>
  <c r="L220" i="1"/>
  <c r="B220" i="1"/>
  <c r="A220" i="1"/>
  <c r="L219" i="1"/>
  <c r="B219" i="1"/>
  <c r="C219" i="1" s="1"/>
  <c r="A219" i="1"/>
  <c r="N218" i="1"/>
  <c r="M218" i="1"/>
  <c r="L218" i="1"/>
  <c r="B218" i="1"/>
  <c r="C218" i="1" s="1"/>
  <c r="E218" i="1" s="1"/>
  <c r="A218" i="1"/>
  <c r="L217" i="1"/>
  <c r="B217" i="1"/>
  <c r="G217" i="1" s="1"/>
  <c r="A217" i="1"/>
  <c r="L216" i="1"/>
  <c r="B216" i="1"/>
  <c r="A216" i="1"/>
  <c r="L215" i="1"/>
  <c r="B215" i="1"/>
  <c r="G215" i="1" s="1"/>
  <c r="A215" i="1"/>
  <c r="L214" i="1"/>
  <c r="B214" i="1"/>
  <c r="A214" i="1"/>
  <c r="L213" i="1"/>
  <c r="B213" i="1"/>
  <c r="A213" i="1"/>
  <c r="N212" i="1"/>
  <c r="M212" i="1"/>
  <c r="L212" i="1"/>
  <c r="B212" i="1"/>
  <c r="D212" i="1" s="1"/>
  <c r="K212" i="1" s="1"/>
  <c r="A212" i="1"/>
  <c r="N211" i="1"/>
  <c r="M211" i="1"/>
  <c r="L211" i="1"/>
  <c r="B211" i="1"/>
  <c r="C211" i="1" s="1"/>
  <c r="A211" i="1"/>
  <c r="N210" i="1"/>
  <c r="M210" i="1"/>
  <c r="L210" i="1"/>
  <c r="B210" i="1"/>
  <c r="A210" i="1"/>
  <c r="L209" i="1"/>
  <c r="B209" i="1"/>
  <c r="G209" i="1" s="1"/>
  <c r="H209" i="1" s="1"/>
  <c r="A209" i="1"/>
  <c r="Q208" i="1"/>
  <c r="P208" i="1"/>
  <c r="O208" i="1"/>
  <c r="N208" i="1"/>
  <c r="M208" i="1"/>
  <c r="L208" i="1"/>
  <c r="B208" i="1"/>
  <c r="A208" i="1"/>
  <c r="M207" i="1"/>
  <c r="L207" i="1"/>
  <c r="B207" i="1"/>
  <c r="C207" i="1" s="1"/>
  <c r="E207" i="1" s="1"/>
  <c r="A207" i="1"/>
  <c r="L206" i="1"/>
  <c r="B206" i="1"/>
  <c r="G206" i="1" s="1"/>
  <c r="A206" i="1"/>
  <c r="L205" i="1"/>
  <c r="B205" i="1"/>
  <c r="A205" i="1"/>
  <c r="L204" i="1"/>
  <c r="B204" i="1"/>
  <c r="G204" i="1" s="1"/>
  <c r="A204" i="1"/>
  <c r="L203" i="1"/>
  <c r="B203" i="1"/>
  <c r="A203" i="1"/>
  <c r="L202" i="1"/>
  <c r="B202" i="1"/>
  <c r="G202" i="1" s="1"/>
  <c r="A202" i="1"/>
  <c r="L201" i="1"/>
  <c r="B201" i="1"/>
  <c r="A201" i="1"/>
  <c r="L200" i="1"/>
  <c r="B200" i="1"/>
  <c r="A200" i="1"/>
  <c r="L199" i="1"/>
  <c r="B199" i="1"/>
  <c r="C199" i="1" s="1"/>
  <c r="A199" i="1"/>
  <c r="N198" i="1"/>
  <c r="M198" i="1"/>
  <c r="L198" i="1"/>
  <c r="B198" i="1"/>
  <c r="C198" i="1" s="1"/>
  <c r="E198" i="1" s="1"/>
  <c r="A198" i="1"/>
  <c r="L197" i="1"/>
  <c r="B197" i="1"/>
  <c r="D197" i="1" s="1"/>
  <c r="K197" i="1" s="1"/>
  <c r="A197" i="1"/>
  <c r="M196" i="1"/>
  <c r="L196" i="1"/>
  <c r="B196" i="1"/>
  <c r="A196" i="1"/>
  <c r="L195" i="1"/>
  <c r="B195" i="1"/>
  <c r="C195" i="1" s="1"/>
  <c r="A195" i="1"/>
  <c r="L194" i="1"/>
  <c r="B194" i="1"/>
  <c r="A194" i="1"/>
  <c r="L193" i="1"/>
  <c r="B193" i="1"/>
  <c r="A193" i="1"/>
  <c r="M192" i="1"/>
  <c r="L192" i="1"/>
  <c r="B192" i="1"/>
  <c r="A192" i="1"/>
  <c r="N191" i="1"/>
  <c r="M191" i="1"/>
  <c r="L191" i="1"/>
  <c r="B191" i="1"/>
  <c r="D191" i="1" s="1"/>
  <c r="K191" i="1" s="1"/>
  <c r="A191" i="1"/>
  <c r="N190" i="1"/>
  <c r="M190" i="1"/>
  <c r="L190" i="1"/>
  <c r="B190" i="1"/>
  <c r="A190" i="1"/>
  <c r="N189" i="1"/>
  <c r="M189" i="1"/>
  <c r="L189" i="1"/>
  <c r="B189" i="1"/>
  <c r="C189" i="1" s="1"/>
  <c r="A189" i="1"/>
  <c r="M188" i="1"/>
  <c r="L188" i="1"/>
  <c r="B188" i="1"/>
  <c r="D188" i="1" s="1"/>
  <c r="K188" i="1" s="1"/>
  <c r="A188" i="1"/>
  <c r="M187" i="1"/>
  <c r="L187" i="1"/>
  <c r="B187" i="1"/>
  <c r="C187" i="1" s="1"/>
  <c r="A187" i="1"/>
  <c r="M186" i="1"/>
  <c r="L186" i="1"/>
  <c r="B186" i="1"/>
  <c r="G186" i="1" s="1"/>
  <c r="A186" i="1"/>
  <c r="N185" i="1"/>
  <c r="M185" i="1"/>
  <c r="L185" i="1"/>
  <c r="B185" i="1"/>
  <c r="D185" i="1" s="1"/>
  <c r="K185" i="1" s="1"/>
  <c r="A185" i="1"/>
  <c r="L184" i="1"/>
  <c r="B184" i="1"/>
  <c r="A184" i="1"/>
  <c r="N183" i="1"/>
  <c r="M183" i="1"/>
  <c r="L183" i="1"/>
  <c r="B183" i="1"/>
  <c r="G183" i="1" s="1"/>
  <c r="A183" i="1"/>
  <c r="O182" i="1"/>
  <c r="N182" i="1"/>
  <c r="M182" i="1"/>
  <c r="L182" i="1"/>
  <c r="B182" i="1"/>
  <c r="C182" i="1" s="1"/>
  <c r="E182" i="1" s="1"/>
  <c r="A182" i="1"/>
  <c r="L181" i="1"/>
  <c r="B181" i="1"/>
  <c r="G181" i="1" s="1"/>
  <c r="H181" i="1" s="1"/>
  <c r="A181" i="1"/>
  <c r="L180" i="1"/>
  <c r="B180" i="1"/>
  <c r="G180" i="1" s="1"/>
  <c r="A180" i="1"/>
  <c r="L179" i="1"/>
  <c r="B179" i="1"/>
  <c r="A179" i="1"/>
  <c r="O178" i="1"/>
  <c r="N178" i="1"/>
  <c r="M178" i="1"/>
  <c r="L178" i="1"/>
  <c r="B178" i="1"/>
  <c r="A178" i="1"/>
  <c r="M177" i="1"/>
  <c r="L177" i="1"/>
  <c r="B177" i="1"/>
  <c r="D177" i="1" s="1"/>
  <c r="K177" i="1" s="1"/>
  <c r="A177" i="1"/>
  <c r="M176" i="1"/>
  <c r="L176" i="1"/>
  <c r="B176" i="1"/>
  <c r="A176" i="1"/>
  <c r="M175" i="1"/>
  <c r="L175" i="1"/>
  <c r="B175" i="1"/>
  <c r="D175" i="1" s="1"/>
  <c r="K175" i="1" s="1"/>
  <c r="A175" i="1"/>
  <c r="M174" i="1"/>
  <c r="L174" i="1"/>
  <c r="B174" i="1"/>
  <c r="A174" i="1"/>
  <c r="L173" i="1"/>
  <c r="B173" i="1"/>
  <c r="A173" i="1"/>
  <c r="L172" i="1"/>
  <c r="B172" i="1"/>
  <c r="C172" i="1" s="1"/>
  <c r="A172" i="1"/>
  <c r="L171" i="1"/>
  <c r="B171" i="1"/>
  <c r="G171" i="1" s="1"/>
  <c r="A171" i="1"/>
  <c r="L170" i="1"/>
  <c r="B170" i="1"/>
  <c r="C170" i="1" s="1"/>
  <c r="A170" i="1"/>
  <c r="M169" i="1"/>
  <c r="L169" i="1"/>
  <c r="B169" i="1"/>
  <c r="C169" i="1" s="1"/>
  <c r="A169" i="1"/>
  <c r="O168" i="1"/>
  <c r="N168" i="1"/>
  <c r="M168" i="1"/>
  <c r="L168" i="1"/>
  <c r="B168" i="1"/>
  <c r="G168" i="1" s="1"/>
  <c r="A168" i="1"/>
  <c r="L167" i="1"/>
  <c r="B167" i="1"/>
  <c r="C167" i="1" s="1"/>
  <c r="A167" i="1"/>
  <c r="L166" i="1"/>
  <c r="B166" i="1"/>
  <c r="A166" i="1"/>
  <c r="M165" i="1"/>
  <c r="L165" i="1"/>
  <c r="B165" i="1"/>
  <c r="D165" i="1" s="1"/>
  <c r="K165" i="1" s="1"/>
  <c r="A165" i="1"/>
  <c r="M164" i="1"/>
  <c r="L164" i="1"/>
  <c r="B164" i="1"/>
  <c r="A164" i="1"/>
  <c r="O163" i="1"/>
  <c r="N163" i="1"/>
  <c r="M163" i="1"/>
  <c r="L163" i="1"/>
  <c r="B163" i="1"/>
  <c r="G163" i="1" s="1"/>
  <c r="H163" i="1" s="1"/>
  <c r="A163" i="1"/>
  <c r="N162" i="1"/>
  <c r="M162" i="1"/>
  <c r="L162" i="1"/>
  <c r="B162" i="1"/>
  <c r="D162" i="1" s="1"/>
  <c r="K162" i="1" s="1"/>
  <c r="A162" i="1"/>
  <c r="N161" i="1"/>
  <c r="M161" i="1"/>
  <c r="L161" i="1"/>
  <c r="B161" i="1"/>
  <c r="C161" i="1" s="1"/>
  <c r="E161" i="1" s="1"/>
  <c r="A161" i="1"/>
  <c r="L160" i="1"/>
  <c r="B160" i="1"/>
  <c r="G160" i="1" s="1"/>
  <c r="A160" i="1"/>
  <c r="L159" i="1"/>
  <c r="B159" i="1"/>
  <c r="A159" i="1"/>
  <c r="L158" i="1"/>
  <c r="B158" i="1"/>
  <c r="G158" i="1" s="1"/>
  <c r="H158" i="1" s="1"/>
  <c r="A158" i="1"/>
  <c r="L157" i="1"/>
  <c r="B157" i="1"/>
  <c r="A157" i="1"/>
  <c r="L156" i="1"/>
  <c r="B156" i="1"/>
  <c r="C156" i="1" s="1"/>
  <c r="A156" i="1"/>
  <c r="M155" i="1"/>
  <c r="L155" i="1"/>
  <c r="B155" i="1"/>
  <c r="A155" i="1"/>
  <c r="L154" i="1"/>
  <c r="B154" i="1"/>
  <c r="G154" i="1" s="1"/>
  <c r="H154" i="1" s="1"/>
  <c r="A154" i="1"/>
  <c r="L153" i="1"/>
  <c r="B153" i="1"/>
  <c r="C153" i="1" s="1"/>
  <c r="A153" i="1"/>
  <c r="L152" i="1"/>
  <c r="B152" i="1"/>
  <c r="C152" i="1" s="1"/>
  <c r="A152" i="1"/>
  <c r="L151" i="1"/>
  <c r="B151" i="1"/>
  <c r="G151" i="1" s="1"/>
  <c r="A151" i="1"/>
  <c r="L150" i="1"/>
  <c r="B150" i="1"/>
  <c r="C150" i="1" s="1"/>
  <c r="A150" i="1"/>
  <c r="L149" i="1"/>
  <c r="B149" i="1"/>
  <c r="G149" i="1" s="1"/>
  <c r="H149" i="1" s="1"/>
  <c r="A149" i="1"/>
  <c r="L148" i="1"/>
  <c r="B148" i="1"/>
  <c r="A148" i="1"/>
  <c r="L147" i="1"/>
  <c r="B147" i="1"/>
  <c r="A147" i="1"/>
  <c r="L146" i="1"/>
  <c r="B146" i="1"/>
  <c r="G146" i="1" s="1"/>
  <c r="H146" i="1" s="1"/>
  <c r="A146" i="1"/>
  <c r="L145" i="1"/>
  <c r="B145" i="1"/>
  <c r="C145" i="1" s="1"/>
  <c r="A145" i="1"/>
  <c r="L144" i="1"/>
  <c r="B144" i="1"/>
  <c r="A144" i="1"/>
  <c r="L143" i="1"/>
  <c r="B143" i="1"/>
  <c r="A143" i="1"/>
  <c r="L142" i="1"/>
  <c r="B142" i="1"/>
  <c r="C142" i="1" s="1"/>
  <c r="A142" i="1"/>
  <c r="L141" i="1"/>
  <c r="B141" i="1"/>
  <c r="A141" i="1"/>
  <c r="L140" i="1"/>
  <c r="B140" i="1"/>
  <c r="A140" i="1"/>
  <c r="M139" i="1"/>
  <c r="L139" i="1"/>
  <c r="B139" i="1"/>
  <c r="A139" i="1"/>
  <c r="L138" i="1"/>
  <c r="B138" i="1"/>
  <c r="A138" i="1"/>
  <c r="M137" i="1"/>
  <c r="L137" i="1"/>
  <c r="B137" i="1"/>
  <c r="A137" i="1"/>
  <c r="L136" i="1"/>
  <c r="B136" i="1"/>
  <c r="A136" i="1"/>
  <c r="M135" i="1"/>
  <c r="L135" i="1"/>
  <c r="B135" i="1"/>
  <c r="A135" i="1"/>
  <c r="L134" i="1"/>
  <c r="B134" i="1"/>
  <c r="C134" i="1" s="1"/>
  <c r="E134" i="1" s="1"/>
  <c r="A134" i="1"/>
  <c r="L133" i="1"/>
  <c r="B133" i="1"/>
  <c r="A133" i="1"/>
  <c r="L132" i="1"/>
  <c r="B132" i="1"/>
  <c r="C132" i="1" s="1"/>
  <c r="E132" i="1" s="1"/>
  <c r="A132" i="1"/>
  <c r="O131" i="1"/>
  <c r="N131" i="1"/>
  <c r="M131" i="1"/>
  <c r="L131" i="1"/>
  <c r="B131" i="1"/>
  <c r="A131" i="1"/>
  <c r="L130" i="1"/>
  <c r="B130" i="1"/>
  <c r="A130" i="1"/>
  <c r="L129" i="1"/>
  <c r="B129" i="1"/>
  <c r="C129" i="1" s="1"/>
  <c r="E129" i="1" s="1"/>
  <c r="A129" i="1"/>
  <c r="L128" i="1"/>
  <c r="B128" i="1"/>
  <c r="A128" i="1"/>
  <c r="L127" i="1"/>
  <c r="B127" i="1"/>
  <c r="G127" i="1" s="1"/>
  <c r="A127" i="1"/>
  <c r="L126" i="1"/>
  <c r="B126" i="1"/>
  <c r="A126" i="1"/>
  <c r="L125" i="1"/>
  <c r="B125" i="1"/>
  <c r="A125" i="1"/>
  <c r="L124" i="1"/>
  <c r="B124" i="1"/>
  <c r="G124" i="1" s="1"/>
  <c r="A124" i="1"/>
  <c r="L123" i="1"/>
  <c r="B123" i="1"/>
  <c r="G123" i="1" s="1"/>
  <c r="A123" i="1"/>
  <c r="L122" i="1"/>
  <c r="B122" i="1"/>
  <c r="A122" i="1"/>
  <c r="L121" i="1"/>
  <c r="B121" i="1"/>
  <c r="A121" i="1"/>
  <c r="L120" i="1"/>
  <c r="B120" i="1"/>
  <c r="C120" i="1" s="1"/>
  <c r="A120" i="1"/>
  <c r="L119" i="1"/>
  <c r="B119" i="1"/>
  <c r="G119" i="1" s="1"/>
  <c r="A119" i="1"/>
  <c r="L118" i="1"/>
  <c r="B118" i="1"/>
  <c r="A118" i="1"/>
  <c r="L117" i="1"/>
  <c r="B117" i="1"/>
  <c r="A117" i="1"/>
  <c r="L116" i="1"/>
  <c r="B116" i="1"/>
  <c r="A116" i="1"/>
  <c r="M115" i="1"/>
  <c r="L115" i="1"/>
  <c r="B115" i="1"/>
  <c r="G115" i="1" s="1"/>
  <c r="H115" i="1" s="1"/>
  <c r="A115" i="1"/>
  <c r="L114" i="1"/>
  <c r="B114" i="1"/>
  <c r="C114" i="1" s="1"/>
  <c r="A114" i="1"/>
  <c r="L113" i="1"/>
  <c r="B113" i="1"/>
  <c r="A113" i="1"/>
  <c r="L112" i="1"/>
  <c r="B112" i="1"/>
  <c r="G112" i="1" s="1"/>
  <c r="H112" i="1" s="1"/>
  <c r="A112" i="1"/>
  <c r="L111" i="1"/>
  <c r="B111" i="1"/>
  <c r="A111" i="1"/>
  <c r="L110" i="1"/>
  <c r="B110" i="1"/>
  <c r="G110" i="1" s="1"/>
  <c r="A110" i="1"/>
  <c r="M109" i="1"/>
  <c r="L109" i="1"/>
  <c r="B109" i="1"/>
  <c r="A109" i="1"/>
  <c r="L108" i="1"/>
  <c r="B108" i="1"/>
  <c r="A108" i="1"/>
  <c r="L107" i="1"/>
  <c r="B107" i="1"/>
  <c r="C107" i="1" s="1"/>
  <c r="E107" i="1" s="1"/>
  <c r="A107" i="1"/>
  <c r="L106" i="1"/>
  <c r="B106" i="1"/>
  <c r="C106" i="1" s="1"/>
  <c r="E106" i="1" s="1"/>
  <c r="A106" i="1"/>
  <c r="M105" i="1"/>
  <c r="L105" i="1"/>
  <c r="B105" i="1"/>
  <c r="A105" i="1"/>
  <c r="L104" i="1"/>
  <c r="B104" i="1"/>
  <c r="D104" i="1" s="1"/>
  <c r="K104" i="1" s="1"/>
  <c r="A104" i="1"/>
  <c r="L103" i="1"/>
  <c r="B103" i="1"/>
  <c r="C103" i="1" s="1"/>
  <c r="A103" i="1"/>
  <c r="L102" i="1"/>
  <c r="B102" i="1"/>
  <c r="D102" i="1" s="1"/>
  <c r="K102" i="1" s="1"/>
  <c r="A102" i="1"/>
  <c r="L101" i="1"/>
  <c r="B101" i="1"/>
  <c r="D101" i="1" s="1"/>
  <c r="K101" i="1" s="1"/>
  <c r="A101" i="1"/>
  <c r="L100" i="1"/>
  <c r="B100" i="1"/>
  <c r="A100" i="1"/>
  <c r="M99" i="1"/>
  <c r="L99" i="1"/>
  <c r="B99" i="1"/>
  <c r="C99" i="1" s="1"/>
  <c r="E99" i="1" s="1"/>
  <c r="A99" i="1"/>
  <c r="L98" i="1"/>
  <c r="B98" i="1"/>
  <c r="A98" i="1"/>
  <c r="L97" i="1"/>
  <c r="B97" i="1"/>
  <c r="D97" i="1" s="1"/>
  <c r="K97" i="1" s="1"/>
  <c r="A97" i="1"/>
  <c r="L96" i="1"/>
  <c r="B96" i="1"/>
  <c r="A96" i="1"/>
  <c r="L95" i="1"/>
  <c r="B95" i="1"/>
  <c r="D95" i="1" s="1"/>
  <c r="K95" i="1" s="1"/>
  <c r="A95" i="1"/>
  <c r="L94" i="1"/>
  <c r="B94" i="1"/>
  <c r="A94" i="1"/>
  <c r="L93" i="1"/>
  <c r="B93" i="1"/>
  <c r="A93" i="1"/>
  <c r="L92" i="1"/>
  <c r="B92" i="1"/>
  <c r="C92" i="1" s="1"/>
  <c r="E92" i="1" s="1"/>
  <c r="A92" i="1"/>
  <c r="L91" i="1"/>
  <c r="B91" i="1"/>
  <c r="C91" i="1" s="1"/>
  <c r="E91" i="1" s="1"/>
  <c r="A91" i="1"/>
  <c r="L90" i="1"/>
  <c r="B90" i="1"/>
  <c r="A90" i="1"/>
  <c r="L89" i="1"/>
  <c r="B89" i="1"/>
  <c r="D89" i="1" s="1"/>
  <c r="K89" i="1" s="1"/>
  <c r="A89" i="1"/>
  <c r="L88" i="1"/>
  <c r="B88" i="1"/>
  <c r="A88" i="1"/>
  <c r="L87" i="1"/>
  <c r="B87" i="1"/>
  <c r="D87" i="1" s="1"/>
  <c r="K87" i="1" s="1"/>
  <c r="A87" i="1"/>
  <c r="L86" i="1"/>
  <c r="B86" i="1"/>
  <c r="A86" i="1"/>
  <c r="N85" i="1"/>
  <c r="M85" i="1"/>
  <c r="L85" i="1"/>
  <c r="B85" i="1"/>
  <c r="G85" i="1" s="1"/>
  <c r="H85" i="1" s="1"/>
  <c r="A85" i="1"/>
  <c r="N84" i="1"/>
  <c r="M84" i="1"/>
  <c r="L84" i="1"/>
  <c r="B84" i="1"/>
  <c r="D84" i="1" s="1"/>
  <c r="K84" i="1" s="1"/>
  <c r="A84" i="1"/>
  <c r="M83" i="1"/>
  <c r="L83" i="1"/>
  <c r="B83" i="1"/>
  <c r="D83" i="1" s="1"/>
  <c r="K83" i="1" s="1"/>
  <c r="A83" i="1"/>
  <c r="M82" i="1"/>
  <c r="L82" i="1"/>
  <c r="B82" i="1"/>
  <c r="G82" i="1" s="1"/>
  <c r="H82" i="1" s="1"/>
  <c r="A82" i="1"/>
  <c r="L81" i="1"/>
  <c r="B81" i="1"/>
  <c r="C81" i="1" s="1"/>
  <c r="A81" i="1"/>
  <c r="L80" i="1"/>
  <c r="B80" i="1"/>
  <c r="G80" i="1" s="1"/>
  <c r="H80" i="1" s="1"/>
  <c r="A80" i="1"/>
  <c r="L79" i="1"/>
  <c r="B79" i="1"/>
  <c r="G79" i="1" s="1"/>
  <c r="A79" i="1"/>
  <c r="N78" i="1"/>
  <c r="M78" i="1"/>
  <c r="L78" i="1"/>
  <c r="B78" i="1"/>
  <c r="A78" i="1"/>
  <c r="L77" i="1"/>
  <c r="B77" i="1"/>
  <c r="D77" i="1" s="1"/>
  <c r="K77" i="1" s="1"/>
  <c r="A77" i="1"/>
  <c r="N76" i="1"/>
  <c r="M76" i="1"/>
  <c r="L76" i="1"/>
  <c r="B76" i="1"/>
  <c r="G76" i="1" s="1"/>
  <c r="A76" i="1"/>
  <c r="M75" i="1"/>
  <c r="L75" i="1"/>
  <c r="B75" i="1"/>
  <c r="A75" i="1"/>
  <c r="L74" i="1"/>
  <c r="B74" i="1"/>
  <c r="D74" i="1" s="1"/>
  <c r="K74" i="1" s="1"/>
  <c r="A74" i="1"/>
  <c r="L73" i="1"/>
  <c r="B73" i="1"/>
  <c r="D73" i="1" s="1"/>
  <c r="K73" i="1" s="1"/>
  <c r="A73" i="1"/>
  <c r="L72" i="1"/>
  <c r="B72" i="1"/>
  <c r="D72" i="1" s="1"/>
  <c r="K72" i="1" s="1"/>
  <c r="A72" i="1"/>
  <c r="L71" i="1"/>
  <c r="B71" i="1"/>
  <c r="A71" i="1"/>
  <c r="L70" i="1"/>
  <c r="B70" i="1"/>
  <c r="D70" i="1" s="1"/>
  <c r="K70" i="1" s="1"/>
  <c r="A70" i="1"/>
  <c r="L69" i="1"/>
  <c r="B69" i="1"/>
  <c r="D69" i="1" s="1"/>
  <c r="K69" i="1" s="1"/>
  <c r="A69" i="1"/>
  <c r="L68" i="1"/>
  <c r="B68" i="1"/>
  <c r="D68" i="1" s="1"/>
  <c r="K68" i="1" s="1"/>
  <c r="A68" i="1"/>
  <c r="L67" i="1"/>
  <c r="B67" i="1"/>
  <c r="A67" i="1"/>
  <c r="L66" i="1"/>
  <c r="B66" i="1"/>
  <c r="D66" i="1" s="1"/>
  <c r="K66" i="1" s="1"/>
  <c r="A66" i="1"/>
  <c r="L65" i="1"/>
  <c r="B65" i="1"/>
  <c r="D65" i="1" s="1"/>
  <c r="K65" i="1" s="1"/>
  <c r="A65" i="1"/>
  <c r="L64" i="1"/>
  <c r="B64" i="1"/>
  <c r="A64" i="1"/>
  <c r="M63" i="1"/>
  <c r="L63" i="1"/>
  <c r="B63" i="1"/>
  <c r="G63" i="1" s="1"/>
  <c r="A63" i="1"/>
  <c r="L62" i="1"/>
  <c r="B62" i="1"/>
  <c r="D62" i="1" s="1"/>
  <c r="K62" i="1" s="1"/>
  <c r="A62" i="1"/>
  <c r="L61" i="1"/>
  <c r="B61" i="1"/>
  <c r="G61" i="1" s="1"/>
  <c r="A61" i="1"/>
  <c r="L60" i="1"/>
  <c r="B60" i="1"/>
  <c r="D60" i="1" s="1"/>
  <c r="K60" i="1" s="1"/>
  <c r="A60" i="1"/>
  <c r="L59" i="1"/>
  <c r="B59" i="1"/>
  <c r="G59" i="1" s="1"/>
  <c r="A59" i="1"/>
  <c r="L58" i="1"/>
  <c r="B58" i="1"/>
  <c r="D58" i="1" s="1"/>
  <c r="K58" i="1" s="1"/>
  <c r="A58" i="1"/>
  <c r="L57" i="1"/>
  <c r="B57" i="1"/>
  <c r="G57" i="1" s="1"/>
  <c r="A57" i="1"/>
  <c r="M56" i="1"/>
  <c r="L56" i="1"/>
  <c r="B56" i="1"/>
  <c r="G56" i="1" s="1"/>
  <c r="H56" i="1" s="1"/>
  <c r="J56" i="1" s="1"/>
  <c r="A56" i="1"/>
  <c r="M55" i="1"/>
  <c r="L55" i="1"/>
  <c r="B55" i="1"/>
  <c r="A55" i="1"/>
  <c r="L54" i="1"/>
  <c r="B54" i="1"/>
  <c r="A54" i="1"/>
  <c r="M53" i="1"/>
  <c r="L53" i="1"/>
  <c r="B53" i="1"/>
  <c r="A53" i="1"/>
  <c r="L52" i="1"/>
  <c r="B52" i="1"/>
  <c r="A52" i="1"/>
  <c r="L51" i="1"/>
  <c r="B51" i="1"/>
  <c r="A51" i="1"/>
  <c r="L50" i="1"/>
  <c r="B50" i="1"/>
  <c r="A50" i="1"/>
  <c r="L49" i="1"/>
  <c r="B49" i="1"/>
  <c r="A49" i="1"/>
  <c r="L48" i="1"/>
  <c r="B48" i="1"/>
  <c r="D48" i="1" s="1"/>
  <c r="K48" i="1" s="1"/>
  <c r="A48" i="1"/>
  <c r="L47" i="1"/>
  <c r="B47" i="1"/>
  <c r="G47" i="1" s="1"/>
  <c r="A47" i="1"/>
  <c r="L46" i="1"/>
  <c r="B46" i="1"/>
  <c r="C46" i="1" s="1"/>
  <c r="A46" i="1"/>
  <c r="L45" i="1"/>
  <c r="B45" i="1"/>
  <c r="G45" i="1" s="1"/>
  <c r="H45" i="1" s="1"/>
  <c r="F45" i="1" s="1"/>
  <c r="A45" i="1"/>
  <c r="L44" i="1"/>
  <c r="B44" i="1"/>
  <c r="A44" i="1"/>
  <c r="L43" i="1"/>
  <c r="B43" i="1"/>
  <c r="G43" i="1" s="1"/>
  <c r="H43" i="1" s="1"/>
  <c r="J43" i="1" s="1"/>
  <c r="A43" i="1"/>
  <c r="L42" i="1"/>
  <c r="B42" i="1"/>
  <c r="C42" i="1" s="1"/>
  <c r="A42" i="1"/>
  <c r="L41" i="1"/>
  <c r="B41" i="1"/>
  <c r="A41" i="1"/>
  <c r="L40" i="1"/>
  <c r="B40" i="1"/>
  <c r="D40" i="1" s="1"/>
  <c r="K40" i="1" s="1"/>
  <c r="A40" i="1"/>
  <c r="L39" i="1"/>
  <c r="B39" i="1"/>
  <c r="G39" i="1" s="1"/>
  <c r="A39" i="1"/>
  <c r="L38" i="1"/>
  <c r="B38" i="1"/>
  <c r="A38" i="1"/>
  <c r="L37" i="1"/>
  <c r="B37" i="1"/>
  <c r="A37" i="1"/>
  <c r="L36" i="1"/>
  <c r="B36" i="1"/>
  <c r="A36" i="1"/>
  <c r="M35" i="1"/>
  <c r="L35" i="1"/>
  <c r="B35" i="1"/>
  <c r="D35" i="1" s="1"/>
  <c r="K35" i="1" s="1"/>
  <c r="A35" i="1"/>
  <c r="M34" i="1"/>
  <c r="L34" i="1"/>
  <c r="B34" i="1"/>
  <c r="A34" i="1"/>
  <c r="N33" i="1"/>
  <c r="M33" i="1"/>
  <c r="L33" i="1"/>
  <c r="B33" i="1"/>
  <c r="C33" i="1" s="1"/>
  <c r="A33" i="1"/>
  <c r="M32" i="1"/>
  <c r="L32" i="1"/>
  <c r="B32" i="1"/>
  <c r="D32" i="1" s="1"/>
  <c r="K32" i="1" s="1"/>
  <c r="A32" i="1"/>
  <c r="M31" i="1"/>
  <c r="L31" i="1"/>
  <c r="B31" i="1"/>
  <c r="C31" i="1" s="1"/>
  <c r="E31" i="1" s="1"/>
  <c r="A31" i="1"/>
  <c r="L30" i="1"/>
  <c r="B30" i="1"/>
  <c r="G30" i="1" s="1"/>
  <c r="H30" i="1" s="1"/>
  <c r="A30" i="1"/>
  <c r="O29" i="1"/>
  <c r="N29" i="1"/>
  <c r="M29" i="1"/>
  <c r="L29" i="1"/>
  <c r="B29" i="1"/>
  <c r="D29" i="1" s="1"/>
  <c r="K29" i="1" s="1"/>
  <c r="A29" i="1"/>
  <c r="O28" i="1"/>
  <c r="N28" i="1"/>
  <c r="M28" i="1"/>
  <c r="L28" i="1"/>
  <c r="B28" i="1"/>
  <c r="G28" i="1" s="1"/>
  <c r="A28" i="1"/>
  <c r="L27" i="1"/>
  <c r="B27" i="1"/>
  <c r="C27" i="1" s="1"/>
  <c r="A27" i="1"/>
  <c r="L26" i="1"/>
  <c r="B26" i="1"/>
  <c r="G26" i="1" s="1"/>
  <c r="H26" i="1" s="1"/>
  <c r="A26" i="1"/>
  <c r="L25" i="1"/>
  <c r="B25" i="1"/>
  <c r="A25" i="1"/>
  <c r="L24" i="1"/>
  <c r="B24" i="1"/>
  <c r="G24" i="1" s="1"/>
  <c r="H24" i="1" s="1"/>
  <c r="A24" i="1"/>
  <c r="L23" i="1"/>
  <c r="B23" i="1"/>
  <c r="D23" i="1" s="1"/>
  <c r="K23" i="1" s="1"/>
  <c r="A23" i="1"/>
  <c r="L22" i="1"/>
  <c r="B22" i="1"/>
  <c r="G22" i="1" s="1"/>
  <c r="A22" i="1"/>
  <c r="M21" i="1"/>
  <c r="L21" i="1"/>
  <c r="B21" i="1"/>
  <c r="A21" i="1"/>
  <c r="L20" i="1"/>
  <c r="B20" i="1"/>
  <c r="D20" i="1" s="1"/>
  <c r="K20" i="1" s="1"/>
  <c r="A20" i="1"/>
  <c r="N19" i="1"/>
  <c r="M19" i="1"/>
  <c r="L19" i="1"/>
  <c r="B19" i="1"/>
  <c r="D19" i="1" s="1"/>
  <c r="K19" i="1" s="1"/>
  <c r="A19" i="1"/>
  <c r="M18" i="1"/>
  <c r="L18" i="1"/>
  <c r="B18" i="1"/>
  <c r="D18" i="1" s="1"/>
  <c r="K18" i="1" s="1"/>
  <c r="A18" i="1"/>
  <c r="L17" i="1"/>
  <c r="B17" i="1"/>
  <c r="G17" i="1" s="1"/>
  <c r="A17" i="1"/>
  <c r="L16" i="1"/>
  <c r="B16" i="1"/>
  <c r="D16" i="1" s="1"/>
  <c r="K16" i="1" s="1"/>
  <c r="A16" i="1"/>
  <c r="O15" i="1"/>
  <c r="N15" i="1"/>
  <c r="M15" i="1"/>
  <c r="L15" i="1"/>
  <c r="B15" i="1"/>
  <c r="C15" i="1" s="1"/>
  <c r="E15" i="1" s="1"/>
  <c r="A15" i="1"/>
  <c r="N14" i="1"/>
  <c r="M14" i="1"/>
  <c r="L14" i="1"/>
  <c r="B14" i="1"/>
  <c r="A14" i="1"/>
  <c r="L13" i="1"/>
  <c r="B13" i="1"/>
  <c r="D13" i="1" s="1"/>
  <c r="K13" i="1" s="1"/>
  <c r="A13" i="1"/>
  <c r="N12" i="1"/>
  <c r="M12" i="1"/>
  <c r="L12" i="1"/>
  <c r="B12" i="1"/>
  <c r="G12" i="1" s="1"/>
  <c r="H12" i="1" s="1"/>
  <c r="A12" i="1"/>
  <c r="M11" i="1"/>
  <c r="L11" i="1"/>
  <c r="B11" i="1"/>
  <c r="G11" i="1" s="1"/>
  <c r="H11" i="1" s="1"/>
  <c r="J11" i="1" s="1"/>
  <c r="A11" i="1"/>
  <c r="N10" i="1"/>
  <c r="M10" i="1"/>
  <c r="L10" i="1"/>
  <c r="B10" i="1"/>
  <c r="D10" i="1" s="1"/>
  <c r="K10" i="1" s="1"/>
  <c r="A10" i="1"/>
  <c r="L9" i="1"/>
  <c r="B9" i="1"/>
  <c r="D9" i="1" s="1"/>
  <c r="K9" i="1" s="1"/>
  <c r="A9" i="1"/>
  <c r="N8" i="1"/>
  <c r="M8" i="1"/>
  <c r="L8" i="1"/>
  <c r="B8" i="1"/>
  <c r="G8" i="1" s="1"/>
  <c r="H8" i="1" s="1"/>
  <c r="J8" i="1" s="1"/>
  <c r="A8" i="1"/>
  <c r="M7" i="1"/>
  <c r="L7" i="1"/>
  <c r="B7" i="1"/>
  <c r="A7" i="1"/>
  <c r="M6" i="1"/>
  <c r="L6" i="1"/>
  <c r="B6" i="1"/>
  <c r="G6" i="1" s="1"/>
  <c r="A6" i="1"/>
  <c r="M5" i="1"/>
  <c r="L5" i="1"/>
  <c r="B5" i="1"/>
  <c r="C5" i="1" s="1"/>
  <c r="E5" i="1" s="1"/>
  <c r="A5" i="1"/>
  <c r="M4" i="1"/>
  <c r="L4" i="1"/>
  <c r="B4" i="1"/>
  <c r="G4" i="1" s="1"/>
  <c r="A4" i="1"/>
  <c r="M3" i="1"/>
  <c r="L3" i="1"/>
  <c r="B3" i="1"/>
  <c r="A3" i="1"/>
  <c r="B2" i="1"/>
  <c r="A2" i="1"/>
  <c r="B1" i="1"/>
  <c r="A1" i="1"/>
  <c r="J3" i="2" l="1"/>
  <c r="I3" i="2" s="1"/>
  <c r="F127" i="2"/>
  <c r="F139" i="2"/>
  <c r="F328" i="2"/>
  <c r="F38" i="2"/>
  <c r="F32" i="2"/>
  <c r="F491" i="2"/>
  <c r="F66" i="2"/>
  <c r="I91" i="2"/>
  <c r="F534" i="2"/>
  <c r="F91" i="2"/>
  <c r="F4" i="2"/>
  <c r="F159" i="2"/>
  <c r="F23" i="2"/>
  <c r="F358" i="2"/>
  <c r="F238" i="2"/>
  <c r="F481" i="2"/>
  <c r="D3" i="2"/>
  <c r="K3" i="2" s="1"/>
  <c r="F339" i="2"/>
  <c r="F326" i="2"/>
  <c r="I481" i="2"/>
  <c r="F27" i="2"/>
  <c r="F140" i="2"/>
  <c r="F565" i="2"/>
  <c r="F39" i="2"/>
  <c r="J314" i="2"/>
  <c r="I314" i="2" s="1"/>
  <c r="F307" i="2"/>
  <c r="F278" i="2"/>
  <c r="J157" i="2"/>
  <c r="I157" i="2" s="1"/>
  <c r="F35" i="2"/>
  <c r="F285" i="2"/>
  <c r="J201" i="2"/>
  <c r="I201" i="2" s="1"/>
  <c r="I66" i="2"/>
  <c r="J161" i="2"/>
  <c r="I161" i="2" s="1"/>
  <c r="F60" i="2"/>
  <c r="F95" i="2"/>
  <c r="J291" i="2"/>
  <c r="I291" i="2" s="1"/>
  <c r="F185" i="2"/>
  <c r="F172" i="2"/>
  <c r="F147" i="2"/>
  <c r="J147" i="2"/>
  <c r="I147" i="2" s="1"/>
  <c r="F257" i="2"/>
  <c r="F57" i="2"/>
  <c r="F245" i="2"/>
  <c r="F92" i="2"/>
  <c r="F188" i="2"/>
  <c r="I92" i="2"/>
  <c r="J406" i="2"/>
  <c r="I406" i="2" s="1"/>
  <c r="F20" i="2"/>
  <c r="F52" i="2"/>
  <c r="F11" i="2"/>
  <c r="F182" i="2"/>
  <c r="F567" i="2"/>
  <c r="F403" i="2"/>
  <c r="J273" i="2"/>
  <c r="I273" i="2" s="1"/>
  <c r="F312" i="2"/>
  <c r="J167" i="2"/>
  <c r="I167" i="2" s="1"/>
  <c r="I562" i="2"/>
  <c r="F562" i="2"/>
  <c r="I403" i="2"/>
  <c r="F292" i="2"/>
  <c r="J603" i="2"/>
  <c r="I603" i="2" s="1"/>
  <c r="F440" i="2"/>
  <c r="F227" i="2"/>
  <c r="F16" i="2"/>
  <c r="I574" i="2"/>
  <c r="F231" i="2"/>
  <c r="D448" i="1"/>
  <c r="K448" i="1" s="1"/>
  <c r="F46" i="2"/>
  <c r="J46" i="2"/>
  <c r="I46" i="2" s="1"/>
  <c r="F620" i="2"/>
  <c r="F262" i="2"/>
  <c r="F279" i="2"/>
  <c r="F251" i="2"/>
  <c r="I149" i="2"/>
  <c r="F77" i="2"/>
  <c r="F13" i="2"/>
  <c r="J13" i="2"/>
  <c r="I13" i="2" s="1"/>
  <c r="F229" i="2"/>
  <c r="J102" i="2"/>
  <c r="I102" i="2" s="1"/>
  <c r="F79" i="2"/>
  <c r="F174" i="2"/>
  <c r="D31" i="1"/>
  <c r="K31" i="1" s="1"/>
  <c r="D650" i="1"/>
  <c r="K650" i="1" s="1"/>
  <c r="J587" i="2"/>
  <c r="I587" i="2" s="1"/>
  <c r="F501" i="2"/>
  <c r="F183" i="2"/>
  <c r="F502" i="2"/>
  <c r="F165" i="2"/>
  <c r="G114" i="1"/>
  <c r="H114" i="1" s="1"/>
  <c r="J114" i="1" s="1"/>
  <c r="F466" i="2"/>
  <c r="F290" i="2"/>
  <c r="I42" i="2"/>
  <c r="F42" i="2"/>
  <c r="F304" i="2"/>
  <c r="F47" i="2"/>
  <c r="F76" i="2"/>
  <c r="F103" i="2"/>
  <c r="G169" i="1"/>
  <c r="H169" i="1" s="1"/>
  <c r="J169" i="1" s="1"/>
  <c r="I169" i="1" s="1"/>
  <c r="J452" i="2"/>
  <c r="I452" i="2" s="1"/>
  <c r="J301" i="2"/>
  <c r="F274" i="2"/>
  <c r="F177" i="2"/>
  <c r="F408" i="2"/>
  <c r="F234" i="2"/>
  <c r="J234" i="2"/>
  <c r="I234" i="2" s="1"/>
  <c r="J168" i="2"/>
  <c r="I168" i="2" s="1"/>
  <c r="F168" i="2"/>
  <c r="F583" i="2"/>
  <c r="J583" i="2"/>
  <c r="I583" i="2" s="1"/>
  <c r="F64" i="2"/>
  <c r="J64" i="2"/>
  <c r="I64" i="2" s="1"/>
  <c r="J283" i="2"/>
  <c r="I283" i="2" s="1"/>
  <c r="F283" i="2"/>
  <c r="F539" i="2"/>
  <c r="J539" i="2"/>
  <c r="I539" i="2" s="1"/>
  <c r="F322" i="2"/>
  <c r="J322" i="2"/>
  <c r="I322" i="2" s="1"/>
  <c r="J462" i="2"/>
  <c r="I462" i="2" s="1"/>
  <c r="J533" i="2"/>
  <c r="I533" i="2" s="1"/>
  <c r="F533" i="2"/>
  <c r="F537" i="2"/>
  <c r="J306" i="2"/>
  <c r="I306" i="2" s="1"/>
  <c r="F293" i="2"/>
  <c r="J225" i="2"/>
  <c r="I225" i="2" s="1"/>
  <c r="J652" i="2"/>
  <c r="I652" i="2" s="1"/>
  <c r="F552" i="2"/>
  <c r="I463" i="2"/>
  <c r="F320" i="2"/>
  <c r="F73" i="2"/>
  <c r="F50" i="2"/>
  <c r="H211" i="2"/>
  <c r="J211" i="2" s="1"/>
  <c r="I211" i="2" s="1"/>
  <c r="I440" i="2"/>
  <c r="F40" i="2"/>
  <c r="G103" i="1"/>
  <c r="H103" i="1" s="1"/>
  <c r="J103" i="1" s="1"/>
  <c r="I103" i="1" s="1"/>
  <c r="J459" i="2"/>
  <c r="I459" i="2" s="1"/>
  <c r="F392" i="2"/>
  <c r="F315" i="2"/>
  <c r="F255" i="2"/>
  <c r="F163" i="2"/>
  <c r="F48" i="2"/>
  <c r="F574" i="2"/>
  <c r="F71" i="2"/>
  <c r="J400" i="2"/>
  <c r="I400" i="2" s="1"/>
  <c r="F310" i="2"/>
  <c r="J48" i="2"/>
  <c r="I48" i="2" s="1"/>
  <c r="J650" i="2"/>
  <c r="I650" i="2" s="1"/>
  <c r="J644" i="2"/>
  <c r="I644" i="2" s="1"/>
  <c r="I612" i="2"/>
  <c r="F189" i="2"/>
  <c r="J99" i="2"/>
  <c r="I99" i="2" s="1"/>
  <c r="F463" i="2"/>
  <c r="I307" i="2"/>
  <c r="I570" i="2"/>
  <c r="F581" i="2"/>
  <c r="F570" i="2"/>
  <c r="F261" i="2"/>
  <c r="J286" i="2"/>
  <c r="I286" i="2" s="1"/>
  <c r="F223" i="2"/>
  <c r="F14" i="2"/>
  <c r="F44" i="2"/>
  <c r="F327" i="2"/>
  <c r="F464" i="2"/>
  <c r="J464" i="2"/>
  <c r="I464" i="2" s="1"/>
  <c r="J200" i="2"/>
  <c r="I200" i="2" s="1"/>
  <c r="F200" i="2"/>
  <c r="F324" i="2"/>
  <c r="J324" i="2"/>
  <c r="I324" i="2" s="1"/>
  <c r="J378" i="2"/>
  <c r="I378" i="2" s="1"/>
  <c r="F378" i="2"/>
  <c r="J657" i="2"/>
  <c r="I657" i="2" s="1"/>
  <c r="F657" i="2"/>
  <c r="J226" i="2"/>
  <c r="I226" i="2" s="1"/>
  <c r="F226" i="2"/>
  <c r="F24" i="2"/>
  <c r="J24" i="2"/>
  <c r="I24" i="2" s="1"/>
  <c r="F447" i="2"/>
  <c r="J447" i="2"/>
  <c r="I447" i="2" s="1"/>
  <c r="J323" i="2"/>
  <c r="I323" i="2" s="1"/>
  <c r="F323" i="2"/>
  <c r="J258" i="2"/>
  <c r="I258" i="2" s="1"/>
  <c r="F258" i="2"/>
  <c r="F317" i="2"/>
  <c r="J317" i="2"/>
  <c r="I317" i="2" s="1"/>
  <c r="J106" i="2"/>
  <c r="I106" i="2" s="1"/>
  <c r="G242" i="1"/>
  <c r="C500" i="1"/>
  <c r="E500" i="1" s="1"/>
  <c r="F409" i="2"/>
  <c r="J287" i="2"/>
  <c r="I287" i="2" s="1"/>
  <c r="F218" i="2"/>
  <c r="F106" i="2"/>
  <c r="J19" i="2"/>
  <c r="I19" i="2" s="1"/>
  <c r="J22" i="2"/>
  <c r="I22" i="2" s="1"/>
  <c r="J25" i="2"/>
  <c r="I25" i="2" s="1"/>
  <c r="F37" i="2"/>
  <c r="F53" i="2"/>
  <c r="H271" i="2"/>
  <c r="J271" i="2" s="1"/>
  <c r="I271" i="2" s="1"/>
  <c r="H550" i="2"/>
  <c r="F550" i="2" s="1"/>
  <c r="D76" i="1"/>
  <c r="K76" i="1" s="1"/>
  <c r="C151" i="1"/>
  <c r="E151" i="1" s="1"/>
  <c r="J618" i="2"/>
  <c r="I618" i="2" s="1"/>
  <c r="F507" i="2"/>
  <c r="J454" i="2"/>
  <c r="I454" i="2" s="1"/>
  <c r="J460" i="2"/>
  <c r="I460" i="2" s="1"/>
  <c r="F316" i="2"/>
  <c r="F195" i="2"/>
  <c r="F178" i="2"/>
  <c r="H308" i="2"/>
  <c r="J308" i="2" s="1"/>
  <c r="I308" i="2" s="1"/>
  <c r="F17" i="2"/>
  <c r="J142" i="2"/>
  <c r="I142" i="2" s="1"/>
  <c r="F28" i="2"/>
  <c r="F541" i="2"/>
  <c r="F321" i="2"/>
  <c r="F216" i="2"/>
  <c r="H113" i="2"/>
  <c r="J113" i="2" s="1"/>
  <c r="F275" i="2"/>
  <c r="G182" i="1"/>
  <c r="H182" i="1" s="1"/>
  <c r="J182" i="1" s="1"/>
  <c r="J104" i="2"/>
  <c r="I104" i="2" s="1"/>
  <c r="D198" i="1"/>
  <c r="K198" i="1" s="1"/>
  <c r="C530" i="1"/>
  <c r="E530" i="1" s="1"/>
  <c r="F653" i="2"/>
  <c r="I614" i="2"/>
  <c r="F623" i="2"/>
  <c r="J599" i="2"/>
  <c r="I599" i="2" s="1"/>
  <c r="J450" i="2"/>
  <c r="I450" i="2" s="1"/>
  <c r="F436" i="2"/>
  <c r="F559" i="2"/>
  <c r="F89" i="2"/>
  <c r="J89" i="2"/>
  <c r="I89" i="2" s="1"/>
  <c r="D250" i="1"/>
  <c r="K250" i="1" s="1"/>
  <c r="I544" i="2"/>
  <c r="F538" i="2"/>
  <c r="F214" i="2"/>
  <c r="F143" i="2"/>
  <c r="J78" i="2"/>
  <c r="I78" i="2" s="1"/>
  <c r="J249" i="2"/>
  <c r="I249" i="2" s="1"/>
  <c r="C76" i="1"/>
  <c r="E76" i="1" s="1"/>
  <c r="E250" i="1"/>
  <c r="D275" i="1"/>
  <c r="K275" i="1" s="1"/>
  <c r="I541" i="2"/>
  <c r="J492" i="2"/>
  <c r="I492" i="2" s="1"/>
  <c r="F540" i="2"/>
  <c r="J387" i="2"/>
  <c r="I387" i="2" s="1"/>
  <c r="F300" i="2"/>
  <c r="F192" i="2"/>
  <c r="I72" i="2"/>
  <c r="F72" i="2"/>
  <c r="F25" i="2"/>
  <c r="J643" i="2"/>
  <c r="I643" i="2" s="1"/>
  <c r="H153" i="2"/>
  <c r="J153" i="2" s="1"/>
  <c r="I153" i="2" s="1"/>
  <c r="C221" i="1"/>
  <c r="E221" i="1" s="1"/>
  <c r="C297" i="1"/>
  <c r="E297" i="1" s="1"/>
  <c r="D322" i="1"/>
  <c r="K322" i="1" s="1"/>
  <c r="C523" i="1"/>
  <c r="E523" i="1" s="1"/>
  <c r="D528" i="1"/>
  <c r="K528" i="1" s="1"/>
  <c r="G604" i="1"/>
  <c r="H604" i="1" s="1"/>
  <c r="J604" i="1" s="1"/>
  <c r="I604" i="1" s="1"/>
  <c r="D609" i="1"/>
  <c r="K609" i="1" s="1"/>
  <c r="G643" i="1"/>
  <c r="H643" i="1" s="1"/>
  <c r="J643" i="1" s="1"/>
  <c r="H598" i="2"/>
  <c r="J598" i="2" s="1"/>
  <c r="F548" i="2"/>
  <c r="H647" i="2"/>
  <c r="F647" i="2" s="1"/>
  <c r="H569" i="2"/>
  <c r="J569" i="2" s="1"/>
  <c r="I569" i="2" s="1"/>
  <c r="F536" i="2"/>
  <c r="F519" i="2"/>
  <c r="J148" i="2"/>
  <c r="I148" i="2" s="1"/>
  <c r="H84" i="2"/>
  <c r="F84" i="2" s="1"/>
  <c r="F457" i="2"/>
  <c r="J457" i="2"/>
  <c r="I457" i="2" s="1"/>
  <c r="J21" i="2"/>
  <c r="I21" i="2" s="1"/>
  <c r="D221" i="1"/>
  <c r="K221" i="1" s="1"/>
  <c r="J616" i="2"/>
  <c r="I616" i="2" s="1"/>
  <c r="F616" i="2"/>
  <c r="H543" i="2"/>
  <c r="H230" i="2"/>
  <c r="J230" i="2" s="1"/>
  <c r="H6" i="2"/>
  <c r="F6" i="2" s="1"/>
  <c r="J660" i="2"/>
  <c r="I660" i="2" s="1"/>
  <c r="F660" i="2"/>
  <c r="H264" i="2"/>
  <c r="J264" i="2" s="1"/>
  <c r="I264" i="2" s="1"/>
  <c r="J45" i="2"/>
  <c r="I45" i="2" s="1"/>
  <c r="F45" i="2"/>
  <c r="F282" i="2"/>
  <c r="J282" i="2"/>
  <c r="I282" i="2" s="1"/>
  <c r="C62" i="1"/>
  <c r="E62" i="1" s="1"/>
  <c r="D182" i="1"/>
  <c r="K182" i="1" s="1"/>
  <c r="G235" i="1"/>
  <c r="H235" i="1" s="1"/>
  <c r="D242" i="1"/>
  <c r="K242" i="1" s="1"/>
  <c r="D424" i="1"/>
  <c r="K424" i="1" s="1"/>
  <c r="G429" i="1"/>
  <c r="H429" i="1" s="1"/>
  <c r="F429" i="1" s="1"/>
  <c r="G508" i="1"/>
  <c r="H508" i="1" s="1"/>
  <c r="J508" i="1" s="1"/>
  <c r="I508" i="1" s="1"/>
  <c r="C557" i="1"/>
  <c r="E557" i="1" s="1"/>
  <c r="H611" i="2"/>
  <c r="J611" i="2" s="1"/>
  <c r="I611" i="2" s="1"/>
  <c r="J556" i="2"/>
  <c r="I556" i="2" s="1"/>
  <c r="J354" i="2"/>
  <c r="I354" i="2" s="1"/>
  <c r="J103" i="2"/>
  <c r="I103" i="2" s="1"/>
  <c r="F170" i="2"/>
  <c r="J170" i="2"/>
  <c r="I170" i="2" s="1"/>
  <c r="F205" i="2"/>
  <c r="J205" i="2"/>
  <c r="I205" i="2" s="1"/>
  <c r="H530" i="2"/>
  <c r="J530" i="2" s="1"/>
  <c r="H294" i="2"/>
  <c r="J294" i="2" s="1"/>
  <c r="I294" i="2" s="1"/>
  <c r="H207" i="2"/>
  <c r="J207" i="2" s="1"/>
  <c r="I207" i="2" s="1"/>
  <c r="H297" i="2"/>
  <c r="J297" i="2" s="1"/>
  <c r="I297" i="2" s="1"/>
  <c r="F254" i="2"/>
  <c r="J254" i="2"/>
  <c r="I254" i="2" s="1"/>
  <c r="H247" i="2"/>
  <c r="F247" i="2" s="1"/>
  <c r="H7" i="2"/>
  <c r="D149" i="1"/>
  <c r="K149" i="1" s="1"/>
  <c r="C296" i="1"/>
  <c r="E296" i="1" s="1"/>
  <c r="D420" i="1"/>
  <c r="K420" i="1" s="1"/>
  <c r="C475" i="1"/>
  <c r="E475" i="1" s="1"/>
  <c r="D534" i="1"/>
  <c r="K534" i="1" s="1"/>
  <c r="D642" i="1"/>
  <c r="K642" i="1" s="1"/>
  <c r="H651" i="2"/>
  <c r="J651" i="2" s="1"/>
  <c r="I651" i="2" s="1"/>
  <c r="F627" i="2"/>
  <c r="H421" i="2"/>
  <c r="J421" i="2" s="1"/>
  <c r="I421" i="2" s="1"/>
  <c r="F412" i="2"/>
  <c r="J412" i="2"/>
  <c r="I412" i="2" s="1"/>
  <c r="D475" i="1"/>
  <c r="K475" i="1" s="1"/>
  <c r="H593" i="2"/>
  <c r="H509" i="2"/>
  <c r="F509" i="2" s="1"/>
  <c r="H186" i="2"/>
  <c r="F186" i="2" s="1"/>
  <c r="J65" i="2"/>
  <c r="I65" i="2" s="1"/>
  <c r="F65" i="2"/>
  <c r="J410" i="2"/>
  <c r="I410" i="2" s="1"/>
  <c r="F410" i="2"/>
  <c r="J542" i="2"/>
  <c r="I542" i="2" s="1"/>
  <c r="J236" i="2"/>
  <c r="I236" i="2" s="1"/>
  <c r="F236" i="2"/>
  <c r="H203" i="2"/>
  <c r="J203" i="2" s="1"/>
  <c r="I203" i="2" s="1"/>
  <c r="H36" i="2"/>
  <c r="F36" i="2" s="1"/>
  <c r="F504" i="2"/>
  <c r="J504" i="2"/>
  <c r="I504" i="2" s="1"/>
  <c r="F404" i="2"/>
  <c r="J404" i="2"/>
  <c r="I404" i="2" s="1"/>
  <c r="F109" i="2"/>
  <c r="J109" i="2"/>
  <c r="I109" i="2" s="1"/>
  <c r="J341" i="2"/>
  <c r="I341" i="2" s="1"/>
  <c r="F341" i="2"/>
  <c r="D79" i="1"/>
  <c r="K79" i="1" s="1"/>
  <c r="D103" i="1"/>
  <c r="K103" i="1" s="1"/>
  <c r="C163" i="1"/>
  <c r="E163" i="1" s="1"/>
  <c r="D336" i="1"/>
  <c r="K336" i="1" s="1"/>
  <c r="H622" i="2"/>
  <c r="F622" i="2" s="1"/>
  <c r="H512" i="2"/>
  <c r="F512" i="2" s="1"/>
  <c r="F495" i="2"/>
  <c r="J495" i="2"/>
  <c r="I495" i="2" s="1"/>
  <c r="J467" i="2"/>
  <c r="I467" i="2" s="1"/>
  <c r="F467" i="2"/>
  <c r="F642" i="2"/>
  <c r="J642" i="2"/>
  <c r="I642" i="2" s="1"/>
  <c r="H59" i="2"/>
  <c r="J59" i="2" s="1"/>
  <c r="I59" i="2" s="1"/>
  <c r="F194" i="2"/>
  <c r="F516" i="2"/>
  <c r="F564" i="2"/>
  <c r="J372" i="2"/>
  <c r="I372" i="2" s="1"/>
  <c r="F435" i="2"/>
  <c r="H346" i="2"/>
  <c r="F346" i="2" s="1"/>
  <c r="F335" i="2"/>
  <c r="F390" i="2"/>
  <c r="F237" i="2"/>
  <c r="F241" i="2"/>
  <c r="F158" i="2"/>
  <c r="F70" i="2"/>
  <c r="H259" i="2"/>
  <c r="F259" i="2" s="1"/>
  <c r="F86" i="2"/>
  <c r="H51" i="2"/>
  <c r="J51" i="2" s="1"/>
  <c r="I51" i="2" s="1"/>
  <c r="F643" i="2"/>
  <c r="F582" i="2"/>
  <c r="F634" i="2"/>
  <c r="F520" i="2"/>
  <c r="F311" i="2"/>
  <c r="J240" i="2"/>
  <c r="I240" i="2" s="1"/>
  <c r="J123" i="2"/>
  <c r="I123" i="2" s="1"/>
  <c r="J117" i="2"/>
  <c r="I117" i="2" s="1"/>
  <c r="H475" i="2"/>
  <c r="J475" i="2" s="1"/>
  <c r="I475" i="2" s="1"/>
  <c r="H111" i="2"/>
  <c r="F111" i="2" s="1"/>
  <c r="F49" i="2"/>
  <c r="F566" i="2"/>
  <c r="J468" i="2"/>
  <c r="I468" i="2" s="1"/>
  <c r="F197" i="2"/>
  <c r="I206" i="2"/>
  <c r="H299" i="2"/>
  <c r="F56" i="2"/>
  <c r="F41" i="2"/>
  <c r="J595" i="2"/>
  <c r="I595" i="2" s="1"/>
  <c r="I590" i="2"/>
  <c r="I581" i="2"/>
  <c r="H578" i="2"/>
  <c r="J578" i="2" s="1"/>
  <c r="I578" i="2" s="1"/>
  <c r="F579" i="2"/>
  <c r="I551" i="2"/>
  <c r="I549" i="2"/>
  <c r="F556" i="2"/>
  <c r="F515" i="2"/>
  <c r="F518" i="2"/>
  <c r="I466" i="2"/>
  <c r="H366" i="2"/>
  <c r="J366" i="2" s="1"/>
  <c r="H217" i="2"/>
  <c r="J217" i="2" s="1"/>
  <c r="I217" i="2" s="1"/>
  <c r="F256" i="2"/>
  <c r="I193" i="2"/>
  <c r="H176" i="2"/>
  <c r="F176" i="2" s="1"/>
  <c r="F208" i="2"/>
  <c r="F206" i="2"/>
  <c r="I108" i="2"/>
  <c r="J96" i="2"/>
  <c r="I96" i="2" s="1"/>
  <c r="F276" i="2"/>
  <c r="F402" i="2"/>
  <c r="H26" i="2"/>
  <c r="J26" i="2" s="1"/>
  <c r="I26" i="2" s="1"/>
  <c r="F318" i="2"/>
  <c r="I405" i="2"/>
  <c r="F62" i="2"/>
  <c r="J93" i="2"/>
  <c r="I93" i="2" s="1"/>
  <c r="F21" i="2"/>
  <c r="H615" i="2"/>
  <c r="F555" i="2"/>
  <c r="F607" i="2"/>
  <c r="I476" i="2"/>
  <c r="F528" i="2"/>
  <c r="H568" i="2"/>
  <c r="I564" i="2"/>
  <c r="F438" i="2"/>
  <c r="H479" i="2"/>
  <c r="F479" i="2" s="1"/>
  <c r="H375" i="2"/>
  <c r="F375" i="2" s="1"/>
  <c r="F280" i="2"/>
  <c r="H215" i="2"/>
  <c r="J215" i="2" s="1"/>
  <c r="I215" i="2" s="1"/>
  <c r="F193" i="2"/>
  <c r="F162" i="2"/>
  <c r="F9" i="2"/>
  <c r="H199" i="2"/>
  <c r="J199" i="2" s="1"/>
  <c r="I199" i="2" s="1"/>
  <c r="H80" i="2"/>
  <c r="F80" i="2" s="1"/>
  <c r="F74" i="2"/>
  <c r="H61" i="2"/>
  <c r="F43" i="2"/>
  <c r="J591" i="2"/>
  <c r="I591" i="2" s="1"/>
  <c r="F213" i="2"/>
  <c r="F184" i="2"/>
  <c r="F175" i="2"/>
  <c r="F204" i="2"/>
  <c r="I67" i="2"/>
  <c r="F112" i="2"/>
  <c r="F63" i="2"/>
  <c r="I63" i="2"/>
  <c r="I86" i="2"/>
  <c r="H606" i="2"/>
  <c r="J525" i="2"/>
  <c r="I525" i="2" s="1"/>
  <c r="J303" i="2"/>
  <c r="I303" i="2" s="1"/>
  <c r="J190" i="2"/>
  <c r="I190" i="2" s="1"/>
  <c r="J119" i="2"/>
  <c r="I119" i="2" s="1"/>
  <c r="F119" i="2"/>
  <c r="D113" i="1"/>
  <c r="K113" i="1" s="1"/>
  <c r="G113" i="1"/>
  <c r="H113" i="1" s="1"/>
  <c r="J113" i="1" s="1"/>
  <c r="I113" i="1" s="1"/>
  <c r="C113" i="1"/>
  <c r="E113" i="1" s="1"/>
  <c r="J630" i="2"/>
  <c r="I630" i="2" s="1"/>
  <c r="J589" i="2"/>
  <c r="I589" i="2" s="1"/>
  <c r="F585" i="2"/>
  <c r="J585" i="2"/>
  <c r="I585" i="2" s="1"/>
  <c r="J493" i="2"/>
  <c r="I493" i="2" s="1"/>
  <c r="F493" i="2"/>
  <c r="H473" i="2"/>
  <c r="H532" i="2"/>
  <c r="F532" i="2" s="1"/>
  <c r="J516" i="2"/>
  <c r="I516" i="2" s="1"/>
  <c r="F469" i="2"/>
  <c r="J469" i="2"/>
  <c r="I469" i="2" s="1"/>
  <c r="J423" i="2"/>
  <c r="I423" i="2" s="1"/>
  <c r="J458" i="2"/>
  <c r="I458" i="2" s="1"/>
  <c r="F458" i="2"/>
  <c r="H413" i="2"/>
  <c r="F413" i="2" s="1"/>
  <c r="F496" i="2"/>
  <c r="J496" i="2"/>
  <c r="I496" i="2" s="1"/>
  <c r="H373" i="2"/>
  <c r="F373" i="2" s="1"/>
  <c r="J349" i="2"/>
  <c r="F349" i="2"/>
  <c r="J435" i="2"/>
  <c r="I435" i="2" s="1"/>
  <c r="F380" i="2"/>
  <c r="F363" i="2"/>
  <c r="G505" i="1"/>
  <c r="H505" i="1" s="1"/>
  <c r="J505" i="1" s="1"/>
  <c r="D505" i="1"/>
  <c r="K505" i="1" s="1"/>
  <c r="F659" i="2"/>
  <c r="J628" i="2"/>
  <c r="I628" i="2" s="1"/>
  <c r="F628" i="2"/>
  <c r="J609" i="2"/>
  <c r="I609" i="2" s="1"/>
  <c r="J594" i="2"/>
  <c r="I594" i="2" s="1"/>
  <c r="J586" i="2"/>
  <c r="I586" i="2" s="1"/>
  <c r="J545" i="2"/>
  <c r="I545" i="2" s="1"/>
  <c r="I523" i="2"/>
  <c r="I488" i="2"/>
  <c r="J510" i="2"/>
  <c r="I510" i="2" s="1"/>
  <c r="F510" i="2"/>
  <c r="J382" i="2"/>
  <c r="I382" i="2" s="1"/>
  <c r="J369" i="2"/>
  <c r="I369" i="2" s="1"/>
  <c r="H511" i="2"/>
  <c r="F511" i="2" s="1"/>
  <c r="H490" i="2"/>
  <c r="F490" i="2" s="1"/>
  <c r="H411" i="2"/>
  <c r="F411" i="2" s="1"/>
  <c r="J284" i="2"/>
  <c r="I284" i="2" s="1"/>
  <c r="J171" i="2"/>
  <c r="I171" i="2" s="1"/>
  <c r="J160" i="2"/>
  <c r="I160" i="2" s="1"/>
  <c r="F160" i="2"/>
  <c r="J125" i="2"/>
  <c r="I125" i="2" s="1"/>
  <c r="G403" i="1"/>
  <c r="H403" i="1" s="1"/>
  <c r="J403" i="1" s="1"/>
  <c r="I403" i="1" s="1"/>
  <c r="C403" i="1"/>
  <c r="E403" i="1" s="1"/>
  <c r="F561" i="2"/>
  <c r="J561" i="2"/>
  <c r="I561" i="2" s="1"/>
  <c r="J439" i="2"/>
  <c r="I439" i="2" s="1"/>
  <c r="J641" i="2"/>
  <c r="I641" i="2" s="1"/>
  <c r="F641" i="2"/>
  <c r="J659" i="2"/>
  <c r="I659" i="2" s="1"/>
  <c r="J602" i="2"/>
  <c r="I602" i="2" s="1"/>
  <c r="J613" i="2"/>
  <c r="I613" i="2" s="1"/>
  <c r="F613" i="2"/>
  <c r="J563" i="2"/>
  <c r="I563" i="2" s="1"/>
  <c r="H453" i="2"/>
  <c r="F453" i="2" s="1"/>
  <c r="H428" i="2"/>
  <c r="F428" i="2" s="1"/>
  <c r="H260" i="2"/>
  <c r="F260" i="2" s="1"/>
  <c r="J362" i="2"/>
  <c r="I362" i="2" s="1"/>
  <c r="J244" i="2"/>
  <c r="I244" i="2" s="1"/>
  <c r="J232" i="2"/>
  <c r="I232" i="2" s="1"/>
  <c r="F232" i="2"/>
  <c r="J179" i="2"/>
  <c r="I179" i="2" s="1"/>
  <c r="F179" i="2"/>
  <c r="J69" i="2"/>
  <c r="I69" i="2" s="1"/>
  <c r="G329" i="1"/>
  <c r="H329" i="1" s="1"/>
  <c r="D329" i="1"/>
  <c r="K329" i="1" s="1"/>
  <c r="C329" i="1"/>
  <c r="E329" i="1" s="1"/>
  <c r="I448" i="2"/>
  <c r="H270" i="2"/>
  <c r="F270" i="2" s="1"/>
  <c r="G355" i="1"/>
  <c r="H355" i="1" s="1"/>
  <c r="J355" i="1" s="1"/>
  <c r="D355" i="1"/>
  <c r="K355" i="1" s="1"/>
  <c r="J629" i="2"/>
  <c r="I629" i="2" s="1"/>
  <c r="H655" i="2"/>
  <c r="F655" i="2" s="1"/>
  <c r="F601" i="2"/>
  <c r="J601" i="2"/>
  <c r="I601" i="2" s="1"/>
  <c r="J560" i="2"/>
  <c r="I560" i="2" s="1"/>
  <c r="H514" i="2"/>
  <c r="F514" i="2" s="1"/>
  <c r="J524" i="2"/>
  <c r="I524" i="2" s="1"/>
  <c r="F524" i="2"/>
  <c r="J391" i="2"/>
  <c r="I391" i="2" s="1"/>
  <c r="J379" i="2"/>
  <c r="I379" i="2" s="1"/>
  <c r="J367" i="2"/>
  <c r="I367" i="2" s="1"/>
  <c r="F367" i="2"/>
  <c r="J521" i="2"/>
  <c r="I521" i="2" s="1"/>
  <c r="J389" i="2"/>
  <c r="I389" i="2" s="1"/>
  <c r="J374" i="2"/>
  <c r="I374" i="2" s="1"/>
  <c r="F374" i="2"/>
  <c r="J348" i="2"/>
  <c r="I348" i="2" s="1"/>
  <c r="H385" i="2"/>
  <c r="J380" i="2"/>
  <c r="I380" i="2" s="1"/>
  <c r="H265" i="2"/>
  <c r="F265" i="2" s="1"/>
  <c r="J363" i="2"/>
  <c r="I363" i="2" s="1"/>
  <c r="J248" i="2"/>
  <c r="I248" i="2" s="1"/>
  <c r="F248" i="2"/>
  <c r="J272" i="2"/>
  <c r="I272" i="2" s="1"/>
  <c r="J105" i="2"/>
  <c r="I105" i="2" s="1"/>
  <c r="J83" i="2"/>
  <c r="I83" i="2" s="1"/>
  <c r="H478" i="2"/>
  <c r="F478" i="2" s="1"/>
  <c r="F645" i="2"/>
  <c r="I597" i="2"/>
  <c r="J624" i="2"/>
  <c r="I624" i="2" s="1"/>
  <c r="J548" i="2"/>
  <c r="I548" i="2" s="1"/>
  <c r="J577" i="2"/>
  <c r="I577" i="2" s="1"/>
  <c r="F577" i="2"/>
  <c r="J485" i="2"/>
  <c r="I485" i="2" s="1"/>
  <c r="H388" i="2"/>
  <c r="F388" i="2" s="1"/>
  <c r="I474" i="2"/>
  <c r="J408" i="2"/>
  <c r="I408" i="2" s="1"/>
  <c r="J331" i="2"/>
  <c r="I331" i="2" s="1"/>
  <c r="J280" i="2"/>
  <c r="I280" i="2" s="1"/>
  <c r="I349" i="2"/>
  <c r="J483" i="2"/>
  <c r="I483" i="2" s="1"/>
  <c r="J187" i="2"/>
  <c r="I187" i="2" s="1"/>
  <c r="F87" i="2"/>
  <c r="J87" i="2"/>
  <c r="I87" i="2" s="1"/>
  <c r="H442" i="2"/>
  <c r="F442" i="2" s="1"/>
  <c r="J277" i="2"/>
  <c r="I277" i="2" s="1"/>
  <c r="G164" i="1"/>
  <c r="H164" i="1" s="1"/>
  <c r="J164" i="1" s="1"/>
  <c r="I164" i="1" s="1"/>
  <c r="C164" i="1"/>
  <c r="E164" i="1" s="1"/>
  <c r="C410" i="1"/>
  <c r="E410" i="1" s="1"/>
  <c r="D410" i="1"/>
  <c r="K410" i="1" s="1"/>
  <c r="G542" i="1"/>
  <c r="H542" i="1" s="1"/>
  <c r="J542" i="1" s="1"/>
  <c r="I542" i="1" s="1"/>
  <c r="D542" i="1"/>
  <c r="K542" i="1" s="1"/>
  <c r="J645" i="2"/>
  <c r="I645" i="2" s="1"/>
  <c r="F654" i="2"/>
  <c r="J654" i="2"/>
  <c r="I654" i="2" s="1"/>
  <c r="H472" i="2"/>
  <c r="F472" i="2" s="1"/>
  <c r="J571" i="2"/>
  <c r="I571" i="2" s="1"/>
  <c r="I498" i="2"/>
  <c r="J513" i="2"/>
  <c r="I513" i="2" s="1"/>
  <c r="J342" i="2"/>
  <c r="I342" i="2" s="1"/>
  <c r="F342" i="2"/>
  <c r="F427" i="2"/>
  <c r="J427" i="2"/>
  <c r="I427" i="2" s="1"/>
  <c r="F268" i="2"/>
  <c r="J268" i="2"/>
  <c r="I268" i="2" s="1"/>
  <c r="F253" i="2"/>
  <c r="J253" i="2"/>
  <c r="I253" i="2" s="1"/>
  <c r="F233" i="2"/>
  <c r="J233" i="2"/>
  <c r="I233" i="2" s="1"/>
  <c r="H639" i="2"/>
  <c r="F639" i="2" s="1"/>
  <c r="J610" i="2"/>
  <c r="I610" i="2" s="1"/>
  <c r="H429" i="2"/>
  <c r="F429" i="2" s="1"/>
  <c r="J649" i="2"/>
  <c r="I649" i="2" s="1"/>
  <c r="F649" i="2"/>
  <c r="F597" i="2"/>
  <c r="F589" i="2"/>
  <c r="F624" i="2"/>
  <c r="H575" i="2"/>
  <c r="F575" i="2" s="1"/>
  <c r="J579" i="2"/>
  <c r="I579" i="2" s="1"/>
  <c r="F558" i="2"/>
  <c r="J558" i="2"/>
  <c r="I558" i="2" s="1"/>
  <c r="F610" i="2"/>
  <c r="I535" i="2"/>
  <c r="F535" i="2"/>
  <c r="J456" i="2"/>
  <c r="I456" i="2" s="1"/>
  <c r="J431" i="2"/>
  <c r="I431" i="2" s="1"/>
  <c r="J461" i="2"/>
  <c r="I461" i="2" s="1"/>
  <c r="F461" i="2"/>
  <c r="H480" i="2"/>
  <c r="J420" i="2"/>
  <c r="I420" i="2" s="1"/>
  <c r="H344" i="2"/>
  <c r="F344" i="2" s="1"/>
  <c r="J395" i="2"/>
  <c r="I395" i="2" s="1"/>
  <c r="F395" i="2"/>
  <c r="J368" i="2"/>
  <c r="I368" i="2" s="1"/>
  <c r="J75" i="2"/>
  <c r="I75" i="2" s="1"/>
  <c r="F75" i="2"/>
  <c r="J107" i="2"/>
  <c r="I107" i="2" s="1"/>
  <c r="F107" i="2"/>
  <c r="J169" i="2"/>
  <c r="I169" i="2" s="1"/>
  <c r="H130" i="2"/>
  <c r="J141" i="2"/>
  <c r="I141" i="2" s="1"/>
  <c r="F141" i="2"/>
  <c r="F5" i="2"/>
  <c r="E322" i="1"/>
  <c r="D500" i="1"/>
  <c r="K500" i="1" s="1"/>
  <c r="I638" i="2"/>
  <c r="F629" i="2"/>
  <c r="F626" i="2"/>
  <c r="F612" i="2"/>
  <c r="J631" i="2"/>
  <c r="I631" i="2" s="1"/>
  <c r="F625" i="2"/>
  <c r="F604" i="2"/>
  <c r="F596" i="2"/>
  <c r="F588" i="2"/>
  <c r="F580" i="2"/>
  <c r="F553" i="2"/>
  <c r="F545" i="2"/>
  <c r="F551" i="2"/>
  <c r="F544" i="2"/>
  <c r="I520" i="2"/>
  <c r="F571" i="2"/>
  <c r="H486" i="2"/>
  <c r="F486" i="2" s="1"/>
  <c r="H470" i="2"/>
  <c r="F470" i="2" s="1"/>
  <c r="H451" i="2"/>
  <c r="F451" i="2" s="1"/>
  <c r="H426" i="2"/>
  <c r="F426" i="2" s="1"/>
  <c r="H419" i="2"/>
  <c r="F419" i="2" s="1"/>
  <c r="F376" i="2"/>
  <c r="J376" i="2"/>
  <c r="I376" i="2" s="1"/>
  <c r="F416" i="2"/>
  <c r="I519" i="2"/>
  <c r="J441" i="2"/>
  <c r="I441" i="2" s="1"/>
  <c r="H415" i="2"/>
  <c r="F415" i="2" s="1"/>
  <c r="F456" i="2"/>
  <c r="F431" i="2"/>
  <c r="F498" i="2"/>
  <c r="F448" i="2"/>
  <c r="J330" i="2"/>
  <c r="I330" i="2" s="1"/>
  <c r="F330" i="2"/>
  <c r="I311" i="2"/>
  <c r="F319" i="2"/>
  <c r="J392" i="2"/>
  <c r="I392" i="2" s="1"/>
  <c r="F360" i="2"/>
  <c r="I335" i="2"/>
  <c r="F340" i="2"/>
  <c r="I191" i="2"/>
  <c r="F246" i="2"/>
  <c r="H235" i="2"/>
  <c r="F235" i="2" s="1"/>
  <c r="H181" i="2"/>
  <c r="F181" i="2" s="1"/>
  <c r="H250" i="2"/>
  <c r="F250" i="2" s="1"/>
  <c r="H202" i="2"/>
  <c r="F202" i="2" s="1"/>
  <c r="F171" i="2"/>
  <c r="H267" i="2"/>
  <c r="F267" i="2" s="1"/>
  <c r="I237" i="2"/>
  <c r="J175" i="2"/>
  <c r="I175" i="2" s="1"/>
  <c r="H150" i="2"/>
  <c r="F150" i="2" s="1"/>
  <c r="H243" i="2"/>
  <c r="F243" i="2" s="1"/>
  <c r="J224" i="2"/>
  <c r="I224" i="2" s="1"/>
  <c r="F221" i="2"/>
  <c r="F209" i="2"/>
  <c r="H128" i="2"/>
  <c r="F128" i="2" s="1"/>
  <c r="F220" i="2"/>
  <c r="H136" i="2"/>
  <c r="J110" i="2"/>
  <c r="I110" i="2" s="1"/>
  <c r="I156" i="2"/>
  <c r="H154" i="2"/>
  <c r="F154" i="2" s="1"/>
  <c r="J132" i="2"/>
  <c r="I132" i="2" s="1"/>
  <c r="F105" i="2"/>
  <c r="J144" i="2"/>
  <c r="I144" i="2" s="1"/>
  <c r="F117" i="2"/>
  <c r="J162" i="2"/>
  <c r="I162" i="2" s="1"/>
  <c r="F135" i="2"/>
  <c r="J135" i="2"/>
  <c r="I135" i="2" s="1"/>
  <c r="J197" i="2"/>
  <c r="I197" i="2" s="1"/>
  <c r="F94" i="2"/>
  <c r="H131" i="2"/>
  <c r="F131" i="2" s="1"/>
  <c r="F125" i="2"/>
  <c r="H81" i="2"/>
  <c r="F81" i="2" s="1"/>
  <c r="H173" i="2"/>
  <c r="F12" i="2"/>
  <c r="H228" i="2"/>
  <c r="F228" i="2" s="1"/>
  <c r="H90" i="2"/>
  <c r="F90" i="2" s="1"/>
  <c r="I34" i="2"/>
  <c r="J9" i="2"/>
  <c r="I9" i="2" s="1"/>
  <c r="G322" i="1"/>
  <c r="H322" i="1" s="1"/>
  <c r="F638" i="2"/>
  <c r="I625" i="2"/>
  <c r="J604" i="2"/>
  <c r="I604" i="2" s="1"/>
  <c r="J588" i="2"/>
  <c r="I588" i="2" s="1"/>
  <c r="I596" i="2"/>
  <c r="I580" i="2"/>
  <c r="F547" i="2"/>
  <c r="J554" i="2"/>
  <c r="I554" i="2" s="1"/>
  <c r="F554" i="2"/>
  <c r="F560" i="2"/>
  <c r="J506" i="2"/>
  <c r="I506" i="2" s="1"/>
  <c r="H572" i="2"/>
  <c r="F572" i="2" s="1"/>
  <c r="F563" i="2"/>
  <c r="F526" i="2"/>
  <c r="F506" i="2"/>
  <c r="F485" i="2"/>
  <c r="F523" i="2"/>
  <c r="I507" i="2"/>
  <c r="H449" i="2"/>
  <c r="F449" i="2" s="1"/>
  <c r="H424" i="2"/>
  <c r="F424" i="2" s="1"/>
  <c r="J386" i="2"/>
  <c r="I386" i="2" s="1"/>
  <c r="F439" i="2"/>
  <c r="F521" i="2"/>
  <c r="H338" i="2"/>
  <c r="F338" i="2" s="1"/>
  <c r="F476" i="2"/>
  <c r="H333" i="2"/>
  <c r="H407" i="2"/>
  <c r="F407" i="2" s="1"/>
  <c r="F361" i="2"/>
  <c r="I360" i="2"/>
  <c r="F284" i="2"/>
  <c r="J269" i="2"/>
  <c r="I269" i="2" s="1"/>
  <c r="H296" i="2"/>
  <c r="F296" i="2" s="1"/>
  <c r="F483" i="2"/>
  <c r="I350" i="2"/>
  <c r="H355" i="2"/>
  <c r="J221" i="2"/>
  <c r="I221" i="2" s="1"/>
  <c r="J209" i="2"/>
  <c r="I209" i="2" s="1"/>
  <c r="H126" i="2"/>
  <c r="F126" i="2" s="1"/>
  <c r="J184" i="2"/>
  <c r="I184" i="2" s="1"/>
  <c r="J166" i="2"/>
  <c r="I166" i="2" s="1"/>
  <c r="J198" i="2"/>
  <c r="I198" i="2" s="1"/>
  <c r="F148" i="2"/>
  <c r="I129" i="2"/>
  <c r="F108" i="2"/>
  <c r="I70" i="2"/>
  <c r="I100" i="2"/>
  <c r="J152" i="2"/>
  <c r="I152" i="2" s="1"/>
  <c r="F110" i="2"/>
  <c r="F68" i="2"/>
  <c r="I68" i="2"/>
  <c r="F55" i="2"/>
  <c r="H617" i="2"/>
  <c r="F617" i="2" s="1"/>
  <c r="H573" i="2"/>
  <c r="J505" i="2"/>
  <c r="I505" i="2" s="1"/>
  <c r="F505" i="2"/>
  <c r="H531" i="2"/>
  <c r="F531" i="2" s="1"/>
  <c r="J526" i="2"/>
  <c r="I526" i="2" s="1"/>
  <c r="F488" i="2"/>
  <c r="I515" i="2"/>
  <c r="F465" i="2"/>
  <c r="H422" i="2"/>
  <c r="F422" i="2" s="1"/>
  <c r="J418" i="2"/>
  <c r="I418" i="2" s="1"/>
  <c r="J396" i="2"/>
  <c r="I396" i="2" s="1"/>
  <c r="J414" i="2"/>
  <c r="I414" i="2" s="1"/>
  <c r="I438" i="2"/>
  <c r="F396" i="2"/>
  <c r="F379" i="2"/>
  <c r="H336" i="2"/>
  <c r="F336" i="2" s="1"/>
  <c r="I409" i="2"/>
  <c r="I393" i="2"/>
  <c r="J361" i="2"/>
  <c r="I361" i="2" s="1"/>
  <c r="I357" i="2"/>
  <c r="F343" i="2"/>
  <c r="F332" i="2"/>
  <c r="F393" i="2"/>
  <c r="F303" i="2"/>
  <c r="F244" i="2"/>
  <c r="I289" i="2"/>
  <c r="F368" i="2"/>
  <c r="F289" i="2"/>
  <c r="F252" i="2"/>
  <c r="J241" i="2"/>
  <c r="I241" i="2" s="1"/>
  <c r="F187" i="2"/>
  <c r="F164" i="2"/>
  <c r="F190" i="2"/>
  <c r="H124" i="2"/>
  <c r="F124" i="2" s="1"/>
  <c r="F156" i="2"/>
  <c r="J155" i="2"/>
  <c r="I155" i="2" s="1"/>
  <c r="J115" i="2"/>
  <c r="I115" i="2" s="1"/>
  <c r="J97" i="2"/>
  <c r="I97" i="2" s="1"/>
  <c r="F222" i="2"/>
  <c r="I138" i="2"/>
  <c r="I230" i="2"/>
  <c r="F85" i="2"/>
  <c r="J30" i="2"/>
  <c r="I30" i="2" s="1"/>
  <c r="F30" i="2"/>
  <c r="J56" i="2"/>
  <c r="I56" i="2" s="1"/>
  <c r="I31" i="2"/>
  <c r="C58" i="1"/>
  <c r="E58" i="1" s="1"/>
  <c r="G155" i="1"/>
  <c r="H155" i="1" s="1"/>
  <c r="G269" i="1"/>
  <c r="H269" i="1" s="1"/>
  <c r="J269" i="1" s="1"/>
  <c r="D297" i="1"/>
  <c r="K297" i="1" s="1"/>
  <c r="C321" i="1"/>
  <c r="E321" i="1" s="1"/>
  <c r="C351" i="1"/>
  <c r="E351" i="1" s="1"/>
  <c r="C361" i="1"/>
  <c r="E361" i="1" s="1"/>
  <c r="C363" i="1"/>
  <c r="E363" i="1" s="1"/>
  <c r="D483" i="1"/>
  <c r="K483" i="1" s="1"/>
  <c r="C538" i="1"/>
  <c r="E538" i="1" s="1"/>
  <c r="D548" i="1"/>
  <c r="K548" i="1" s="1"/>
  <c r="C576" i="1"/>
  <c r="E576" i="1" s="1"/>
  <c r="F635" i="2"/>
  <c r="I635" i="2"/>
  <c r="H637" i="2"/>
  <c r="J600" i="2"/>
  <c r="I600" i="2" s="1"/>
  <c r="J584" i="2"/>
  <c r="I584" i="2" s="1"/>
  <c r="F609" i="2"/>
  <c r="F602" i="2"/>
  <c r="F586" i="2"/>
  <c r="I582" i="2"/>
  <c r="I555" i="2"/>
  <c r="H576" i="2"/>
  <c r="J607" i="2"/>
  <c r="I607" i="2" s="1"/>
  <c r="J632" i="2"/>
  <c r="I632" i="2" s="1"/>
  <c r="I547" i="2"/>
  <c r="J634" i="2"/>
  <c r="I634" i="2" s="1"/>
  <c r="F503" i="2"/>
  <c r="H500" i="2"/>
  <c r="H487" i="2"/>
  <c r="F487" i="2" s="1"/>
  <c r="H471" i="2"/>
  <c r="F471" i="2" s="1"/>
  <c r="J522" i="2"/>
  <c r="I522" i="2" s="1"/>
  <c r="J384" i="2"/>
  <c r="I384" i="2" s="1"/>
  <c r="F384" i="2"/>
  <c r="H371" i="2"/>
  <c r="F371" i="2" s="1"/>
  <c r="J425" i="2"/>
  <c r="I425" i="2" s="1"/>
  <c r="H381" i="2"/>
  <c r="F381" i="2" s="1"/>
  <c r="H443" i="2"/>
  <c r="H445" i="2"/>
  <c r="H437" i="2"/>
  <c r="H334" i="2"/>
  <c r="F334" i="2" s="1"/>
  <c r="J295" i="2"/>
  <c r="I295" i="2" s="1"/>
  <c r="I325" i="2"/>
  <c r="F389" i="2"/>
  <c r="F418" i="2"/>
  <c r="J353" i="2"/>
  <c r="I353" i="2" s="1"/>
  <c r="I301" i="2"/>
  <c r="I309" i="2"/>
  <c r="H302" i="2"/>
  <c r="F302" i="2" s="1"/>
  <c r="H356" i="2"/>
  <c r="J332" i="2"/>
  <c r="I332" i="2" s="1"/>
  <c r="F277" i="2"/>
  <c r="I164" i="2"/>
  <c r="F272" i="2"/>
  <c r="J242" i="2"/>
  <c r="I242" i="2" s="1"/>
  <c r="H122" i="2"/>
  <c r="F191" i="2"/>
  <c r="J114" i="2"/>
  <c r="I114" i="2" s="1"/>
  <c r="J5" i="2"/>
  <c r="I5" i="2" s="1"/>
  <c r="F100" i="2"/>
  <c r="F152" i="2"/>
  <c r="F34" i="2"/>
  <c r="H10" i="2"/>
  <c r="I112" i="2"/>
  <c r="J79" i="2"/>
  <c r="I79" i="2" s="1"/>
  <c r="D46" i="1"/>
  <c r="K46" i="1" s="1"/>
  <c r="G58" i="1"/>
  <c r="H58" i="1" s="1"/>
  <c r="J58" i="1" s="1"/>
  <c r="I58" i="1" s="1"/>
  <c r="C112" i="1"/>
  <c r="E112" i="1" s="1"/>
  <c r="C241" i="1"/>
  <c r="E241" i="1" s="1"/>
  <c r="D281" i="1"/>
  <c r="K281" i="1" s="1"/>
  <c r="C302" i="1"/>
  <c r="E302" i="1" s="1"/>
  <c r="D511" i="1"/>
  <c r="K511" i="1" s="1"/>
  <c r="D566" i="1"/>
  <c r="K566" i="1" s="1"/>
  <c r="G576" i="1"/>
  <c r="H576" i="1" s="1"/>
  <c r="F576" i="1" s="1"/>
  <c r="I636" i="2"/>
  <c r="F630" i="2"/>
  <c r="J608" i="2"/>
  <c r="I608" i="2" s="1"/>
  <c r="F614" i="2"/>
  <c r="F600" i="2"/>
  <c r="F592" i="2"/>
  <c r="F584" i="2"/>
  <c r="J538" i="2"/>
  <c r="I538" i="2" s="1"/>
  <c r="F527" i="2"/>
  <c r="J499" i="2"/>
  <c r="I499" i="2" s="1"/>
  <c r="F499" i="2"/>
  <c r="H482" i="2"/>
  <c r="F482" i="2" s="1"/>
  <c r="I540" i="2"/>
  <c r="H484" i="2"/>
  <c r="F484" i="2" s="1"/>
  <c r="H401" i="2"/>
  <c r="F401" i="2" s="1"/>
  <c r="H394" i="2"/>
  <c r="F394" i="2" s="1"/>
  <c r="J370" i="2"/>
  <c r="I370" i="2" s="1"/>
  <c r="F370" i="2"/>
  <c r="F474" i="2"/>
  <c r="J465" i="2"/>
  <c r="I465" i="2" s="1"/>
  <c r="F423" i="2"/>
  <c r="I343" i="2"/>
  <c r="F462" i="2"/>
  <c r="H352" i="2"/>
  <c r="I327" i="2"/>
  <c r="J416" i="2"/>
  <c r="I416" i="2" s="1"/>
  <c r="F357" i="2"/>
  <c r="H345" i="2"/>
  <c r="F345" i="2" s="1"/>
  <c r="F337" i="2"/>
  <c r="F263" i="2"/>
  <c r="J298" i="2"/>
  <c r="I298" i="2" s="1"/>
  <c r="F309" i="2"/>
  <c r="J347" i="2"/>
  <c r="I347" i="2" s="1"/>
  <c r="J329" i="2"/>
  <c r="I329" i="2" s="1"/>
  <c r="I163" i="2"/>
  <c r="F212" i="2"/>
  <c r="I195" i="2"/>
  <c r="J223" i="2"/>
  <c r="I223" i="2" s="1"/>
  <c r="J178" i="2"/>
  <c r="I178" i="2" s="1"/>
  <c r="H145" i="2"/>
  <c r="H120" i="2"/>
  <c r="F120" i="2" s="1"/>
  <c r="J158" i="2"/>
  <c r="I158" i="2" s="1"/>
  <c r="I146" i="2"/>
  <c r="F269" i="2"/>
  <c r="J94" i="2"/>
  <c r="I94" i="2" s="1"/>
  <c r="F134" i="2"/>
  <c r="I194" i="2"/>
  <c r="F138" i="2"/>
  <c r="I85" i="2"/>
  <c r="J252" i="2"/>
  <c r="I252" i="2" s="1"/>
  <c r="F83" i="2"/>
  <c r="F93" i="2"/>
  <c r="I55" i="2"/>
  <c r="I276" i="2"/>
  <c r="G302" i="1"/>
  <c r="H302" i="1" s="1"/>
  <c r="J302" i="1" s="1"/>
  <c r="I302" i="1" s="1"/>
  <c r="H619" i="2"/>
  <c r="F619" i="2" s="1"/>
  <c r="F633" i="2"/>
  <c r="F590" i="2"/>
  <c r="F549" i="2"/>
  <c r="H529" i="2"/>
  <c r="F529" i="2" s="1"/>
  <c r="F525" i="2"/>
  <c r="J497" i="2"/>
  <c r="I497" i="2" s="1"/>
  <c r="I503" i="2"/>
  <c r="J517" i="2"/>
  <c r="I517" i="2" s="1"/>
  <c r="H446" i="2"/>
  <c r="F446" i="2" s="1"/>
  <c r="J508" i="2"/>
  <c r="I508" i="2" s="1"/>
  <c r="H432" i="2"/>
  <c r="F432" i="2" s="1"/>
  <c r="H399" i="2"/>
  <c r="F382" i="2"/>
  <c r="F369" i="2"/>
  <c r="F497" i="2"/>
  <c r="I377" i="2"/>
  <c r="J351" i="2"/>
  <c r="I351" i="2" s="1"/>
  <c r="F351" i="2"/>
  <c r="F350" i="2"/>
  <c r="J300" i="2"/>
  <c r="I300" i="2" s="1"/>
  <c r="F325" i="2"/>
  <c r="F420" i="2"/>
  <c r="H364" i="2"/>
  <c r="I337" i="2"/>
  <c r="F239" i="2"/>
  <c r="J266" i="2"/>
  <c r="I266" i="2" s="1"/>
  <c r="I212" i="2"/>
  <c r="J208" i="2"/>
  <c r="I208" i="2" s="1"/>
  <c r="F219" i="2"/>
  <c r="J210" i="2"/>
  <c r="I210" i="2" s="1"/>
  <c r="H118" i="2"/>
  <c r="F118" i="2" s="1"/>
  <c r="F144" i="2"/>
  <c r="J134" i="2"/>
  <c r="I134" i="2" s="1"/>
  <c r="F115" i="2"/>
  <c r="F54" i="2"/>
  <c r="F88" i="2"/>
  <c r="F82" i="2"/>
  <c r="F31" i="2"/>
  <c r="F636" i="2"/>
  <c r="H621" i="2"/>
  <c r="F621" i="2" s="1"/>
  <c r="H605" i="2"/>
  <c r="F605" i="2" s="1"/>
  <c r="I527" i="2"/>
  <c r="I528" i="2"/>
  <c r="I552" i="2"/>
  <c r="H489" i="2"/>
  <c r="F489" i="2" s="1"/>
  <c r="H444" i="2"/>
  <c r="H430" i="2"/>
  <c r="H397" i="2"/>
  <c r="F397" i="2" s="1"/>
  <c r="F391" i="2"/>
  <c r="J433" i="2"/>
  <c r="I433" i="2" s="1"/>
  <c r="H417" i="2"/>
  <c r="F405" i="2"/>
  <c r="F386" i="2"/>
  <c r="H365" i="2"/>
  <c r="F354" i="2"/>
  <c r="F331" i="2"/>
  <c r="I319" i="2"/>
  <c r="F348" i="2"/>
  <c r="F377" i="2"/>
  <c r="I239" i="2"/>
  <c r="J219" i="2"/>
  <c r="I219" i="2" s="1"/>
  <c r="F169" i="2"/>
  <c r="H137" i="2"/>
  <c r="F137" i="2" s="1"/>
  <c r="H116" i="2"/>
  <c r="F116" i="2" s="1"/>
  <c r="F146" i="2"/>
  <c r="F129" i="2"/>
  <c r="J133" i="2"/>
  <c r="I133" i="2" s="1"/>
  <c r="F97" i="2"/>
  <c r="F132" i="2"/>
  <c r="J62" i="2"/>
  <c r="I62" i="2" s="1"/>
  <c r="F67" i="2"/>
  <c r="H15" i="2"/>
  <c r="F69" i="2"/>
  <c r="G107" i="1"/>
  <c r="H107" i="1" s="1"/>
  <c r="J107" i="1" s="1"/>
  <c r="I107" i="1" s="1"/>
  <c r="G134" i="1"/>
  <c r="H134" i="1" s="1"/>
  <c r="J134" i="1" s="1"/>
  <c r="I134" i="1" s="1"/>
  <c r="G212" i="1"/>
  <c r="H212" i="1" s="1"/>
  <c r="J212" i="1" s="1"/>
  <c r="I212" i="1" s="1"/>
  <c r="D253" i="1"/>
  <c r="K253" i="1" s="1"/>
  <c r="D269" i="1"/>
  <c r="K269" i="1" s="1"/>
  <c r="D341" i="1"/>
  <c r="K341" i="1" s="1"/>
  <c r="G358" i="1"/>
  <c r="H358" i="1" s="1"/>
  <c r="J358" i="1" s="1"/>
  <c r="I358" i="1" s="1"/>
  <c r="G359" i="1"/>
  <c r="H359" i="1" s="1"/>
  <c r="F359" i="1" s="1"/>
  <c r="D484" i="1"/>
  <c r="K484" i="1" s="1"/>
  <c r="G524" i="1"/>
  <c r="H524" i="1" s="1"/>
  <c r="D526" i="1"/>
  <c r="K526" i="1" s="1"/>
  <c r="G613" i="1"/>
  <c r="H613" i="1" s="1"/>
  <c r="J613" i="1" s="1"/>
  <c r="D636" i="1"/>
  <c r="K636" i="1" s="1"/>
  <c r="G579" i="1"/>
  <c r="H579" i="1" s="1"/>
  <c r="J579" i="1" s="1"/>
  <c r="H626" i="1"/>
  <c r="J626" i="1" s="1"/>
  <c r="G62" i="1"/>
  <c r="H62" i="1" s="1"/>
  <c r="J62" i="1" s="1"/>
  <c r="I62" i="1" s="1"/>
  <c r="D112" i="1"/>
  <c r="K112" i="1" s="1"/>
  <c r="C149" i="1"/>
  <c r="E149" i="1" s="1"/>
  <c r="D155" i="1"/>
  <c r="K155" i="1" s="1"/>
  <c r="C191" i="1"/>
  <c r="E191" i="1" s="1"/>
  <c r="D195" i="1"/>
  <c r="K195" i="1" s="1"/>
  <c r="G197" i="1"/>
  <c r="H197" i="1" s="1"/>
  <c r="J197" i="1" s="1"/>
  <c r="I197" i="1" s="1"/>
  <c r="D268" i="1"/>
  <c r="K268" i="1" s="1"/>
  <c r="E275" i="1"/>
  <c r="D296" i="1"/>
  <c r="K296" i="1" s="1"/>
  <c r="D321" i="1"/>
  <c r="K321" i="1" s="1"/>
  <c r="C336" i="1"/>
  <c r="E336" i="1" s="1"/>
  <c r="D351" i="1"/>
  <c r="K351" i="1" s="1"/>
  <c r="G406" i="1"/>
  <c r="H406" i="1" s="1"/>
  <c r="J406" i="1" s="1"/>
  <c r="I406" i="1" s="1"/>
  <c r="C483" i="1"/>
  <c r="E483" i="1" s="1"/>
  <c r="C505" i="1"/>
  <c r="E505" i="1" s="1"/>
  <c r="G511" i="1"/>
  <c r="H511" i="1" s="1"/>
  <c r="J511" i="1" s="1"/>
  <c r="I511" i="1" s="1"/>
  <c r="C543" i="1"/>
  <c r="E543" i="1" s="1"/>
  <c r="C548" i="1"/>
  <c r="E548" i="1" s="1"/>
  <c r="D164" i="1"/>
  <c r="K164" i="1" s="1"/>
  <c r="D180" i="1"/>
  <c r="K180" i="1" s="1"/>
  <c r="D263" i="1"/>
  <c r="K263" i="1" s="1"/>
  <c r="C323" i="1"/>
  <c r="E323" i="1" s="1"/>
  <c r="C354" i="1"/>
  <c r="E354" i="1" s="1"/>
  <c r="D485" i="1"/>
  <c r="K485" i="1" s="1"/>
  <c r="C487" i="1"/>
  <c r="E487" i="1" s="1"/>
  <c r="D494" i="1"/>
  <c r="K494" i="1" s="1"/>
  <c r="C514" i="1"/>
  <c r="E514" i="1" s="1"/>
  <c r="C527" i="1"/>
  <c r="E527" i="1" s="1"/>
  <c r="G537" i="1"/>
  <c r="H537" i="1" s="1"/>
  <c r="D595" i="1"/>
  <c r="K595" i="1" s="1"/>
  <c r="C654" i="1"/>
  <c r="E654" i="1" s="1"/>
  <c r="H124" i="1"/>
  <c r="J124" i="1" s="1"/>
  <c r="G162" i="1"/>
  <c r="H162" i="1" s="1"/>
  <c r="G263" i="1"/>
  <c r="H263" i="1" s="1"/>
  <c r="J263" i="1" s="1"/>
  <c r="I263" i="1" s="1"/>
  <c r="E451" i="1"/>
  <c r="G485" i="1"/>
  <c r="H485" i="1" s="1"/>
  <c r="J485" i="1" s="1"/>
  <c r="I485" i="1" s="1"/>
  <c r="D487" i="1"/>
  <c r="K487" i="1" s="1"/>
  <c r="G494" i="1"/>
  <c r="H494" i="1" s="1"/>
  <c r="D501" i="1"/>
  <c r="K501" i="1" s="1"/>
  <c r="D510" i="1"/>
  <c r="K510" i="1" s="1"/>
  <c r="D514" i="1"/>
  <c r="K514" i="1" s="1"/>
  <c r="D527" i="1"/>
  <c r="K527" i="1" s="1"/>
  <c r="C535" i="1"/>
  <c r="E535" i="1" s="1"/>
  <c r="G558" i="1"/>
  <c r="H558" i="1" s="1"/>
  <c r="J558" i="1" s="1"/>
  <c r="G568" i="1"/>
  <c r="H568" i="1" s="1"/>
  <c r="C603" i="1"/>
  <c r="E603" i="1" s="1"/>
  <c r="E647" i="1"/>
  <c r="D107" i="1"/>
  <c r="K107" i="1" s="1"/>
  <c r="F115" i="1"/>
  <c r="D134" i="1"/>
  <c r="K134" i="1" s="1"/>
  <c r="C253" i="1"/>
  <c r="E253" i="1" s="1"/>
  <c r="C276" i="1"/>
  <c r="E276" i="1" s="1"/>
  <c r="C341" i="1"/>
  <c r="E341" i="1" s="1"/>
  <c r="D358" i="1"/>
  <c r="K358" i="1" s="1"/>
  <c r="D454" i="1"/>
  <c r="K454" i="1" s="1"/>
  <c r="C524" i="1"/>
  <c r="E524" i="1" s="1"/>
  <c r="C526" i="1"/>
  <c r="E526" i="1" s="1"/>
  <c r="C531" i="1"/>
  <c r="E531" i="1" s="1"/>
  <c r="D591" i="1"/>
  <c r="K591" i="1" s="1"/>
  <c r="C467" i="1"/>
  <c r="E467" i="1" s="1"/>
  <c r="G467" i="1"/>
  <c r="H467" i="1" s="1"/>
  <c r="F467" i="1" s="1"/>
  <c r="D467" i="1"/>
  <c r="K467" i="1" s="1"/>
  <c r="G469" i="1"/>
  <c r="H469" i="1" s="1"/>
  <c r="J469" i="1" s="1"/>
  <c r="I469" i="1" s="1"/>
  <c r="C469" i="1"/>
  <c r="E469" i="1" s="1"/>
  <c r="G503" i="1"/>
  <c r="H503" i="1" s="1"/>
  <c r="D503" i="1"/>
  <c r="K503" i="1" s="1"/>
  <c r="G536" i="1"/>
  <c r="H536" i="1" s="1"/>
  <c r="G580" i="1"/>
  <c r="H580" i="1" s="1"/>
  <c r="J580" i="1" s="1"/>
  <c r="I580" i="1" s="1"/>
  <c r="D580" i="1"/>
  <c r="K580" i="1" s="1"/>
  <c r="C629" i="1"/>
  <c r="E629" i="1" s="1"/>
  <c r="G629" i="1"/>
  <c r="H629" i="1" s="1"/>
  <c r="J629" i="1" s="1"/>
  <c r="I629" i="1" s="1"/>
  <c r="H22" i="1"/>
  <c r="J22" i="1" s="1"/>
  <c r="C34" i="1"/>
  <c r="E34" i="1" s="1"/>
  <c r="D34" i="1"/>
  <c r="K34" i="1" s="1"/>
  <c r="G210" i="1"/>
  <c r="H210" i="1" s="1"/>
  <c r="J210" i="1" s="1"/>
  <c r="I210" i="1" s="1"/>
  <c r="D210" i="1"/>
  <c r="K210" i="1" s="1"/>
  <c r="C210" i="1"/>
  <c r="E210" i="1" s="1"/>
  <c r="D256" i="1"/>
  <c r="K256" i="1" s="1"/>
  <c r="G256" i="1"/>
  <c r="H256" i="1" s="1"/>
  <c r="F256" i="1" s="1"/>
  <c r="G290" i="1"/>
  <c r="H290" i="1" s="1"/>
  <c r="J290" i="1" s="1"/>
  <c r="I290" i="1" s="1"/>
  <c r="D290" i="1"/>
  <c r="K290" i="1" s="1"/>
  <c r="G499" i="1"/>
  <c r="H499" i="1" s="1"/>
  <c r="F499" i="1" s="1"/>
  <c r="D499" i="1"/>
  <c r="K499" i="1" s="1"/>
  <c r="C499" i="1"/>
  <c r="E499" i="1" s="1"/>
  <c r="D536" i="1"/>
  <c r="K536" i="1" s="1"/>
  <c r="G644" i="1"/>
  <c r="H644" i="1" s="1"/>
  <c r="D644" i="1"/>
  <c r="K644" i="1" s="1"/>
  <c r="C220" i="1"/>
  <c r="E220" i="1" s="1"/>
  <c r="G220" i="1"/>
  <c r="H220" i="1" s="1"/>
  <c r="F220" i="1" s="1"/>
  <c r="G224" i="1"/>
  <c r="H224" i="1" s="1"/>
  <c r="C224" i="1"/>
  <c r="E224" i="1" s="1"/>
  <c r="D237" i="1"/>
  <c r="K237" i="1" s="1"/>
  <c r="G237" i="1"/>
  <c r="H237" i="1" s="1"/>
  <c r="J237" i="1" s="1"/>
  <c r="D320" i="1"/>
  <c r="K320" i="1" s="1"/>
  <c r="G347" i="1"/>
  <c r="H347" i="1" s="1"/>
  <c r="C414" i="1"/>
  <c r="E414" i="1" s="1"/>
  <c r="C441" i="1"/>
  <c r="E441" i="1" s="1"/>
  <c r="C457" i="1"/>
  <c r="E457" i="1" s="1"/>
  <c r="G457" i="1"/>
  <c r="H457" i="1" s="1"/>
  <c r="F457" i="1" s="1"/>
  <c r="G562" i="1"/>
  <c r="H562" i="1" s="1"/>
  <c r="F562" i="1" s="1"/>
  <c r="D562" i="1"/>
  <c r="K562" i="1" s="1"/>
  <c r="C562" i="1"/>
  <c r="E562" i="1" s="1"/>
  <c r="G620" i="1"/>
  <c r="H620" i="1" s="1"/>
  <c r="C659" i="1"/>
  <c r="E659" i="1" s="1"/>
  <c r="G516" i="1"/>
  <c r="H516" i="1" s="1"/>
  <c r="D516" i="1"/>
  <c r="K516" i="1" s="1"/>
  <c r="C516" i="1"/>
  <c r="E516" i="1" s="1"/>
  <c r="G111" i="1"/>
  <c r="H111" i="1" s="1"/>
  <c r="F111" i="1" s="1"/>
  <c r="D111" i="1"/>
  <c r="K111" i="1" s="1"/>
  <c r="G179" i="1"/>
  <c r="H179" i="1" s="1"/>
  <c r="J179" i="1" s="1"/>
  <c r="I179" i="1" s="1"/>
  <c r="C179" i="1"/>
  <c r="E179" i="1" s="1"/>
  <c r="D220" i="1"/>
  <c r="K220" i="1" s="1"/>
  <c r="D233" i="1"/>
  <c r="K233" i="1" s="1"/>
  <c r="D318" i="1"/>
  <c r="K318" i="1" s="1"/>
  <c r="D347" i="1"/>
  <c r="K347" i="1" s="1"/>
  <c r="D371" i="1"/>
  <c r="K371" i="1" s="1"/>
  <c r="G371" i="1"/>
  <c r="H371" i="1" s="1"/>
  <c r="F371" i="1" s="1"/>
  <c r="D439" i="1"/>
  <c r="K439" i="1" s="1"/>
  <c r="C473" i="1"/>
  <c r="E473" i="1" s="1"/>
  <c r="G473" i="1"/>
  <c r="H473" i="1" s="1"/>
  <c r="J473" i="1" s="1"/>
  <c r="I473" i="1" s="1"/>
  <c r="C529" i="1"/>
  <c r="E529" i="1" s="1"/>
  <c r="G529" i="1"/>
  <c r="H529" i="1" s="1"/>
  <c r="F529" i="1" s="1"/>
  <c r="G539" i="1"/>
  <c r="H539" i="1" s="1"/>
  <c r="F539" i="1" s="1"/>
  <c r="D539" i="1"/>
  <c r="K539" i="1" s="1"/>
  <c r="C539" i="1"/>
  <c r="E539" i="1" s="1"/>
  <c r="C657" i="1"/>
  <c r="E657" i="1" s="1"/>
  <c r="G657" i="1"/>
  <c r="H657" i="1" s="1"/>
  <c r="J657" i="1" s="1"/>
  <c r="G150" i="1"/>
  <c r="H150" i="1" s="1"/>
  <c r="J150" i="1" s="1"/>
  <c r="I150" i="1" s="1"/>
  <c r="D150" i="1"/>
  <c r="K150" i="1" s="1"/>
  <c r="D14" i="1"/>
  <c r="K14" i="1" s="1"/>
  <c r="G14" i="1"/>
  <c r="H14" i="1" s="1"/>
  <c r="J14" i="1" s="1"/>
  <c r="I14" i="1" s="1"/>
  <c r="C111" i="1"/>
  <c r="E111" i="1" s="1"/>
  <c r="G159" i="1"/>
  <c r="H159" i="1" s="1"/>
  <c r="D159" i="1"/>
  <c r="K159" i="1" s="1"/>
  <c r="C159" i="1"/>
  <c r="E159" i="1" s="1"/>
  <c r="G335" i="1"/>
  <c r="H335" i="1" s="1"/>
  <c r="C439" i="1"/>
  <c r="E439" i="1" s="1"/>
  <c r="D473" i="1"/>
  <c r="K473" i="1" s="1"/>
  <c r="D486" i="1"/>
  <c r="K486" i="1" s="1"/>
  <c r="D529" i="1"/>
  <c r="K529" i="1" s="1"/>
  <c r="D560" i="1"/>
  <c r="K560" i="1" s="1"/>
  <c r="C560" i="1"/>
  <c r="E560" i="1" s="1"/>
  <c r="G565" i="1"/>
  <c r="H565" i="1" s="1"/>
  <c r="J565" i="1" s="1"/>
  <c r="D565" i="1"/>
  <c r="K565" i="1" s="1"/>
  <c r="G567" i="1"/>
  <c r="H567" i="1" s="1"/>
  <c r="J567" i="1" s="1"/>
  <c r="D567" i="1"/>
  <c r="K567" i="1" s="1"/>
  <c r="D589" i="1"/>
  <c r="K589" i="1" s="1"/>
  <c r="C618" i="1"/>
  <c r="E618" i="1" s="1"/>
  <c r="D657" i="1"/>
  <c r="K657" i="1" s="1"/>
  <c r="G390" i="1"/>
  <c r="H390" i="1" s="1"/>
  <c r="J390" i="1" s="1"/>
  <c r="I390" i="1" s="1"/>
  <c r="D42" i="1"/>
  <c r="K42" i="1" s="1"/>
  <c r="D142" i="1"/>
  <c r="K142" i="1" s="1"/>
  <c r="G147" i="1"/>
  <c r="H147" i="1" s="1"/>
  <c r="F147" i="1" s="1"/>
  <c r="D147" i="1"/>
  <c r="K147" i="1" s="1"/>
  <c r="G176" i="1"/>
  <c r="H176" i="1" s="1"/>
  <c r="J176" i="1" s="1"/>
  <c r="I176" i="1" s="1"/>
  <c r="D176" i="1"/>
  <c r="K176" i="1" s="1"/>
  <c r="C176" i="1"/>
  <c r="E176" i="1" s="1"/>
  <c r="C240" i="1"/>
  <c r="E240" i="1" s="1"/>
  <c r="G240" i="1"/>
  <c r="H240" i="1" s="1"/>
  <c r="F240" i="1" s="1"/>
  <c r="G294" i="1"/>
  <c r="H294" i="1" s="1"/>
  <c r="J294" i="1" s="1"/>
  <c r="I294" i="1" s="1"/>
  <c r="D294" i="1"/>
  <c r="K294" i="1" s="1"/>
  <c r="C294" i="1"/>
  <c r="E294" i="1" s="1"/>
  <c r="C437" i="1"/>
  <c r="E437" i="1" s="1"/>
  <c r="D453" i="1"/>
  <c r="K453" i="1" s="1"/>
  <c r="D556" i="1"/>
  <c r="K556" i="1" s="1"/>
  <c r="C556" i="1"/>
  <c r="E556" i="1" s="1"/>
  <c r="C565" i="1"/>
  <c r="E565" i="1" s="1"/>
  <c r="C655" i="1"/>
  <c r="E655" i="1" s="1"/>
  <c r="D655" i="1"/>
  <c r="K655" i="1" s="1"/>
  <c r="G141" i="1"/>
  <c r="H141" i="1" s="1"/>
  <c r="J141" i="1" s="1"/>
  <c r="I141" i="1" s="1"/>
  <c r="D141" i="1"/>
  <c r="K141" i="1" s="1"/>
  <c r="C141" i="1"/>
  <c r="E141" i="1" s="1"/>
  <c r="G640" i="1"/>
  <c r="H640" i="1" s="1"/>
  <c r="D640" i="1"/>
  <c r="K640" i="1" s="1"/>
  <c r="G120" i="1"/>
  <c r="H120" i="1" s="1"/>
  <c r="G157" i="1"/>
  <c r="H157" i="1" s="1"/>
  <c r="J157" i="1" s="1"/>
  <c r="D157" i="1"/>
  <c r="K157" i="1" s="1"/>
  <c r="C157" i="1"/>
  <c r="E157" i="1" s="1"/>
  <c r="C272" i="1"/>
  <c r="E272" i="1" s="1"/>
  <c r="D331" i="1"/>
  <c r="K331" i="1" s="1"/>
  <c r="C331" i="1"/>
  <c r="E331" i="1" s="1"/>
  <c r="G346" i="1"/>
  <c r="D346" i="1"/>
  <c r="K346" i="1" s="1"/>
  <c r="C346" i="1"/>
  <c r="E346" i="1" s="1"/>
  <c r="G520" i="1"/>
  <c r="H520" i="1" s="1"/>
  <c r="J520" i="1" s="1"/>
  <c r="I520" i="1" s="1"/>
  <c r="D520" i="1"/>
  <c r="K520" i="1" s="1"/>
  <c r="D544" i="1"/>
  <c r="K544" i="1" s="1"/>
  <c r="C563" i="1"/>
  <c r="E563" i="1" s="1"/>
  <c r="G582" i="1"/>
  <c r="H582" i="1" s="1"/>
  <c r="D582" i="1"/>
  <c r="K582" i="1" s="1"/>
  <c r="C582" i="1"/>
  <c r="E582" i="1" s="1"/>
  <c r="H17" i="1"/>
  <c r="J17" i="1" s="1"/>
  <c r="G29" i="1"/>
  <c r="H29" i="1" s="1"/>
  <c r="J29" i="1" s="1"/>
  <c r="I29" i="1" s="1"/>
  <c r="D30" i="1"/>
  <c r="K30" i="1" s="1"/>
  <c r="C57" i="1"/>
  <c r="E57" i="1" s="1"/>
  <c r="C61" i="1"/>
  <c r="E61" i="1" s="1"/>
  <c r="D132" i="1"/>
  <c r="K132" i="1" s="1"/>
  <c r="G156" i="1"/>
  <c r="H156" i="1" s="1"/>
  <c r="J156" i="1" s="1"/>
  <c r="I156" i="1" s="1"/>
  <c r="E189" i="1"/>
  <c r="G239" i="1"/>
  <c r="H239" i="1" s="1"/>
  <c r="J239" i="1" s="1"/>
  <c r="I239" i="1" s="1"/>
  <c r="G293" i="1"/>
  <c r="H293" i="1" s="1"/>
  <c r="J293" i="1" s="1"/>
  <c r="D300" i="1"/>
  <c r="K300" i="1" s="1"/>
  <c r="G343" i="1"/>
  <c r="H343" i="1" s="1"/>
  <c r="J343" i="1" s="1"/>
  <c r="I343" i="1" s="1"/>
  <c r="D345" i="1"/>
  <c r="K345" i="1" s="1"/>
  <c r="G370" i="1"/>
  <c r="H370" i="1" s="1"/>
  <c r="F370" i="1" s="1"/>
  <c r="G387" i="1"/>
  <c r="H387" i="1" s="1"/>
  <c r="J387" i="1" s="1"/>
  <c r="G395" i="1"/>
  <c r="H395" i="1" s="1"/>
  <c r="J395" i="1" s="1"/>
  <c r="G446" i="1"/>
  <c r="H446" i="1" s="1"/>
  <c r="J446" i="1" s="1"/>
  <c r="G491" i="1"/>
  <c r="H491" i="1" s="1"/>
  <c r="J491" i="1" s="1"/>
  <c r="I491" i="1" s="1"/>
  <c r="D493" i="1"/>
  <c r="K493" i="1" s="1"/>
  <c r="G496" i="1"/>
  <c r="H496" i="1" s="1"/>
  <c r="J496" i="1" s="1"/>
  <c r="I496" i="1" s="1"/>
  <c r="D498" i="1"/>
  <c r="K498" i="1" s="1"/>
  <c r="G502" i="1"/>
  <c r="H502" i="1" s="1"/>
  <c r="F502" i="1" s="1"/>
  <c r="D512" i="1"/>
  <c r="K512" i="1" s="1"/>
  <c r="D518" i="1"/>
  <c r="K518" i="1" s="1"/>
  <c r="G572" i="1"/>
  <c r="H572" i="1" s="1"/>
  <c r="F572" i="1" s="1"/>
  <c r="C95" i="1"/>
  <c r="E95" i="1" s="1"/>
  <c r="C35" i="1"/>
  <c r="E35" i="1" s="1"/>
  <c r="C80" i="1"/>
  <c r="E80" i="1" s="1"/>
  <c r="D115" i="1"/>
  <c r="K115" i="1" s="1"/>
  <c r="C124" i="1"/>
  <c r="E124" i="1" s="1"/>
  <c r="G132" i="1"/>
  <c r="H132" i="1" s="1"/>
  <c r="J132" i="1" s="1"/>
  <c r="I132" i="1" s="1"/>
  <c r="C180" i="1"/>
  <c r="E180" i="1" s="1"/>
  <c r="G189" i="1"/>
  <c r="H189" i="1" s="1"/>
  <c r="J189" i="1" s="1"/>
  <c r="I189" i="1" s="1"/>
  <c r="C212" i="1"/>
  <c r="E212" i="1" s="1"/>
  <c r="G300" i="1"/>
  <c r="H300" i="1" s="1"/>
  <c r="F300" i="1" s="1"/>
  <c r="E359" i="1"/>
  <c r="D406" i="1"/>
  <c r="K406" i="1" s="1"/>
  <c r="G493" i="1"/>
  <c r="H493" i="1" s="1"/>
  <c r="F493" i="1" s="1"/>
  <c r="C501" i="1"/>
  <c r="E501" i="1" s="1"/>
  <c r="C510" i="1"/>
  <c r="E510" i="1" s="1"/>
  <c r="G512" i="1"/>
  <c r="H512" i="1" s="1"/>
  <c r="J512" i="1" s="1"/>
  <c r="I512" i="1" s="1"/>
  <c r="C534" i="1"/>
  <c r="E534" i="1" s="1"/>
  <c r="D537" i="1"/>
  <c r="K537" i="1" s="1"/>
  <c r="C542" i="1"/>
  <c r="E542" i="1" s="1"/>
  <c r="C550" i="1"/>
  <c r="E550" i="1" s="1"/>
  <c r="C568" i="1"/>
  <c r="E568" i="1" s="1"/>
  <c r="E613" i="1"/>
  <c r="D630" i="1"/>
  <c r="K630" i="1" s="1"/>
  <c r="C652" i="1"/>
  <c r="E652" i="1" s="1"/>
  <c r="G410" i="1"/>
  <c r="H410" i="1" s="1"/>
  <c r="F410" i="1" s="1"/>
  <c r="G451" i="1"/>
  <c r="C165" i="1"/>
  <c r="E165" i="1" s="1"/>
  <c r="C209" i="1"/>
  <c r="E209" i="1" s="1"/>
  <c r="D232" i="1"/>
  <c r="K232" i="1" s="1"/>
  <c r="C239" i="1"/>
  <c r="E239" i="1" s="1"/>
  <c r="D248" i="1"/>
  <c r="K248" i="1" s="1"/>
  <c r="D289" i="1"/>
  <c r="K289" i="1" s="1"/>
  <c r="C293" i="1"/>
  <c r="E293" i="1" s="1"/>
  <c r="C343" i="1"/>
  <c r="E343" i="1" s="1"/>
  <c r="G365" i="1"/>
  <c r="H365" i="1" s="1"/>
  <c r="C383" i="1"/>
  <c r="E383" i="1" s="1"/>
  <c r="C446" i="1"/>
  <c r="E446" i="1" s="1"/>
  <c r="C482" i="1"/>
  <c r="E482" i="1" s="1"/>
  <c r="C496" i="1"/>
  <c r="E496" i="1" s="1"/>
  <c r="C502" i="1"/>
  <c r="E502" i="1" s="1"/>
  <c r="C515" i="1"/>
  <c r="E515" i="1" s="1"/>
  <c r="C519" i="1"/>
  <c r="E519" i="1" s="1"/>
  <c r="D592" i="1"/>
  <c r="K592" i="1" s="1"/>
  <c r="D610" i="1"/>
  <c r="K610" i="1" s="1"/>
  <c r="E623" i="1"/>
  <c r="C97" i="1"/>
  <c r="E97" i="1" s="1"/>
  <c r="G95" i="1"/>
  <c r="H95" i="1" s="1"/>
  <c r="J95" i="1" s="1"/>
  <c r="I95" i="1" s="1"/>
  <c r="C110" i="1"/>
  <c r="E110" i="1" s="1"/>
  <c r="G165" i="1"/>
  <c r="H165" i="1" s="1"/>
  <c r="J165" i="1" s="1"/>
  <c r="D189" i="1"/>
  <c r="K189" i="1" s="1"/>
  <c r="D209" i="1"/>
  <c r="K209" i="1" s="1"/>
  <c r="G228" i="1"/>
  <c r="H228" i="1" s="1"/>
  <c r="J228" i="1" s="1"/>
  <c r="D230" i="1"/>
  <c r="K230" i="1" s="1"/>
  <c r="D255" i="1"/>
  <c r="K255" i="1" s="1"/>
  <c r="C345" i="1"/>
  <c r="E345" i="1" s="1"/>
  <c r="D383" i="1"/>
  <c r="K383" i="1" s="1"/>
  <c r="G430" i="1"/>
  <c r="H430" i="1" s="1"/>
  <c r="C498" i="1"/>
  <c r="E498" i="1" s="1"/>
  <c r="D515" i="1"/>
  <c r="K515" i="1" s="1"/>
  <c r="C518" i="1"/>
  <c r="E518" i="1" s="1"/>
  <c r="D531" i="1"/>
  <c r="K531" i="1" s="1"/>
  <c r="D535" i="1"/>
  <c r="K535" i="1" s="1"/>
  <c r="D543" i="1"/>
  <c r="K543" i="1" s="1"/>
  <c r="C572" i="1"/>
  <c r="E572" i="1" s="1"/>
  <c r="D597" i="1"/>
  <c r="K597" i="1" s="1"/>
  <c r="E604" i="1"/>
  <c r="H610" i="1"/>
  <c r="G617" i="1"/>
  <c r="H617" i="1" s="1"/>
  <c r="G623" i="1"/>
  <c r="H623" i="1" s="1"/>
  <c r="J623" i="1" s="1"/>
  <c r="I623" i="1" s="1"/>
  <c r="E643" i="1"/>
  <c r="D647" i="1"/>
  <c r="K647" i="1" s="1"/>
  <c r="H39" i="1"/>
  <c r="J39" i="1" s="1"/>
  <c r="C10" i="1"/>
  <c r="E10" i="1" s="1"/>
  <c r="C55" i="1"/>
  <c r="E55" i="1" s="1"/>
  <c r="D161" i="1"/>
  <c r="K161" i="1" s="1"/>
  <c r="C60" i="1"/>
  <c r="E60" i="1" s="1"/>
  <c r="E81" i="1"/>
  <c r="C84" i="1"/>
  <c r="E84" i="1" s="1"/>
  <c r="C85" i="1"/>
  <c r="E85" i="1" s="1"/>
  <c r="G145" i="1"/>
  <c r="C146" i="1"/>
  <c r="E146" i="1" s="1"/>
  <c r="G153" i="1"/>
  <c r="H153" i="1" s="1"/>
  <c r="J153" i="1" s="1"/>
  <c r="C154" i="1"/>
  <c r="E154" i="1" s="1"/>
  <c r="C158" i="1"/>
  <c r="E158" i="1" s="1"/>
  <c r="G161" i="1"/>
  <c r="H161" i="1" s="1"/>
  <c r="F161" i="1" s="1"/>
  <c r="C181" i="1"/>
  <c r="E181" i="1" s="1"/>
  <c r="E211" i="1"/>
  <c r="E219" i="1"/>
  <c r="C222" i="1"/>
  <c r="E222" i="1" s="1"/>
  <c r="G223" i="1"/>
  <c r="H223" i="1" s="1"/>
  <c r="G226" i="1"/>
  <c r="H226" i="1" s="1"/>
  <c r="E236" i="1"/>
  <c r="D243" i="1"/>
  <c r="K243" i="1" s="1"/>
  <c r="D258" i="1"/>
  <c r="K258" i="1" s="1"/>
  <c r="D259" i="1"/>
  <c r="K259" i="1" s="1"/>
  <c r="G259" i="1"/>
  <c r="H259" i="1" s="1"/>
  <c r="J259" i="1" s="1"/>
  <c r="D266" i="1"/>
  <c r="K266" i="1" s="1"/>
  <c r="G266" i="1"/>
  <c r="H266" i="1" s="1"/>
  <c r="J266" i="1" s="1"/>
  <c r="C292" i="1"/>
  <c r="E292" i="1" s="1"/>
  <c r="D373" i="1"/>
  <c r="K373" i="1" s="1"/>
  <c r="G373" i="1"/>
  <c r="H373" i="1" s="1"/>
  <c r="F373" i="1" s="1"/>
  <c r="C373" i="1"/>
  <c r="E373" i="1" s="1"/>
  <c r="C425" i="1"/>
  <c r="E425" i="1" s="1"/>
  <c r="G425" i="1"/>
  <c r="H425" i="1" s="1"/>
  <c r="J425" i="1" s="1"/>
  <c r="I425" i="1" s="1"/>
  <c r="D143" i="1"/>
  <c r="K143" i="1" s="1"/>
  <c r="C6" i="1"/>
  <c r="E6" i="1" s="1"/>
  <c r="C23" i="1"/>
  <c r="E23" i="1" s="1"/>
  <c r="D5" i="1"/>
  <c r="K5" i="1" s="1"/>
  <c r="D93" i="1"/>
  <c r="K93" i="1" s="1"/>
  <c r="C93" i="1"/>
  <c r="E93" i="1" s="1"/>
  <c r="D154" i="1"/>
  <c r="K154" i="1" s="1"/>
  <c r="G219" i="1"/>
  <c r="H219" i="1" s="1"/>
  <c r="J219" i="1" s="1"/>
  <c r="I219" i="1" s="1"/>
  <c r="G243" i="1"/>
  <c r="H243" i="1" s="1"/>
  <c r="J243" i="1" s="1"/>
  <c r="I243" i="1" s="1"/>
  <c r="G376" i="1"/>
  <c r="H376" i="1" s="1"/>
  <c r="F376" i="1" s="1"/>
  <c r="D376" i="1"/>
  <c r="K376" i="1" s="1"/>
  <c r="C376" i="1"/>
  <c r="E376" i="1" s="1"/>
  <c r="G382" i="1"/>
  <c r="H382" i="1" s="1"/>
  <c r="J382" i="1" s="1"/>
  <c r="I382" i="1" s="1"/>
  <c r="D382" i="1"/>
  <c r="K382" i="1" s="1"/>
  <c r="G319" i="1"/>
  <c r="H319" i="1" s="1"/>
  <c r="D319" i="1"/>
  <c r="K319" i="1" s="1"/>
  <c r="C319" i="1"/>
  <c r="E319" i="1" s="1"/>
  <c r="C19" i="1"/>
  <c r="E19" i="1" s="1"/>
  <c r="C48" i="1"/>
  <c r="E48" i="1" s="1"/>
  <c r="D81" i="1"/>
  <c r="K81" i="1" s="1"/>
  <c r="G288" i="1"/>
  <c r="H288" i="1" s="1"/>
  <c r="J288" i="1" s="1"/>
  <c r="D288" i="1"/>
  <c r="K288" i="1" s="1"/>
  <c r="C288" i="1"/>
  <c r="E288" i="1" s="1"/>
  <c r="D56" i="1"/>
  <c r="K56" i="1" s="1"/>
  <c r="D6" i="1"/>
  <c r="K6" i="1" s="1"/>
  <c r="D146" i="1"/>
  <c r="K146" i="1" s="1"/>
  <c r="C208" i="1"/>
  <c r="E208" i="1" s="1"/>
  <c r="D208" i="1"/>
  <c r="K208" i="1" s="1"/>
  <c r="G5" i="1"/>
  <c r="H5" i="1" s="1"/>
  <c r="J5" i="1" s="1"/>
  <c r="I5" i="1" s="1"/>
  <c r="G20" i="1"/>
  <c r="H20" i="1" s="1"/>
  <c r="D27" i="1"/>
  <c r="K27" i="1" s="1"/>
  <c r="C32" i="1"/>
  <c r="E32" i="1" s="1"/>
  <c r="C59" i="1"/>
  <c r="E59" i="1" s="1"/>
  <c r="G60" i="1"/>
  <c r="H60" i="1" s="1"/>
  <c r="J60" i="1" s="1"/>
  <c r="I60" i="1" s="1"/>
  <c r="C63" i="1"/>
  <c r="E63" i="1" s="1"/>
  <c r="C77" i="1"/>
  <c r="E77" i="1" s="1"/>
  <c r="C83" i="1"/>
  <c r="E83" i="1" s="1"/>
  <c r="G84" i="1"/>
  <c r="H84" i="1" s="1"/>
  <c r="J84" i="1" s="1"/>
  <c r="I84" i="1" s="1"/>
  <c r="G87" i="1"/>
  <c r="H87" i="1" s="1"/>
  <c r="J87" i="1" s="1"/>
  <c r="I87" i="1" s="1"/>
  <c r="C109" i="1"/>
  <c r="E109" i="1" s="1"/>
  <c r="D145" i="1"/>
  <c r="K145" i="1" s="1"/>
  <c r="D153" i="1"/>
  <c r="K153" i="1" s="1"/>
  <c r="C160" i="1"/>
  <c r="E160" i="1" s="1"/>
  <c r="C177" i="1"/>
  <c r="E177" i="1" s="1"/>
  <c r="G198" i="1"/>
  <c r="H198" i="1" s="1"/>
  <c r="J198" i="1" s="1"/>
  <c r="I198" i="1" s="1"/>
  <c r="G222" i="1"/>
  <c r="H222" i="1" s="1"/>
  <c r="E230" i="1"/>
  <c r="J241" i="1"/>
  <c r="I241" i="1" s="1"/>
  <c r="D241" i="1"/>
  <c r="K241" i="1" s="1"/>
  <c r="C254" i="1"/>
  <c r="E254" i="1" s="1"/>
  <c r="G258" i="1"/>
  <c r="H258" i="1" s="1"/>
  <c r="J258" i="1" s="1"/>
  <c r="I258" i="1" s="1"/>
  <c r="D381" i="1"/>
  <c r="K381" i="1" s="1"/>
  <c r="G381" i="1"/>
  <c r="H381" i="1" s="1"/>
  <c r="F381" i="1" s="1"/>
  <c r="G388" i="1"/>
  <c r="H388" i="1" s="1"/>
  <c r="J388" i="1" s="1"/>
  <c r="I388" i="1" s="1"/>
  <c r="D388" i="1"/>
  <c r="K388" i="1" s="1"/>
  <c r="G143" i="1"/>
  <c r="H143" i="1" s="1"/>
  <c r="C143" i="1"/>
  <c r="E143" i="1" s="1"/>
  <c r="D219" i="1"/>
  <c r="K219" i="1" s="1"/>
  <c r="C261" i="1"/>
  <c r="E261" i="1" s="1"/>
  <c r="D261" i="1"/>
  <c r="K261" i="1" s="1"/>
  <c r="G292" i="1"/>
  <c r="H292" i="1" s="1"/>
  <c r="D292" i="1"/>
  <c r="K292" i="1" s="1"/>
  <c r="C4" i="1"/>
  <c r="E4" i="1" s="1"/>
  <c r="G41" i="1"/>
  <c r="H41" i="1" s="1"/>
  <c r="D4" i="1"/>
  <c r="K4" i="1" s="1"/>
  <c r="C20" i="1"/>
  <c r="E20" i="1" s="1"/>
  <c r="G81" i="1"/>
  <c r="H81" i="1" s="1"/>
  <c r="C87" i="1"/>
  <c r="E87" i="1" s="1"/>
  <c r="C89" i="1"/>
  <c r="E89" i="1" s="1"/>
  <c r="D91" i="1"/>
  <c r="K91" i="1" s="1"/>
  <c r="G91" i="1"/>
  <c r="H91" i="1" s="1"/>
  <c r="J91" i="1" s="1"/>
  <c r="I91" i="1" s="1"/>
  <c r="D99" i="1"/>
  <c r="K99" i="1" s="1"/>
  <c r="G99" i="1"/>
  <c r="H99" i="1" s="1"/>
  <c r="J99" i="1" s="1"/>
  <c r="I99" i="1" s="1"/>
  <c r="H4" i="1"/>
  <c r="J4" i="1" s="1"/>
  <c r="G9" i="1"/>
  <c r="H9" i="1" s="1"/>
  <c r="J9" i="1" s="1"/>
  <c r="I9" i="1" s="1"/>
  <c r="J12" i="1"/>
  <c r="I12" i="1" s="1"/>
  <c r="G19" i="1"/>
  <c r="H19" i="1" s="1"/>
  <c r="J19" i="1" s="1"/>
  <c r="I19" i="1" s="1"/>
  <c r="G32" i="1"/>
  <c r="H32" i="1" s="1"/>
  <c r="J32" i="1" s="1"/>
  <c r="I32" i="1" s="1"/>
  <c r="G55" i="1"/>
  <c r="H55" i="1" s="1"/>
  <c r="J55" i="1" s="1"/>
  <c r="I55" i="1" s="1"/>
  <c r="G89" i="1"/>
  <c r="H89" i="1" s="1"/>
  <c r="J89" i="1" s="1"/>
  <c r="I89" i="1" s="1"/>
  <c r="G93" i="1"/>
  <c r="H93" i="1" s="1"/>
  <c r="J93" i="1" s="1"/>
  <c r="I93" i="1" s="1"/>
  <c r="D109" i="1"/>
  <c r="K109" i="1" s="1"/>
  <c r="G128" i="1"/>
  <c r="H128" i="1" s="1"/>
  <c r="J128" i="1" s="1"/>
  <c r="I128" i="1" s="1"/>
  <c r="D139" i="1"/>
  <c r="K139" i="1" s="1"/>
  <c r="G139" i="1"/>
  <c r="H139" i="1" s="1"/>
  <c r="J139" i="1" s="1"/>
  <c r="I139" i="1" s="1"/>
  <c r="E145" i="1"/>
  <c r="G152" i="1"/>
  <c r="H152" i="1" s="1"/>
  <c r="J152" i="1" s="1"/>
  <c r="I152" i="1" s="1"/>
  <c r="D152" i="1"/>
  <c r="K152" i="1" s="1"/>
  <c r="E153" i="1"/>
  <c r="H160" i="1"/>
  <c r="J160" i="1" s="1"/>
  <c r="I160" i="1" s="1"/>
  <c r="G177" i="1"/>
  <c r="H177" i="1" s="1"/>
  <c r="F177" i="1" s="1"/>
  <c r="G191" i="1"/>
  <c r="H191" i="1" s="1"/>
  <c r="J191" i="1" s="1"/>
  <c r="I191" i="1" s="1"/>
  <c r="D224" i="1"/>
  <c r="K224" i="1" s="1"/>
  <c r="G270" i="1"/>
  <c r="H270" i="1" s="1"/>
  <c r="J270" i="1" s="1"/>
  <c r="I270" i="1" s="1"/>
  <c r="C270" i="1"/>
  <c r="E270" i="1" s="1"/>
  <c r="D379" i="1"/>
  <c r="K379" i="1" s="1"/>
  <c r="G379" i="1"/>
  <c r="H379" i="1" s="1"/>
  <c r="F379" i="1" s="1"/>
  <c r="E408" i="1"/>
  <c r="G408" i="1"/>
  <c r="H408" i="1" s="1"/>
  <c r="D408" i="1"/>
  <c r="K408" i="1" s="1"/>
  <c r="C223" i="1"/>
  <c r="E223" i="1" s="1"/>
  <c r="D129" i="1"/>
  <c r="K129" i="1" s="1"/>
  <c r="G298" i="1"/>
  <c r="H298" i="1" s="1"/>
  <c r="J298" i="1" s="1"/>
  <c r="I298" i="1" s="1"/>
  <c r="D298" i="1"/>
  <c r="K298" i="1" s="1"/>
  <c r="C298" i="1"/>
  <c r="E298" i="1" s="1"/>
  <c r="C18" i="1"/>
  <c r="E18" i="1" s="1"/>
  <c r="D55" i="1"/>
  <c r="K55" i="1" s="1"/>
  <c r="J45" i="1"/>
  <c r="I45" i="1" s="1"/>
  <c r="G77" i="1"/>
  <c r="H77" i="1" s="1"/>
  <c r="J77" i="1" s="1"/>
  <c r="I77" i="1" s="1"/>
  <c r="G116" i="1"/>
  <c r="C135" i="1"/>
  <c r="E135" i="1" s="1"/>
  <c r="G144" i="1"/>
  <c r="H144" i="1" s="1"/>
  <c r="J144" i="1" s="1"/>
  <c r="I144" i="1" s="1"/>
  <c r="C144" i="1"/>
  <c r="E144" i="1" s="1"/>
  <c r="G148" i="1"/>
  <c r="H148" i="1" s="1"/>
  <c r="J148" i="1" s="1"/>
  <c r="I148" i="1" s="1"/>
  <c r="C148" i="1"/>
  <c r="E148" i="1" s="1"/>
  <c r="J252" i="1"/>
  <c r="I252" i="1" s="1"/>
  <c r="D252" i="1"/>
  <c r="K252" i="1" s="1"/>
  <c r="C278" i="1"/>
  <c r="E278" i="1" s="1"/>
  <c r="G284" i="1"/>
  <c r="H284" i="1" s="1"/>
  <c r="D284" i="1"/>
  <c r="K284" i="1" s="1"/>
  <c r="C284" i="1"/>
  <c r="E284" i="1" s="1"/>
  <c r="E307" i="1"/>
  <c r="D377" i="1"/>
  <c r="K377" i="1" s="1"/>
  <c r="G377" i="1"/>
  <c r="H377" i="1" s="1"/>
  <c r="F377" i="1" s="1"/>
  <c r="C379" i="1"/>
  <c r="E379" i="1" s="1"/>
  <c r="G369" i="1"/>
  <c r="H369" i="1" s="1"/>
  <c r="D375" i="1"/>
  <c r="K375" i="1" s="1"/>
  <c r="G375" i="1"/>
  <c r="H375" i="1" s="1"/>
  <c r="C375" i="1"/>
  <c r="E375" i="1" s="1"/>
  <c r="C14" i="1"/>
  <c r="E14" i="1" s="1"/>
  <c r="C29" i="1"/>
  <c r="E29" i="1" s="1"/>
  <c r="G35" i="1"/>
  <c r="H35" i="1" s="1"/>
  <c r="J35" i="1" s="1"/>
  <c r="I35" i="1" s="1"/>
  <c r="C79" i="1"/>
  <c r="E79" i="1" s="1"/>
  <c r="C82" i="1"/>
  <c r="E82" i="1" s="1"/>
  <c r="C104" i="1"/>
  <c r="E104" i="1" s="1"/>
  <c r="G109" i="1"/>
  <c r="H109" i="1" s="1"/>
  <c r="J109" i="1" s="1"/>
  <c r="I109" i="1" s="1"/>
  <c r="C115" i="1"/>
  <c r="E115" i="1" s="1"/>
  <c r="C116" i="1"/>
  <c r="E116" i="1" s="1"/>
  <c r="G135" i="1"/>
  <c r="H135" i="1" s="1"/>
  <c r="J135" i="1" s="1"/>
  <c r="I135" i="1" s="1"/>
  <c r="D144" i="1"/>
  <c r="K144" i="1" s="1"/>
  <c r="C147" i="1"/>
  <c r="E147" i="1" s="1"/>
  <c r="D148" i="1"/>
  <c r="K148" i="1" s="1"/>
  <c r="H151" i="1"/>
  <c r="J151" i="1" s="1"/>
  <c r="I151" i="1" s="1"/>
  <c r="D151" i="1"/>
  <c r="K151" i="1" s="1"/>
  <c r="C155" i="1"/>
  <c r="E155" i="1" s="1"/>
  <c r="E195" i="1"/>
  <c r="C197" i="1"/>
  <c r="E197" i="1" s="1"/>
  <c r="J233" i="1"/>
  <c r="I233" i="1" s="1"/>
  <c r="C233" i="1"/>
  <c r="E233" i="1" s="1"/>
  <c r="D240" i="1"/>
  <c r="K240" i="1" s="1"/>
  <c r="C252" i="1"/>
  <c r="E252" i="1" s="1"/>
  <c r="D278" i="1"/>
  <c r="K278" i="1" s="1"/>
  <c r="C324" i="1"/>
  <c r="E324" i="1" s="1"/>
  <c r="H324" i="1"/>
  <c r="F324" i="1" s="1"/>
  <c r="D324" i="1"/>
  <c r="K324" i="1" s="1"/>
  <c r="C377" i="1"/>
  <c r="E377" i="1" s="1"/>
  <c r="G401" i="1"/>
  <c r="H401" i="1" s="1"/>
  <c r="D401" i="1"/>
  <c r="K401" i="1" s="1"/>
  <c r="C465" i="1"/>
  <c r="E465" i="1" s="1"/>
  <c r="D465" i="1"/>
  <c r="K465" i="1" s="1"/>
  <c r="D507" i="1"/>
  <c r="K507" i="1" s="1"/>
  <c r="G507" i="1"/>
  <c r="H507" i="1" s="1"/>
  <c r="J507" i="1" s="1"/>
  <c r="I507" i="1" s="1"/>
  <c r="C521" i="1"/>
  <c r="E521" i="1" s="1"/>
  <c r="D521" i="1"/>
  <c r="K521" i="1" s="1"/>
  <c r="C532" i="1"/>
  <c r="E532" i="1" s="1"/>
  <c r="D532" i="1"/>
  <c r="K532" i="1" s="1"/>
  <c r="G593" i="1"/>
  <c r="H593" i="1" s="1"/>
  <c r="C593" i="1"/>
  <c r="E593" i="1" s="1"/>
  <c r="D593" i="1"/>
  <c r="K593" i="1" s="1"/>
  <c r="J149" i="1"/>
  <c r="I149" i="1" s="1"/>
  <c r="H321" i="1"/>
  <c r="F321" i="1" s="1"/>
  <c r="D433" i="1"/>
  <c r="K433" i="1" s="1"/>
  <c r="G433" i="1"/>
  <c r="H433" i="1" s="1"/>
  <c r="J433" i="1" s="1"/>
  <c r="I433" i="1" s="1"/>
  <c r="C453" i="1"/>
  <c r="E453" i="1" s="1"/>
  <c r="H453" i="1"/>
  <c r="J453" i="1" s="1"/>
  <c r="G458" i="1"/>
  <c r="H458" i="1" s="1"/>
  <c r="J458" i="1" s="1"/>
  <c r="I458" i="1" s="1"/>
  <c r="D458" i="1"/>
  <c r="K458" i="1" s="1"/>
  <c r="C458" i="1"/>
  <c r="E458" i="1" s="1"/>
  <c r="G465" i="1"/>
  <c r="H465" i="1" s="1"/>
  <c r="J465" i="1" s="1"/>
  <c r="I465" i="1" s="1"/>
  <c r="C490" i="1"/>
  <c r="E490" i="1" s="1"/>
  <c r="G490" i="1"/>
  <c r="H490" i="1" s="1"/>
  <c r="J490" i="1" s="1"/>
  <c r="D490" i="1"/>
  <c r="K490" i="1" s="1"/>
  <c r="C507" i="1"/>
  <c r="E507" i="1" s="1"/>
  <c r="G521" i="1"/>
  <c r="H521" i="1" s="1"/>
  <c r="G532" i="1"/>
  <c r="H532" i="1" s="1"/>
  <c r="C540" i="1"/>
  <c r="E540" i="1" s="1"/>
  <c r="H540" i="1"/>
  <c r="F540" i="1" s="1"/>
  <c r="D540" i="1"/>
  <c r="K540" i="1" s="1"/>
  <c r="H548" i="1"/>
  <c r="F548" i="1" s="1"/>
  <c r="C552" i="1"/>
  <c r="E552" i="1" s="1"/>
  <c r="D552" i="1"/>
  <c r="K552" i="1" s="1"/>
  <c r="C598" i="1"/>
  <c r="E598" i="1" s="1"/>
  <c r="G598" i="1"/>
  <c r="H598" i="1" s="1"/>
  <c r="J598" i="1" s="1"/>
  <c r="E285" i="1"/>
  <c r="E412" i="1"/>
  <c r="G412" i="1"/>
  <c r="H412" i="1" s="1"/>
  <c r="F412" i="1" s="1"/>
  <c r="G495" i="1"/>
  <c r="H495" i="1" s="1"/>
  <c r="D495" i="1"/>
  <c r="K495" i="1" s="1"/>
  <c r="C495" i="1"/>
  <c r="E495" i="1" s="1"/>
  <c r="D509" i="1"/>
  <c r="K509" i="1" s="1"/>
  <c r="G509" i="1"/>
  <c r="H509" i="1" s="1"/>
  <c r="J509" i="1" s="1"/>
  <c r="G513" i="1"/>
  <c r="H513" i="1" s="1"/>
  <c r="J513" i="1" s="1"/>
  <c r="D513" i="1"/>
  <c r="K513" i="1" s="1"/>
  <c r="C513" i="1"/>
  <c r="E513" i="1" s="1"/>
  <c r="G517" i="1"/>
  <c r="H517" i="1" s="1"/>
  <c r="J517" i="1" s="1"/>
  <c r="I517" i="1" s="1"/>
  <c r="D517" i="1"/>
  <c r="K517" i="1" s="1"/>
  <c r="C517" i="1"/>
  <c r="E517" i="1" s="1"/>
  <c r="G578" i="1"/>
  <c r="H578" i="1" s="1"/>
  <c r="J578" i="1" s="1"/>
  <c r="I578" i="1" s="1"/>
  <c r="D578" i="1"/>
  <c r="K578" i="1" s="1"/>
  <c r="C578" i="1"/>
  <c r="E578" i="1" s="1"/>
  <c r="C372" i="1"/>
  <c r="E372" i="1" s="1"/>
  <c r="G400" i="1"/>
  <c r="C422" i="1"/>
  <c r="E422" i="1" s="1"/>
  <c r="C461" i="1"/>
  <c r="E461" i="1" s="1"/>
  <c r="C481" i="1"/>
  <c r="E481" i="1" s="1"/>
  <c r="D481" i="1"/>
  <c r="K481" i="1" s="1"/>
  <c r="C492" i="1"/>
  <c r="E492" i="1" s="1"/>
  <c r="G504" i="1"/>
  <c r="H504" i="1" s="1"/>
  <c r="J504" i="1" s="1"/>
  <c r="I504" i="1" s="1"/>
  <c r="D504" i="1"/>
  <c r="K504" i="1" s="1"/>
  <c r="C504" i="1"/>
  <c r="E504" i="1" s="1"/>
  <c r="C509" i="1"/>
  <c r="E509" i="1" s="1"/>
  <c r="C525" i="1"/>
  <c r="E525" i="1" s="1"/>
  <c r="D525" i="1"/>
  <c r="K525" i="1" s="1"/>
  <c r="G564" i="1"/>
  <c r="H564" i="1" s="1"/>
  <c r="J564" i="1" s="1"/>
  <c r="D564" i="1"/>
  <c r="K564" i="1" s="1"/>
  <c r="C564" i="1"/>
  <c r="E564" i="1" s="1"/>
  <c r="G574" i="1"/>
  <c r="D574" i="1"/>
  <c r="K574" i="1" s="1"/>
  <c r="C574" i="1"/>
  <c r="E574" i="1" s="1"/>
  <c r="C594" i="1"/>
  <c r="E594" i="1" s="1"/>
  <c r="D594" i="1"/>
  <c r="K594" i="1" s="1"/>
  <c r="G594" i="1"/>
  <c r="H594" i="1" s="1"/>
  <c r="J594" i="1" s="1"/>
  <c r="G97" i="1"/>
  <c r="H186" i="1"/>
  <c r="J186" i="1" s="1"/>
  <c r="D276" i="1"/>
  <c r="K276" i="1" s="1"/>
  <c r="D285" i="1"/>
  <c r="K285" i="1" s="1"/>
  <c r="H297" i="1"/>
  <c r="J297" i="1" s="1"/>
  <c r="D301" i="1"/>
  <c r="K301" i="1" s="1"/>
  <c r="D350" i="1"/>
  <c r="K350" i="1" s="1"/>
  <c r="D359" i="1"/>
  <c r="K359" i="1" s="1"/>
  <c r="C366" i="1"/>
  <c r="E366" i="1" s="1"/>
  <c r="C371" i="1"/>
  <c r="E371" i="1" s="1"/>
  <c r="D372" i="1"/>
  <c r="K372" i="1" s="1"/>
  <c r="D412" i="1"/>
  <c r="K412" i="1" s="1"/>
  <c r="H416" i="1"/>
  <c r="F416" i="1" s="1"/>
  <c r="D416" i="1"/>
  <c r="K416" i="1" s="1"/>
  <c r="D432" i="1"/>
  <c r="K432" i="1" s="1"/>
  <c r="J435" i="1"/>
  <c r="I435" i="1" s="1"/>
  <c r="D435" i="1"/>
  <c r="K435" i="1" s="1"/>
  <c r="G450" i="1"/>
  <c r="H450" i="1" s="1"/>
  <c r="G461" i="1"/>
  <c r="H461" i="1" s="1"/>
  <c r="J461" i="1" s="1"/>
  <c r="I461" i="1" s="1"/>
  <c r="C479" i="1"/>
  <c r="E479" i="1" s="1"/>
  <c r="G481" i="1"/>
  <c r="H481" i="1" s="1"/>
  <c r="D489" i="1"/>
  <c r="K489" i="1" s="1"/>
  <c r="G489" i="1"/>
  <c r="C497" i="1"/>
  <c r="E497" i="1" s="1"/>
  <c r="D497" i="1"/>
  <c r="K497" i="1" s="1"/>
  <c r="C506" i="1"/>
  <c r="E506" i="1" s="1"/>
  <c r="D506" i="1"/>
  <c r="K506" i="1" s="1"/>
  <c r="D522" i="1"/>
  <c r="K522" i="1" s="1"/>
  <c r="G522" i="1"/>
  <c r="H522" i="1" s="1"/>
  <c r="J522" i="1" s="1"/>
  <c r="I522" i="1" s="1"/>
  <c r="G525" i="1"/>
  <c r="H525" i="1" s="1"/>
  <c r="J525" i="1" s="1"/>
  <c r="C533" i="1"/>
  <c r="E533" i="1" s="1"/>
  <c r="D533" i="1"/>
  <c r="K533" i="1" s="1"/>
  <c r="G570" i="1"/>
  <c r="H570" i="1" s="1"/>
  <c r="F570" i="1" s="1"/>
  <c r="D570" i="1"/>
  <c r="K570" i="1" s="1"/>
  <c r="C570" i="1"/>
  <c r="E570" i="1" s="1"/>
  <c r="C653" i="1"/>
  <c r="E653" i="1" s="1"/>
  <c r="D653" i="1"/>
  <c r="K653" i="1" s="1"/>
  <c r="G653" i="1"/>
  <c r="H653" i="1" s="1"/>
  <c r="J653" i="1" s="1"/>
  <c r="G285" i="1"/>
  <c r="H285" i="1" s="1"/>
  <c r="F285" i="1" s="1"/>
  <c r="E301" i="1"/>
  <c r="G350" i="1"/>
  <c r="H350" i="1" s="1"/>
  <c r="C416" i="1"/>
  <c r="E416" i="1" s="1"/>
  <c r="C427" i="1"/>
  <c r="E427" i="1" s="1"/>
  <c r="G427" i="1"/>
  <c r="H427" i="1" s="1"/>
  <c r="J427" i="1" s="1"/>
  <c r="I427" i="1" s="1"/>
  <c r="E432" i="1"/>
  <c r="C435" i="1"/>
  <c r="E435" i="1" s="1"/>
  <c r="C450" i="1"/>
  <c r="E450" i="1" s="1"/>
  <c r="D479" i="1"/>
  <c r="K479" i="1" s="1"/>
  <c r="H486" i="1"/>
  <c r="J486" i="1" s="1"/>
  <c r="I486" i="1" s="1"/>
  <c r="C489" i="1"/>
  <c r="E489" i="1" s="1"/>
  <c r="D491" i="1"/>
  <c r="K491" i="1" s="1"/>
  <c r="G497" i="1"/>
  <c r="H497" i="1" s="1"/>
  <c r="G506" i="1"/>
  <c r="H506" i="1" s="1"/>
  <c r="J506" i="1" s="1"/>
  <c r="D508" i="1"/>
  <c r="K508" i="1" s="1"/>
  <c r="E508" i="1"/>
  <c r="C522" i="1"/>
  <c r="E522" i="1" s="1"/>
  <c r="G533" i="1"/>
  <c r="H533" i="1" s="1"/>
  <c r="F533" i="1" s="1"/>
  <c r="C541" i="1"/>
  <c r="E541" i="1" s="1"/>
  <c r="D541" i="1"/>
  <c r="K541" i="1" s="1"/>
  <c r="C602" i="1"/>
  <c r="E602" i="1" s="1"/>
  <c r="D602" i="1"/>
  <c r="K602" i="1" s="1"/>
  <c r="G602" i="1"/>
  <c r="H602" i="1" s="1"/>
  <c r="E290" i="1"/>
  <c r="G301" i="1"/>
  <c r="H301" i="1" s="1"/>
  <c r="C418" i="1"/>
  <c r="E418" i="1" s="1"/>
  <c r="D418" i="1"/>
  <c r="K418" i="1" s="1"/>
  <c r="C423" i="1"/>
  <c r="E423" i="1" s="1"/>
  <c r="D431" i="1"/>
  <c r="K431" i="1" s="1"/>
  <c r="G431" i="1"/>
  <c r="G432" i="1"/>
  <c r="H432" i="1" s="1"/>
  <c r="J432" i="1" s="1"/>
  <c r="I432" i="1" s="1"/>
  <c r="D443" i="1"/>
  <c r="K443" i="1" s="1"/>
  <c r="G443" i="1"/>
  <c r="H443" i="1" s="1"/>
  <c r="J443" i="1" s="1"/>
  <c r="I443" i="1" s="1"/>
  <c r="D474" i="1"/>
  <c r="K474" i="1" s="1"/>
  <c r="C474" i="1"/>
  <c r="E474" i="1" s="1"/>
  <c r="D478" i="1"/>
  <c r="K478" i="1" s="1"/>
  <c r="G478" i="1"/>
  <c r="H478" i="1" s="1"/>
  <c r="J478" i="1" s="1"/>
  <c r="D482" i="1"/>
  <c r="K482" i="1" s="1"/>
  <c r="C600" i="1"/>
  <c r="E600" i="1" s="1"/>
  <c r="C639" i="1"/>
  <c r="E639" i="1" s="1"/>
  <c r="D639" i="1"/>
  <c r="K639" i="1" s="1"/>
  <c r="G639" i="1"/>
  <c r="H639" i="1" s="1"/>
  <c r="J639" i="1" s="1"/>
  <c r="I639" i="1" s="1"/>
  <c r="C424" i="1"/>
  <c r="E424" i="1" s="1"/>
  <c r="C429" i="1"/>
  <c r="E429" i="1" s="1"/>
  <c r="D456" i="1"/>
  <c r="K456" i="1" s="1"/>
  <c r="E459" i="1"/>
  <c r="H498" i="1"/>
  <c r="J498" i="1" s="1"/>
  <c r="I498" i="1" s="1"/>
  <c r="H500" i="1"/>
  <c r="F500" i="1" s="1"/>
  <c r="H501" i="1"/>
  <c r="F501" i="1" s="1"/>
  <c r="G523" i="1"/>
  <c r="H523" i="1" s="1"/>
  <c r="J523" i="1" s="1"/>
  <c r="I523" i="1" s="1"/>
  <c r="H526" i="1"/>
  <c r="J526" i="1" s="1"/>
  <c r="I526" i="1" s="1"/>
  <c r="H534" i="1"/>
  <c r="J534" i="1" s="1"/>
  <c r="I534" i="1" s="1"/>
  <c r="C549" i="1"/>
  <c r="E549" i="1" s="1"/>
  <c r="G556" i="1"/>
  <c r="H556" i="1" s="1"/>
  <c r="J556" i="1" s="1"/>
  <c r="I556" i="1" s="1"/>
  <c r="C566" i="1"/>
  <c r="E566" i="1" s="1"/>
  <c r="C580" i="1"/>
  <c r="E580" i="1" s="1"/>
  <c r="E584" i="1"/>
  <c r="C589" i="1"/>
  <c r="E589" i="1" s="1"/>
  <c r="C591" i="1"/>
  <c r="E591" i="1" s="1"/>
  <c r="H609" i="1"/>
  <c r="J609" i="1" s="1"/>
  <c r="E620" i="1"/>
  <c r="D626" i="1"/>
  <c r="K626" i="1" s="1"/>
  <c r="C636" i="1"/>
  <c r="E636" i="1" s="1"/>
  <c r="C644" i="1"/>
  <c r="E644" i="1" s="1"/>
  <c r="C650" i="1"/>
  <c r="E650" i="1" s="1"/>
  <c r="D656" i="1"/>
  <c r="K656" i="1" s="1"/>
  <c r="F528" i="1"/>
  <c r="F566" i="1"/>
  <c r="E592" i="1"/>
  <c r="D596" i="1"/>
  <c r="K596" i="1" s="1"/>
  <c r="D607" i="1"/>
  <c r="K607" i="1" s="1"/>
  <c r="D652" i="1"/>
  <c r="K652" i="1" s="1"/>
  <c r="H656" i="1"/>
  <c r="F656" i="1" s="1"/>
  <c r="G659" i="1"/>
  <c r="H659" i="1" s="1"/>
  <c r="J659" i="1" s="1"/>
  <c r="G420" i="1"/>
  <c r="H420" i="1" s="1"/>
  <c r="F420" i="1" s="1"/>
  <c r="C448" i="1"/>
  <c r="E448" i="1" s="1"/>
  <c r="D451" i="1"/>
  <c r="K451" i="1" s="1"/>
  <c r="C454" i="1"/>
  <c r="E454" i="1" s="1"/>
  <c r="C486" i="1"/>
  <c r="E486" i="1" s="1"/>
  <c r="J487" i="1"/>
  <c r="I487" i="1" s="1"/>
  <c r="C503" i="1"/>
  <c r="E503" i="1" s="1"/>
  <c r="G519" i="1"/>
  <c r="H519" i="1" s="1"/>
  <c r="C528" i="1"/>
  <c r="E528" i="1" s="1"/>
  <c r="G530" i="1"/>
  <c r="H530" i="1" s="1"/>
  <c r="J530" i="1" s="1"/>
  <c r="I530" i="1" s="1"/>
  <c r="C536" i="1"/>
  <c r="E536" i="1" s="1"/>
  <c r="G538" i="1"/>
  <c r="H538" i="1" s="1"/>
  <c r="J538" i="1" s="1"/>
  <c r="I538" i="1" s="1"/>
  <c r="H591" i="1"/>
  <c r="F591" i="1" s="1"/>
  <c r="G592" i="1"/>
  <c r="H592" i="1" s="1"/>
  <c r="J592" i="1" s="1"/>
  <c r="E596" i="1"/>
  <c r="J597" i="1"/>
  <c r="I597" i="1" s="1"/>
  <c r="H601" i="1"/>
  <c r="J601" i="1" s="1"/>
  <c r="I601" i="1" s="1"/>
  <c r="D604" i="1"/>
  <c r="K604" i="1" s="1"/>
  <c r="E607" i="1"/>
  <c r="D623" i="1"/>
  <c r="K623" i="1" s="1"/>
  <c r="G635" i="1"/>
  <c r="H635" i="1" s="1"/>
  <c r="J635" i="1" s="1"/>
  <c r="I635" i="1" s="1"/>
  <c r="H636" i="1"/>
  <c r="J636" i="1" s="1"/>
  <c r="H652" i="1"/>
  <c r="F652" i="1" s="1"/>
  <c r="G655" i="1"/>
  <c r="H655" i="1" s="1"/>
  <c r="J483" i="1"/>
  <c r="I483" i="1" s="1"/>
  <c r="G596" i="1"/>
  <c r="H596" i="1" s="1"/>
  <c r="J596" i="1" s="1"/>
  <c r="G607" i="1"/>
  <c r="H607" i="1" s="1"/>
  <c r="J607" i="1" s="1"/>
  <c r="D660" i="1"/>
  <c r="K660" i="1" s="1"/>
  <c r="H448" i="1"/>
  <c r="F448" i="1" s="1"/>
  <c r="H454" i="1"/>
  <c r="F454" i="1" s="1"/>
  <c r="F483" i="1"/>
  <c r="D620" i="1"/>
  <c r="K620" i="1" s="1"/>
  <c r="H642" i="1"/>
  <c r="J642" i="1" s="1"/>
  <c r="I642" i="1" s="1"/>
  <c r="J26" i="1"/>
  <c r="I26" i="1" s="1"/>
  <c r="F26" i="1"/>
  <c r="J30" i="1"/>
  <c r="I30" i="1" s="1"/>
  <c r="G88" i="1"/>
  <c r="H88" i="1" s="1"/>
  <c r="D88" i="1"/>
  <c r="K88" i="1" s="1"/>
  <c r="G50" i="1"/>
  <c r="H50" i="1" s="1"/>
  <c r="G96" i="1"/>
  <c r="H96" i="1" s="1"/>
  <c r="D96" i="1"/>
  <c r="K96" i="1" s="1"/>
  <c r="G36" i="1"/>
  <c r="H36" i="1" s="1"/>
  <c r="C13" i="1"/>
  <c r="E13" i="1" s="1"/>
  <c r="D37" i="1"/>
  <c r="K37" i="1" s="1"/>
  <c r="C37" i="1"/>
  <c r="E37" i="1" s="1"/>
  <c r="C52" i="1"/>
  <c r="E52" i="1" s="1"/>
  <c r="G86" i="1"/>
  <c r="D86" i="1"/>
  <c r="K86" i="1" s="1"/>
  <c r="G94" i="1"/>
  <c r="H94" i="1" s="1"/>
  <c r="F94" i="1" s="1"/>
  <c r="D94" i="1"/>
  <c r="K94" i="1" s="1"/>
  <c r="G125" i="1"/>
  <c r="H125" i="1" s="1"/>
  <c r="D125" i="1"/>
  <c r="K125" i="1" s="1"/>
  <c r="C125" i="1"/>
  <c r="E125" i="1" s="1"/>
  <c r="D130" i="1"/>
  <c r="K130" i="1" s="1"/>
  <c r="C130" i="1"/>
  <c r="E130" i="1" s="1"/>
  <c r="G130" i="1"/>
  <c r="D166" i="1"/>
  <c r="K166" i="1" s="1"/>
  <c r="C166" i="1"/>
  <c r="E166" i="1" s="1"/>
  <c r="G166" i="1"/>
  <c r="H166" i="1" s="1"/>
  <c r="D49" i="1"/>
  <c r="K49" i="1" s="1"/>
  <c r="C49" i="1"/>
  <c r="E49" i="1" s="1"/>
  <c r="J112" i="1"/>
  <c r="I112" i="1" s="1"/>
  <c r="C50" i="1"/>
  <c r="E50" i="1" s="1"/>
  <c r="G102" i="1"/>
  <c r="H102" i="1" s="1"/>
  <c r="J102" i="1" s="1"/>
  <c r="I102" i="1" s="1"/>
  <c r="C102" i="1"/>
  <c r="E102" i="1" s="1"/>
  <c r="G38" i="1"/>
  <c r="H38" i="1" s="1"/>
  <c r="D53" i="1"/>
  <c r="K53" i="1" s="1"/>
  <c r="C53" i="1"/>
  <c r="E53" i="1" s="1"/>
  <c r="G78" i="1"/>
  <c r="H78" i="1" s="1"/>
  <c r="D78" i="1"/>
  <c r="K78" i="1" s="1"/>
  <c r="G16" i="1"/>
  <c r="H16" i="1" s="1"/>
  <c r="F16" i="1" s="1"/>
  <c r="C21" i="1"/>
  <c r="E21" i="1" s="1"/>
  <c r="H28" i="1"/>
  <c r="D36" i="1"/>
  <c r="K36" i="1" s="1"/>
  <c r="C38" i="1"/>
  <c r="E38" i="1" s="1"/>
  <c r="D39" i="1"/>
  <c r="K39" i="1" s="1"/>
  <c r="C39" i="1"/>
  <c r="E39" i="1" s="1"/>
  <c r="G40" i="1"/>
  <c r="H47" i="1"/>
  <c r="F47" i="1" s="1"/>
  <c r="G49" i="1"/>
  <c r="D52" i="1"/>
  <c r="K52" i="1" s="1"/>
  <c r="G54" i="1"/>
  <c r="D54" i="1"/>
  <c r="K54" i="1" s="1"/>
  <c r="G67" i="1"/>
  <c r="H67" i="1" s="1"/>
  <c r="F67" i="1" s="1"/>
  <c r="C67" i="1"/>
  <c r="E67" i="1" s="1"/>
  <c r="G71" i="1"/>
  <c r="H71" i="1" s="1"/>
  <c r="C71" i="1"/>
  <c r="E71" i="1" s="1"/>
  <c r="G75" i="1"/>
  <c r="C75" i="1"/>
  <c r="E75" i="1" s="1"/>
  <c r="C78" i="1"/>
  <c r="E78" i="1" s="1"/>
  <c r="C86" i="1"/>
  <c r="E86" i="1" s="1"/>
  <c r="C94" i="1"/>
  <c r="E94" i="1" s="1"/>
  <c r="C3" i="1"/>
  <c r="D3" i="1" s="1"/>
  <c r="K3" i="1" s="1"/>
  <c r="H6" i="1"/>
  <c r="C7" i="1"/>
  <c r="E7" i="1" s="1"/>
  <c r="D51" i="1"/>
  <c r="K51" i="1" s="1"/>
  <c r="C51" i="1"/>
  <c r="E51" i="1" s="1"/>
  <c r="C88" i="1"/>
  <c r="E88" i="1" s="1"/>
  <c r="G174" i="1"/>
  <c r="D174" i="1"/>
  <c r="K174" i="1" s="1"/>
  <c r="C174" i="1"/>
  <c r="E174" i="1" s="1"/>
  <c r="D7" i="1"/>
  <c r="K7" i="1" s="1"/>
  <c r="J24" i="1"/>
  <c r="I24" i="1" s="1"/>
  <c r="G33" i="1"/>
  <c r="H33" i="1" s="1"/>
  <c r="E33" i="1"/>
  <c r="C36" i="1"/>
  <c r="E36" i="1" s="1"/>
  <c r="D50" i="1"/>
  <c r="K50" i="1" s="1"/>
  <c r="C8" i="1"/>
  <c r="E8" i="1" s="1"/>
  <c r="I8" i="1"/>
  <c r="C11" i="1"/>
  <c r="E11" i="1" s="1"/>
  <c r="I11" i="1"/>
  <c r="G3" i="1"/>
  <c r="H3" i="1" s="1"/>
  <c r="G7" i="1"/>
  <c r="H7" i="1" s="1"/>
  <c r="D8" i="1"/>
  <c r="K8" i="1" s="1"/>
  <c r="D11" i="1"/>
  <c r="K11" i="1" s="1"/>
  <c r="C16" i="1"/>
  <c r="E16" i="1" s="1"/>
  <c r="D17" i="1"/>
  <c r="K17" i="1" s="1"/>
  <c r="C17" i="1"/>
  <c r="E17" i="1" s="1"/>
  <c r="G18" i="1"/>
  <c r="H18" i="1" s="1"/>
  <c r="D21" i="1"/>
  <c r="K21" i="1" s="1"/>
  <c r="D22" i="1"/>
  <c r="K22" i="1" s="1"/>
  <c r="C22" i="1"/>
  <c r="E22" i="1" s="1"/>
  <c r="G23" i="1"/>
  <c r="H23" i="1" s="1"/>
  <c r="D33" i="1"/>
  <c r="K33" i="1" s="1"/>
  <c r="D38" i="1"/>
  <c r="K38" i="1" s="1"/>
  <c r="C40" i="1"/>
  <c r="E40" i="1" s="1"/>
  <c r="D41" i="1"/>
  <c r="K41" i="1" s="1"/>
  <c r="C41" i="1"/>
  <c r="E41" i="1" s="1"/>
  <c r="G42" i="1"/>
  <c r="H42" i="1" s="1"/>
  <c r="E42" i="1"/>
  <c r="G51" i="1"/>
  <c r="H51" i="1" s="1"/>
  <c r="J51" i="1" s="1"/>
  <c r="I51" i="1" s="1"/>
  <c r="C54" i="1"/>
  <c r="E54" i="1" s="1"/>
  <c r="D67" i="1"/>
  <c r="K67" i="1" s="1"/>
  <c r="D71" i="1"/>
  <c r="K71" i="1" s="1"/>
  <c r="D75" i="1"/>
  <c r="K75" i="1" s="1"/>
  <c r="G92" i="1"/>
  <c r="D92" i="1"/>
  <c r="K92" i="1" s="1"/>
  <c r="G52" i="1"/>
  <c r="H52" i="1" s="1"/>
  <c r="G100" i="1"/>
  <c r="H100" i="1" s="1"/>
  <c r="J100" i="1" s="1"/>
  <c r="C100" i="1"/>
  <c r="E100" i="1" s="1"/>
  <c r="D105" i="1"/>
  <c r="K105" i="1" s="1"/>
  <c r="C105" i="1"/>
  <c r="E105" i="1" s="1"/>
  <c r="G121" i="1"/>
  <c r="D121" i="1"/>
  <c r="K121" i="1" s="1"/>
  <c r="C121" i="1"/>
  <c r="E121" i="1" s="1"/>
  <c r="G117" i="1"/>
  <c r="H117" i="1" s="1"/>
  <c r="D117" i="1"/>
  <c r="K117" i="1" s="1"/>
  <c r="C117" i="1"/>
  <c r="E117" i="1" s="1"/>
  <c r="F12" i="1"/>
  <c r="D12" i="1"/>
  <c r="K12" i="1" s="1"/>
  <c r="G13" i="1"/>
  <c r="H13" i="1" s="1"/>
  <c r="G25" i="1"/>
  <c r="H25" i="1" s="1"/>
  <c r="G37" i="1"/>
  <c r="H37" i="1" s="1"/>
  <c r="D43" i="1"/>
  <c r="K43" i="1" s="1"/>
  <c r="C43" i="1"/>
  <c r="E43" i="1" s="1"/>
  <c r="I43" i="1"/>
  <c r="G44" i="1"/>
  <c r="H44" i="1" s="1"/>
  <c r="G53" i="1"/>
  <c r="F8" i="1"/>
  <c r="C9" i="1"/>
  <c r="E9" i="1" s="1"/>
  <c r="F11" i="1"/>
  <c r="C12" i="1"/>
  <c r="E12" i="1" s="1"/>
  <c r="G21" i="1"/>
  <c r="H21" i="1" s="1"/>
  <c r="J21" i="1" s="1"/>
  <c r="C25" i="1"/>
  <c r="E25" i="1" s="1"/>
  <c r="D26" i="1"/>
  <c r="K26" i="1" s="1"/>
  <c r="C26" i="1"/>
  <c r="E26" i="1" s="1"/>
  <c r="G27" i="1"/>
  <c r="E27" i="1"/>
  <c r="F30" i="1"/>
  <c r="C30" i="1"/>
  <c r="E30" i="1" s="1"/>
  <c r="C44" i="1"/>
  <c r="E44" i="1" s="1"/>
  <c r="D45" i="1"/>
  <c r="K45" i="1" s="1"/>
  <c r="C45" i="1"/>
  <c r="E45" i="1" s="1"/>
  <c r="G46" i="1"/>
  <c r="E46" i="1"/>
  <c r="F56" i="1"/>
  <c r="C56" i="1"/>
  <c r="E56" i="1" s="1"/>
  <c r="I56" i="1"/>
  <c r="H57" i="1"/>
  <c r="J57" i="1" s="1"/>
  <c r="D57" i="1"/>
  <c r="K57" i="1" s="1"/>
  <c r="H59" i="1"/>
  <c r="J59" i="1" s="1"/>
  <c r="D59" i="1"/>
  <c r="K59" i="1" s="1"/>
  <c r="H61" i="1"/>
  <c r="J61" i="1" s="1"/>
  <c r="D61" i="1"/>
  <c r="K61" i="1" s="1"/>
  <c r="H63" i="1"/>
  <c r="J63" i="1" s="1"/>
  <c r="D63" i="1"/>
  <c r="K63" i="1" s="1"/>
  <c r="G65" i="1"/>
  <c r="H65" i="1" s="1"/>
  <c r="C65" i="1"/>
  <c r="E65" i="1" s="1"/>
  <c r="H76" i="1"/>
  <c r="F76" i="1" s="1"/>
  <c r="G90" i="1"/>
  <c r="D90" i="1"/>
  <c r="K90" i="1" s="1"/>
  <c r="G98" i="1"/>
  <c r="H98" i="1" s="1"/>
  <c r="D98" i="1"/>
  <c r="K98" i="1" s="1"/>
  <c r="D100" i="1"/>
  <c r="K100" i="1" s="1"/>
  <c r="G131" i="1"/>
  <c r="H131" i="1" s="1"/>
  <c r="J131" i="1" s="1"/>
  <c r="D131" i="1"/>
  <c r="K131" i="1" s="1"/>
  <c r="D190" i="1"/>
  <c r="K190" i="1" s="1"/>
  <c r="G190" i="1"/>
  <c r="H190" i="1" s="1"/>
  <c r="C190" i="1"/>
  <c r="E190" i="1" s="1"/>
  <c r="C96" i="1"/>
  <c r="E96" i="1" s="1"/>
  <c r="D24" i="1"/>
  <c r="K24" i="1" s="1"/>
  <c r="C24" i="1"/>
  <c r="E24" i="1" s="1"/>
  <c r="G10" i="1"/>
  <c r="H10" i="1" s="1"/>
  <c r="J10" i="1" s="1"/>
  <c r="G15" i="1"/>
  <c r="H15" i="1" s="1"/>
  <c r="J15" i="1" s="1"/>
  <c r="D15" i="1"/>
  <c r="K15" i="1" s="1"/>
  <c r="F24" i="1"/>
  <c r="D25" i="1"/>
  <c r="K25" i="1" s="1"/>
  <c r="D28" i="1"/>
  <c r="K28" i="1" s="1"/>
  <c r="C28" i="1"/>
  <c r="E28" i="1" s="1"/>
  <c r="F43" i="1"/>
  <c r="D44" i="1"/>
  <c r="K44" i="1" s="1"/>
  <c r="D47" i="1"/>
  <c r="K47" i="1" s="1"/>
  <c r="C47" i="1"/>
  <c r="E47" i="1" s="1"/>
  <c r="G48" i="1"/>
  <c r="D64" i="1"/>
  <c r="K64" i="1" s="1"/>
  <c r="C64" i="1"/>
  <c r="E64" i="1" s="1"/>
  <c r="G64" i="1"/>
  <c r="G69" i="1"/>
  <c r="H69" i="1" s="1"/>
  <c r="C69" i="1"/>
  <c r="E69" i="1" s="1"/>
  <c r="G73" i="1"/>
  <c r="H73" i="1" s="1"/>
  <c r="C73" i="1"/>
  <c r="E73" i="1" s="1"/>
  <c r="H79" i="1"/>
  <c r="F79" i="1" s="1"/>
  <c r="C90" i="1"/>
  <c r="E90" i="1" s="1"/>
  <c r="C98" i="1"/>
  <c r="E98" i="1" s="1"/>
  <c r="G105" i="1"/>
  <c r="H105" i="1" s="1"/>
  <c r="C131" i="1"/>
  <c r="E131" i="1" s="1"/>
  <c r="G136" i="1"/>
  <c r="H136" i="1" s="1"/>
  <c r="J136" i="1" s="1"/>
  <c r="I136" i="1" s="1"/>
  <c r="D136" i="1"/>
  <c r="K136" i="1" s="1"/>
  <c r="C136" i="1"/>
  <c r="E136" i="1" s="1"/>
  <c r="D178" i="1"/>
  <c r="K178" i="1" s="1"/>
  <c r="C178" i="1"/>
  <c r="E178" i="1" s="1"/>
  <c r="C193" i="1"/>
  <c r="E193" i="1" s="1"/>
  <c r="G193" i="1"/>
  <c r="H193" i="1" s="1"/>
  <c r="J193" i="1" s="1"/>
  <c r="D193" i="1"/>
  <c r="K193" i="1" s="1"/>
  <c r="G214" i="1"/>
  <c r="H214" i="1" s="1"/>
  <c r="D214" i="1"/>
  <c r="K214" i="1" s="1"/>
  <c r="C214" i="1"/>
  <c r="E214" i="1" s="1"/>
  <c r="H279" i="1"/>
  <c r="F279" i="1" s="1"/>
  <c r="J328" i="1"/>
  <c r="I328" i="1" s="1"/>
  <c r="F328" i="1"/>
  <c r="G66" i="1"/>
  <c r="G68" i="1"/>
  <c r="G70" i="1"/>
  <c r="G72" i="1"/>
  <c r="G74" i="1"/>
  <c r="J80" i="1"/>
  <c r="I80" i="1" s="1"/>
  <c r="J82" i="1"/>
  <c r="I82" i="1" s="1"/>
  <c r="J85" i="1"/>
  <c r="I85" i="1" s="1"/>
  <c r="G101" i="1"/>
  <c r="G106" i="1"/>
  <c r="E114" i="1"/>
  <c r="D137" i="1"/>
  <c r="K137" i="1" s="1"/>
  <c r="C137" i="1"/>
  <c r="E137" i="1" s="1"/>
  <c r="G178" i="1"/>
  <c r="H178" i="1" s="1"/>
  <c r="J178" i="1" s="1"/>
  <c r="I178" i="1" s="1"/>
  <c r="D187" i="1"/>
  <c r="K187" i="1" s="1"/>
  <c r="E187" i="1"/>
  <c r="G257" i="1"/>
  <c r="C257" i="1"/>
  <c r="E257" i="1" s="1"/>
  <c r="D257" i="1"/>
  <c r="K257" i="1" s="1"/>
  <c r="G311" i="1"/>
  <c r="H311" i="1" s="1"/>
  <c r="D311" i="1"/>
  <c r="K311" i="1" s="1"/>
  <c r="C311" i="1"/>
  <c r="E311" i="1" s="1"/>
  <c r="D118" i="1"/>
  <c r="K118" i="1" s="1"/>
  <c r="D122" i="1"/>
  <c r="K122" i="1" s="1"/>
  <c r="D126" i="1"/>
  <c r="K126" i="1" s="1"/>
  <c r="G138" i="1"/>
  <c r="D173" i="1"/>
  <c r="K173" i="1" s="1"/>
  <c r="C173" i="1"/>
  <c r="E173" i="1" s="1"/>
  <c r="H180" i="1"/>
  <c r="J180" i="1" s="1"/>
  <c r="I180" i="1" s="1"/>
  <c r="G201" i="1"/>
  <c r="D201" i="1"/>
  <c r="K201" i="1" s="1"/>
  <c r="C201" i="1"/>
  <c r="E201" i="1" s="1"/>
  <c r="C339" i="1"/>
  <c r="E339" i="1" s="1"/>
  <c r="D339" i="1"/>
  <c r="K339" i="1" s="1"/>
  <c r="G339" i="1"/>
  <c r="G31" i="1"/>
  <c r="G34" i="1"/>
  <c r="D80" i="1"/>
  <c r="K80" i="1" s="1"/>
  <c r="D82" i="1"/>
  <c r="K82" i="1" s="1"/>
  <c r="G83" i="1"/>
  <c r="D85" i="1"/>
  <c r="K85" i="1" s="1"/>
  <c r="D106" i="1"/>
  <c r="K106" i="1" s="1"/>
  <c r="D110" i="1"/>
  <c r="K110" i="1" s="1"/>
  <c r="D114" i="1"/>
  <c r="K114" i="1" s="1"/>
  <c r="J115" i="1"/>
  <c r="I115" i="1" s="1"/>
  <c r="C118" i="1"/>
  <c r="E118" i="1" s="1"/>
  <c r="C122" i="1"/>
  <c r="E122" i="1" s="1"/>
  <c r="C126" i="1"/>
  <c r="E126" i="1" s="1"/>
  <c r="G137" i="1"/>
  <c r="C138" i="1"/>
  <c r="E138" i="1" s="1"/>
  <c r="F149" i="1"/>
  <c r="G172" i="1"/>
  <c r="H172" i="1" s="1"/>
  <c r="J172" i="1" s="1"/>
  <c r="E172" i="1"/>
  <c r="D172" i="1"/>
  <c r="K172" i="1" s="1"/>
  <c r="G187" i="1"/>
  <c r="H187" i="1" s="1"/>
  <c r="J187" i="1" s="1"/>
  <c r="D213" i="1"/>
  <c r="K213" i="1" s="1"/>
  <c r="C213" i="1"/>
  <c r="E213" i="1" s="1"/>
  <c r="G213" i="1"/>
  <c r="H213" i="1" s="1"/>
  <c r="J213" i="1" s="1"/>
  <c r="G108" i="1"/>
  <c r="H108" i="1" s="1"/>
  <c r="J108" i="1" s="1"/>
  <c r="H119" i="1"/>
  <c r="J119" i="1" s="1"/>
  <c r="H123" i="1"/>
  <c r="H127" i="1"/>
  <c r="D133" i="1"/>
  <c r="K133" i="1" s="1"/>
  <c r="D138" i="1"/>
  <c r="K138" i="1" s="1"/>
  <c r="G140" i="1"/>
  <c r="H140" i="1" s="1"/>
  <c r="G173" i="1"/>
  <c r="C66" i="1"/>
  <c r="E66" i="1" s="1"/>
  <c r="C68" i="1"/>
  <c r="E68" i="1" s="1"/>
  <c r="C70" i="1"/>
  <c r="E70" i="1" s="1"/>
  <c r="C72" i="1"/>
  <c r="E72" i="1" s="1"/>
  <c r="C74" i="1"/>
  <c r="E74" i="1" s="1"/>
  <c r="F80" i="1"/>
  <c r="F82" i="1"/>
  <c r="F85" i="1"/>
  <c r="C101" i="1"/>
  <c r="E101" i="1" s="1"/>
  <c r="E103" i="1"/>
  <c r="G104" i="1"/>
  <c r="H104" i="1" s="1"/>
  <c r="C108" i="1"/>
  <c r="E108" i="1" s="1"/>
  <c r="H110" i="1"/>
  <c r="F112" i="1"/>
  <c r="G118" i="1"/>
  <c r="H118" i="1" s="1"/>
  <c r="C119" i="1"/>
  <c r="E119" i="1" s="1"/>
  <c r="G122" i="1"/>
  <c r="H122" i="1" s="1"/>
  <c r="C123" i="1"/>
  <c r="E123" i="1" s="1"/>
  <c r="G126" i="1"/>
  <c r="H126" i="1" s="1"/>
  <c r="C127" i="1"/>
  <c r="E127" i="1" s="1"/>
  <c r="C133" i="1"/>
  <c r="E133" i="1" s="1"/>
  <c r="C140" i="1"/>
  <c r="E140" i="1" s="1"/>
  <c r="D168" i="1"/>
  <c r="K168" i="1" s="1"/>
  <c r="C168" i="1"/>
  <c r="E168" i="1" s="1"/>
  <c r="H168" i="1"/>
  <c r="J168" i="1" s="1"/>
  <c r="D171" i="1"/>
  <c r="K171" i="1" s="1"/>
  <c r="C171" i="1"/>
  <c r="E171" i="1" s="1"/>
  <c r="H171" i="1"/>
  <c r="J171" i="1" s="1"/>
  <c r="D108" i="1"/>
  <c r="K108" i="1" s="1"/>
  <c r="D116" i="1"/>
  <c r="K116" i="1" s="1"/>
  <c r="D119" i="1"/>
  <c r="K119" i="1" s="1"/>
  <c r="E120" i="1"/>
  <c r="D120" i="1"/>
  <c r="K120" i="1" s="1"/>
  <c r="D123" i="1"/>
  <c r="K123" i="1" s="1"/>
  <c r="D124" i="1"/>
  <c r="K124" i="1" s="1"/>
  <c r="D127" i="1"/>
  <c r="K127" i="1" s="1"/>
  <c r="D128" i="1"/>
  <c r="K128" i="1" s="1"/>
  <c r="C128" i="1"/>
  <c r="E128" i="1" s="1"/>
  <c r="G129" i="1"/>
  <c r="H129" i="1" s="1"/>
  <c r="G133" i="1"/>
  <c r="H133" i="1" s="1"/>
  <c r="F133" i="1" s="1"/>
  <c r="D135" i="1"/>
  <c r="K135" i="1" s="1"/>
  <c r="D140" i="1"/>
  <c r="K140" i="1" s="1"/>
  <c r="G142" i="1"/>
  <c r="H142" i="1" s="1"/>
  <c r="E142" i="1"/>
  <c r="F158" i="1"/>
  <c r="F163" i="1"/>
  <c r="G167" i="1"/>
  <c r="E167" i="1"/>
  <c r="D167" i="1"/>
  <c r="K167" i="1" s="1"/>
  <c r="G170" i="1"/>
  <c r="E170" i="1"/>
  <c r="D170" i="1"/>
  <c r="K170" i="1" s="1"/>
  <c r="F181" i="1"/>
  <c r="H183" i="1"/>
  <c r="J183" i="1" s="1"/>
  <c r="C184" i="1"/>
  <c r="E184" i="1" s="1"/>
  <c r="G184" i="1"/>
  <c r="H184" i="1" s="1"/>
  <c r="D184" i="1"/>
  <c r="K184" i="1" s="1"/>
  <c r="D200" i="1"/>
  <c r="K200" i="1" s="1"/>
  <c r="C200" i="1"/>
  <c r="E200" i="1" s="1"/>
  <c r="G200" i="1"/>
  <c r="H200" i="1" s="1"/>
  <c r="G303" i="1"/>
  <c r="D303" i="1"/>
  <c r="K303" i="1" s="1"/>
  <c r="C303" i="1"/>
  <c r="E303" i="1" s="1"/>
  <c r="G315" i="1"/>
  <c r="H315" i="1" s="1"/>
  <c r="J315" i="1" s="1"/>
  <c r="D315" i="1"/>
  <c r="K315" i="1" s="1"/>
  <c r="C315" i="1"/>
  <c r="E315" i="1" s="1"/>
  <c r="D192" i="1"/>
  <c r="K192" i="1" s="1"/>
  <c r="D215" i="1"/>
  <c r="K215" i="1" s="1"/>
  <c r="C215" i="1"/>
  <c r="E215" i="1" s="1"/>
  <c r="H215" i="1"/>
  <c r="F215" i="1" s="1"/>
  <c r="G216" i="1"/>
  <c r="D216" i="1"/>
  <c r="K216" i="1" s="1"/>
  <c r="G229" i="1"/>
  <c r="H229" i="1" s="1"/>
  <c r="J229" i="1" s="1"/>
  <c r="D229" i="1"/>
  <c r="K229" i="1" s="1"/>
  <c r="G231" i="1"/>
  <c r="H231" i="1" s="1"/>
  <c r="J231" i="1" s="1"/>
  <c r="C231" i="1"/>
  <c r="E231" i="1" s="1"/>
  <c r="G251" i="1"/>
  <c r="H251" i="1" s="1"/>
  <c r="C251" i="1"/>
  <c r="E251" i="1" s="1"/>
  <c r="G260" i="1"/>
  <c r="H260" i="1" s="1"/>
  <c r="J260" i="1" s="1"/>
  <c r="D260" i="1"/>
  <c r="K260" i="1" s="1"/>
  <c r="G262" i="1"/>
  <c r="C262" i="1"/>
  <c r="E262" i="1" s="1"/>
  <c r="G287" i="1"/>
  <c r="D287" i="1"/>
  <c r="K287" i="1" s="1"/>
  <c r="C287" i="1"/>
  <c r="E287" i="1" s="1"/>
  <c r="J146" i="1"/>
  <c r="I146" i="1" s="1"/>
  <c r="J154" i="1"/>
  <c r="I154" i="1" s="1"/>
  <c r="G175" i="1"/>
  <c r="G185" i="1"/>
  <c r="H185" i="1" s="1"/>
  <c r="C185" i="1"/>
  <c r="E185" i="1" s="1"/>
  <c r="C192" i="1"/>
  <c r="E192" i="1" s="1"/>
  <c r="G211" i="1"/>
  <c r="H211" i="1" s="1"/>
  <c r="J211" i="1" s="1"/>
  <c r="D211" i="1"/>
  <c r="K211" i="1" s="1"/>
  <c r="C216" i="1"/>
  <c r="E216" i="1" s="1"/>
  <c r="D217" i="1"/>
  <c r="K217" i="1" s="1"/>
  <c r="C217" i="1"/>
  <c r="E217" i="1" s="1"/>
  <c r="H217" i="1"/>
  <c r="F217" i="1" s="1"/>
  <c r="G218" i="1"/>
  <c r="H218" i="1" s="1"/>
  <c r="D218" i="1"/>
  <c r="K218" i="1" s="1"/>
  <c r="G227" i="1"/>
  <c r="H227" i="1" s="1"/>
  <c r="D227" i="1"/>
  <c r="K227" i="1" s="1"/>
  <c r="C229" i="1"/>
  <c r="E229" i="1" s="1"/>
  <c r="D231" i="1"/>
  <c r="K231" i="1" s="1"/>
  <c r="G236" i="1"/>
  <c r="H236" i="1" s="1"/>
  <c r="J236" i="1" s="1"/>
  <c r="D236" i="1"/>
  <c r="K236" i="1" s="1"/>
  <c r="G238" i="1"/>
  <c r="H238" i="1" s="1"/>
  <c r="J238" i="1" s="1"/>
  <c r="C238" i="1"/>
  <c r="E238" i="1" s="1"/>
  <c r="D251" i="1"/>
  <c r="K251" i="1" s="1"/>
  <c r="C260" i="1"/>
  <c r="E260" i="1" s="1"/>
  <c r="D262" i="1"/>
  <c r="K262" i="1" s="1"/>
  <c r="D264" i="1"/>
  <c r="K264" i="1" s="1"/>
  <c r="C264" i="1"/>
  <c r="E264" i="1" s="1"/>
  <c r="I264" i="1"/>
  <c r="G265" i="1"/>
  <c r="H265" i="1" s="1"/>
  <c r="D265" i="1"/>
  <c r="K265" i="1" s="1"/>
  <c r="G267" i="1"/>
  <c r="H267" i="1" s="1"/>
  <c r="C267" i="1"/>
  <c r="E267" i="1" s="1"/>
  <c r="G272" i="1"/>
  <c r="D273" i="1"/>
  <c r="K273" i="1" s="1"/>
  <c r="C273" i="1"/>
  <c r="E273" i="1" s="1"/>
  <c r="I273" i="1"/>
  <c r="G274" i="1"/>
  <c r="H274" i="1" s="1"/>
  <c r="F274" i="1" s="1"/>
  <c r="D274" i="1"/>
  <c r="K274" i="1" s="1"/>
  <c r="G291" i="1"/>
  <c r="D291" i="1"/>
  <c r="K291" i="1" s="1"/>
  <c r="C291" i="1"/>
  <c r="E291" i="1" s="1"/>
  <c r="J158" i="1"/>
  <c r="I158" i="1" s="1"/>
  <c r="J163" i="1"/>
  <c r="I163" i="1" s="1"/>
  <c r="J181" i="1"/>
  <c r="I181" i="1" s="1"/>
  <c r="G188" i="1"/>
  <c r="C188" i="1"/>
  <c r="E188" i="1" s="1"/>
  <c r="G199" i="1"/>
  <c r="H199" i="1" s="1"/>
  <c r="D199" i="1"/>
  <c r="K199" i="1" s="1"/>
  <c r="G225" i="1"/>
  <c r="H225" i="1" s="1"/>
  <c r="D225" i="1"/>
  <c r="K225" i="1" s="1"/>
  <c r="F233" i="1"/>
  <c r="G234" i="1"/>
  <c r="D234" i="1"/>
  <c r="K234" i="1" s="1"/>
  <c r="G249" i="1"/>
  <c r="H249" i="1" s="1"/>
  <c r="C249" i="1"/>
  <c r="E249" i="1" s="1"/>
  <c r="G254" i="1"/>
  <c r="H254" i="1" s="1"/>
  <c r="F264" i="1"/>
  <c r="D271" i="1"/>
  <c r="K271" i="1" s="1"/>
  <c r="C271" i="1"/>
  <c r="E271" i="1" s="1"/>
  <c r="F273" i="1"/>
  <c r="C310" i="1"/>
  <c r="E310" i="1" s="1"/>
  <c r="D310" i="1"/>
  <c r="K310" i="1" s="1"/>
  <c r="G310" i="1"/>
  <c r="H310" i="1" s="1"/>
  <c r="J310" i="1" s="1"/>
  <c r="I310" i="1" s="1"/>
  <c r="G349" i="1"/>
  <c r="D349" i="1"/>
  <c r="K349" i="1" s="1"/>
  <c r="C349" i="1"/>
  <c r="E349" i="1" s="1"/>
  <c r="G245" i="1"/>
  <c r="H245" i="1" s="1"/>
  <c r="D246" i="1"/>
  <c r="K246" i="1" s="1"/>
  <c r="C246" i="1"/>
  <c r="E246" i="1" s="1"/>
  <c r="G280" i="1"/>
  <c r="G295" i="1"/>
  <c r="H295" i="1" s="1"/>
  <c r="D295" i="1"/>
  <c r="K295" i="1" s="1"/>
  <c r="C295" i="1"/>
  <c r="E295" i="1" s="1"/>
  <c r="C338" i="1"/>
  <c r="E338" i="1" s="1"/>
  <c r="G338" i="1"/>
  <c r="D338" i="1"/>
  <c r="K338" i="1" s="1"/>
  <c r="C367" i="1"/>
  <c r="E367" i="1" s="1"/>
  <c r="D367" i="1"/>
  <c r="K367" i="1" s="1"/>
  <c r="G367" i="1"/>
  <c r="E150" i="1"/>
  <c r="E152" i="1"/>
  <c r="D156" i="1"/>
  <c r="K156" i="1" s="1"/>
  <c r="D158" i="1"/>
  <c r="K158" i="1" s="1"/>
  <c r="D160" i="1"/>
  <c r="K160" i="1" s="1"/>
  <c r="D163" i="1"/>
  <c r="K163" i="1" s="1"/>
  <c r="D169" i="1"/>
  <c r="K169" i="1" s="1"/>
  <c r="D179" i="1"/>
  <c r="K179" i="1" s="1"/>
  <c r="D181" i="1"/>
  <c r="K181" i="1" s="1"/>
  <c r="G192" i="1"/>
  <c r="G194" i="1"/>
  <c r="C194" i="1"/>
  <c r="E194" i="1" s="1"/>
  <c r="E199" i="1"/>
  <c r="D202" i="1"/>
  <c r="K202" i="1" s="1"/>
  <c r="C202" i="1"/>
  <c r="E202" i="1" s="1"/>
  <c r="H202" i="1"/>
  <c r="F202" i="1" s="1"/>
  <c r="G203" i="1"/>
  <c r="H203" i="1" s="1"/>
  <c r="D203" i="1"/>
  <c r="K203" i="1" s="1"/>
  <c r="E225" i="1"/>
  <c r="D244" i="1"/>
  <c r="K244" i="1" s="1"/>
  <c r="C244" i="1"/>
  <c r="E244" i="1" s="1"/>
  <c r="C245" i="1"/>
  <c r="E245" i="1" s="1"/>
  <c r="G247" i="1"/>
  <c r="H247" i="1" s="1"/>
  <c r="C247" i="1"/>
  <c r="E247" i="1" s="1"/>
  <c r="H253" i="1"/>
  <c r="J253" i="1" s="1"/>
  <c r="G277" i="1"/>
  <c r="C280" i="1"/>
  <c r="E280" i="1" s="1"/>
  <c r="J282" i="1"/>
  <c r="I282" i="1" s="1"/>
  <c r="G283" i="1"/>
  <c r="D283" i="1"/>
  <c r="K283" i="1" s="1"/>
  <c r="H296" i="1"/>
  <c r="J296" i="1" s="1"/>
  <c r="C312" i="1"/>
  <c r="E312" i="1" s="1"/>
  <c r="D312" i="1"/>
  <c r="K312" i="1" s="1"/>
  <c r="G312" i="1"/>
  <c r="H312" i="1" s="1"/>
  <c r="J312" i="1" s="1"/>
  <c r="C314" i="1"/>
  <c r="E314" i="1" s="1"/>
  <c r="D314" i="1"/>
  <c r="K314" i="1" s="1"/>
  <c r="G314" i="1"/>
  <c r="H314" i="1" s="1"/>
  <c r="H351" i="1"/>
  <c r="J351" i="1" s="1"/>
  <c r="D360" i="1"/>
  <c r="K360" i="1" s="1"/>
  <c r="G360" i="1"/>
  <c r="H360" i="1" s="1"/>
  <c r="C360" i="1"/>
  <c r="E360" i="1" s="1"/>
  <c r="C139" i="1"/>
  <c r="E139" i="1" s="1"/>
  <c r="F146" i="1"/>
  <c r="F154" i="1"/>
  <c r="E156" i="1"/>
  <c r="C162" i="1"/>
  <c r="E162" i="1" s="1"/>
  <c r="E169" i="1"/>
  <c r="C175" i="1"/>
  <c r="E175" i="1" s="1"/>
  <c r="C183" i="1"/>
  <c r="E183" i="1" s="1"/>
  <c r="C186" i="1"/>
  <c r="E186" i="1" s="1"/>
  <c r="D194" i="1"/>
  <c r="K194" i="1" s="1"/>
  <c r="G196" i="1"/>
  <c r="H196" i="1" s="1"/>
  <c r="C196" i="1"/>
  <c r="E196" i="1" s="1"/>
  <c r="C203" i="1"/>
  <c r="E203" i="1" s="1"/>
  <c r="D204" i="1"/>
  <c r="K204" i="1" s="1"/>
  <c r="C204" i="1"/>
  <c r="E204" i="1" s="1"/>
  <c r="H204" i="1"/>
  <c r="G205" i="1"/>
  <c r="D205" i="1"/>
  <c r="K205" i="1" s="1"/>
  <c r="J209" i="1"/>
  <c r="I209" i="1" s="1"/>
  <c r="D245" i="1"/>
  <c r="K245" i="1" s="1"/>
  <c r="G246" i="1"/>
  <c r="H246" i="1" s="1"/>
  <c r="D247" i="1"/>
  <c r="K247" i="1" s="1"/>
  <c r="C277" i="1"/>
  <c r="E277" i="1" s="1"/>
  <c r="D280" i="1"/>
  <c r="K280" i="1" s="1"/>
  <c r="C283" i="1"/>
  <c r="E283" i="1" s="1"/>
  <c r="H289" i="1"/>
  <c r="J289" i="1" s="1"/>
  <c r="G299" i="1"/>
  <c r="H299" i="1" s="1"/>
  <c r="D299" i="1"/>
  <c r="K299" i="1" s="1"/>
  <c r="C299" i="1"/>
  <c r="E299" i="1" s="1"/>
  <c r="D344" i="1"/>
  <c r="K344" i="1" s="1"/>
  <c r="C344" i="1"/>
  <c r="E344" i="1" s="1"/>
  <c r="D183" i="1"/>
  <c r="K183" i="1" s="1"/>
  <c r="D186" i="1"/>
  <c r="K186" i="1" s="1"/>
  <c r="D196" i="1"/>
  <c r="K196" i="1" s="1"/>
  <c r="C205" i="1"/>
  <c r="E205" i="1" s="1"/>
  <c r="D206" i="1"/>
  <c r="K206" i="1" s="1"/>
  <c r="C206" i="1"/>
  <c r="E206" i="1" s="1"/>
  <c r="H206" i="1"/>
  <c r="G207" i="1"/>
  <c r="H207" i="1" s="1"/>
  <c r="D207" i="1"/>
  <c r="K207" i="1" s="1"/>
  <c r="J221" i="1"/>
  <c r="I221" i="1" s="1"/>
  <c r="H242" i="1"/>
  <c r="F242" i="1" s="1"/>
  <c r="G244" i="1"/>
  <c r="H244" i="1" s="1"/>
  <c r="J244" i="1" s="1"/>
  <c r="G255" i="1"/>
  <c r="H255" i="1" s="1"/>
  <c r="E255" i="1"/>
  <c r="J271" i="1"/>
  <c r="I271" i="1" s="1"/>
  <c r="H276" i="1"/>
  <c r="D277" i="1"/>
  <c r="K277" i="1" s="1"/>
  <c r="G344" i="1"/>
  <c r="H344" i="1" s="1"/>
  <c r="G407" i="1"/>
  <c r="D407" i="1"/>
  <c r="K407" i="1" s="1"/>
  <c r="C407" i="1"/>
  <c r="E407" i="1" s="1"/>
  <c r="G468" i="1"/>
  <c r="D468" i="1"/>
  <c r="K468" i="1" s="1"/>
  <c r="C468" i="1"/>
  <c r="E468" i="1" s="1"/>
  <c r="G313" i="1"/>
  <c r="H313" i="1" s="1"/>
  <c r="D313" i="1"/>
  <c r="K313" i="1" s="1"/>
  <c r="D340" i="1"/>
  <c r="K340" i="1" s="1"/>
  <c r="E340" i="1"/>
  <c r="F345" i="1"/>
  <c r="D380" i="1"/>
  <c r="K380" i="1" s="1"/>
  <c r="G380" i="1"/>
  <c r="H380" i="1" s="1"/>
  <c r="C380" i="1"/>
  <c r="E380" i="1" s="1"/>
  <c r="C415" i="1"/>
  <c r="E415" i="1" s="1"/>
  <c r="D415" i="1"/>
  <c r="K415" i="1" s="1"/>
  <c r="G415" i="1"/>
  <c r="H415" i="1" s="1"/>
  <c r="C419" i="1"/>
  <c r="E419" i="1" s="1"/>
  <c r="G419" i="1"/>
  <c r="D419" i="1"/>
  <c r="K419" i="1" s="1"/>
  <c r="C440" i="1"/>
  <c r="E440" i="1" s="1"/>
  <c r="G440" i="1"/>
  <c r="H440" i="1" s="1"/>
  <c r="D440" i="1"/>
  <c r="K440" i="1" s="1"/>
  <c r="G195" i="1"/>
  <c r="G208" i="1"/>
  <c r="F209" i="1"/>
  <c r="F221" i="1"/>
  <c r="G230" i="1"/>
  <c r="G232" i="1"/>
  <c r="F241" i="1"/>
  <c r="G248" i="1"/>
  <c r="G250" i="1"/>
  <c r="F252" i="1"/>
  <c r="G261" i="1"/>
  <c r="G268" i="1"/>
  <c r="G275" i="1"/>
  <c r="G278" i="1"/>
  <c r="G281" i="1"/>
  <c r="E313" i="1"/>
  <c r="C316" i="1"/>
  <c r="E316" i="1" s="1"/>
  <c r="D316" i="1"/>
  <c r="K316" i="1" s="1"/>
  <c r="G317" i="1"/>
  <c r="D317" i="1"/>
  <c r="K317" i="1" s="1"/>
  <c r="C318" i="1"/>
  <c r="E318" i="1" s="1"/>
  <c r="J318" i="1"/>
  <c r="I318" i="1" s="1"/>
  <c r="F318" i="1"/>
  <c r="C320" i="1"/>
  <c r="E320" i="1" s="1"/>
  <c r="H320" i="1"/>
  <c r="G323" i="1"/>
  <c r="G327" i="1"/>
  <c r="C327" i="1"/>
  <c r="E327" i="1" s="1"/>
  <c r="C328" i="1"/>
  <c r="E328" i="1" s="1"/>
  <c r="D328" i="1"/>
  <c r="K328" i="1" s="1"/>
  <c r="G340" i="1"/>
  <c r="F341" i="1"/>
  <c r="F282" i="1"/>
  <c r="G325" i="1"/>
  <c r="H325" i="1" s="1"/>
  <c r="F325" i="1" s="1"/>
  <c r="C325" i="1"/>
  <c r="E325" i="1" s="1"/>
  <c r="D325" i="1"/>
  <c r="K325" i="1" s="1"/>
  <c r="C326" i="1"/>
  <c r="E326" i="1" s="1"/>
  <c r="D330" i="1"/>
  <c r="K330" i="1" s="1"/>
  <c r="C332" i="1"/>
  <c r="E332" i="1" s="1"/>
  <c r="G332" i="1"/>
  <c r="H332" i="1" s="1"/>
  <c r="C333" i="1"/>
  <c r="E333" i="1" s="1"/>
  <c r="D333" i="1"/>
  <c r="K333" i="1" s="1"/>
  <c r="D374" i="1"/>
  <c r="K374" i="1" s="1"/>
  <c r="C374" i="1"/>
  <c r="E374" i="1" s="1"/>
  <c r="G426" i="1"/>
  <c r="H426" i="1" s="1"/>
  <c r="D426" i="1"/>
  <c r="K426" i="1" s="1"/>
  <c r="C426" i="1"/>
  <c r="E426" i="1" s="1"/>
  <c r="G434" i="1"/>
  <c r="H434" i="1" s="1"/>
  <c r="D434" i="1"/>
  <c r="K434" i="1" s="1"/>
  <c r="C434" i="1"/>
  <c r="E434" i="1" s="1"/>
  <c r="C279" i="1"/>
  <c r="E279" i="1" s="1"/>
  <c r="C282" i="1"/>
  <c r="E282" i="1" s="1"/>
  <c r="C304" i="1"/>
  <c r="E304" i="1" s="1"/>
  <c r="H304" i="1"/>
  <c r="F304" i="1" s="1"/>
  <c r="D304" i="1"/>
  <c r="K304" i="1" s="1"/>
  <c r="G305" i="1"/>
  <c r="H305" i="1" s="1"/>
  <c r="D305" i="1"/>
  <c r="K305" i="1" s="1"/>
  <c r="D326" i="1"/>
  <c r="K326" i="1" s="1"/>
  <c r="C330" i="1"/>
  <c r="E330" i="1" s="1"/>
  <c r="D332" i="1"/>
  <c r="K332" i="1" s="1"/>
  <c r="G334" i="1"/>
  <c r="H334" i="1" s="1"/>
  <c r="D334" i="1"/>
  <c r="K334" i="1" s="1"/>
  <c r="D335" i="1"/>
  <c r="K335" i="1" s="1"/>
  <c r="D353" i="1"/>
  <c r="K353" i="1" s="1"/>
  <c r="C353" i="1"/>
  <c r="E353" i="1" s="1"/>
  <c r="G357" i="1"/>
  <c r="H357" i="1" s="1"/>
  <c r="D357" i="1"/>
  <c r="K357" i="1" s="1"/>
  <c r="G374" i="1"/>
  <c r="H374" i="1" s="1"/>
  <c r="G391" i="1"/>
  <c r="H391" i="1" s="1"/>
  <c r="D391" i="1"/>
  <c r="K391" i="1" s="1"/>
  <c r="C391" i="1"/>
  <c r="E391" i="1" s="1"/>
  <c r="C226" i="1"/>
  <c r="E226" i="1" s="1"/>
  <c r="C228" i="1"/>
  <c r="E228" i="1" s="1"/>
  <c r="C235" i="1"/>
  <c r="E235" i="1" s="1"/>
  <c r="C237" i="1"/>
  <c r="E237" i="1" s="1"/>
  <c r="C256" i="1"/>
  <c r="E256" i="1" s="1"/>
  <c r="C259" i="1"/>
  <c r="E259" i="1" s="1"/>
  <c r="C266" i="1"/>
  <c r="E266" i="1" s="1"/>
  <c r="D279" i="1"/>
  <c r="K279" i="1" s="1"/>
  <c r="D282" i="1"/>
  <c r="K282" i="1" s="1"/>
  <c r="G286" i="1"/>
  <c r="D286" i="1"/>
  <c r="K286" i="1" s="1"/>
  <c r="C305" i="1"/>
  <c r="E305" i="1" s="1"/>
  <c r="C306" i="1"/>
  <c r="E306" i="1" s="1"/>
  <c r="H306" i="1"/>
  <c r="D306" i="1"/>
  <c r="K306" i="1" s="1"/>
  <c r="G307" i="1"/>
  <c r="D307" i="1"/>
  <c r="K307" i="1" s="1"/>
  <c r="G316" i="1"/>
  <c r="G333" i="1"/>
  <c r="C334" i="1"/>
  <c r="E334" i="1" s="1"/>
  <c r="C335" i="1"/>
  <c r="E335" i="1" s="1"/>
  <c r="C357" i="1"/>
  <c r="E357" i="1" s="1"/>
  <c r="G364" i="1"/>
  <c r="D364" i="1"/>
  <c r="K364" i="1" s="1"/>
  <c r="C364" i="1"/>
  <c r="E364" i="1" s="1"/>
  <c r="D378" i="1"/>
  <c r="K378" i="1" s="1"/>
  <c r="G378" i="1"/>
  <c r="H378" i="1" s="1"/>
  <c r="C378" i="1"/>
  <c r="E378" i="1" s="1"/>
  <c r="C286" i="1"/>
  <c r="E286" i="1" s="1"/>
  <c r="C289" i="1"/>
  <c r="E289" i="1" s="1"/>
  <c r="C308" i="1"/>
  <c r="E308" i="1" s="1"/>
  <c r="H308" i="1"/>
  <c r="D308" i="1"/>
  <c r="K308" i="1" s="1"/>
  <c r="G309" i="1"/>
  <c r="H309" i="1" s="1"/>
  <c r="J309" i="1" s="1"/>
  <c r="D309" i="1"/>
  <c r="K309" i="1" s="1"/>
  <c r="G326" i="1"/>
  <c r="H326" i="1" s="1"/>
  <c r="J326" i="1" s="1"/>
  <c r="I326" i="1" s="1"/>
  <c r="G330" i="1"/>
  <c r="H330" i="1" s="1"/>
  <c r="G352" i="1"/>
  <c r="H352" i="1" s="1"/>
  <c r="D352" i="1"/>
  <c r="K352" i="1" s="1"/>
  <c r="C352" i="1"/>
  <c r="E352" i="1" s="1"/>
  <c r="G353" i="1"/>
  <c r="J362" i="1"/>
  <c r="I362" i="1" s="1"/>
  <c r="C417" i="1"/>
  <c r="E417" i="1" s="1"/>
  <c r="G417" i="1"/>
  <c r="H336" i="1"/>
  <c r="J336" i="1" s="1"/>
  <c r="J341" i="1"/>
  <c r="I341" i="1" s="1"/>
  <c r="D348" i="1"/>
  <c r="K348" i="1" s="1"/>
  <c r="D356" i="1"/>
  <c r="K356" i="1" s="1"/>
  <c r="F362" i="1"/>
  <c r="G366" i="1"/>
  <c r="H366" i="1" s="1"/>
  <c r="J366" i="1" s="1"/>
  <c r="H372" i="1"/>
  <c r="C393" i="1"/>
  <c r="E393" i="1" s="1"/>
  <c r="G393" i="1"/>
  <c r="H393" i="1" s="1"/>
  <c r="C404" i="1"/>
  <c r="E404" i="1" s="1"/>
  <c r="G404" i="1"/>
  <c r="H404" i="1" s="1"/>
  <c r="J404" i="1" s="1"/>
  <c r="H348" i="1"/>
  <c r="H356" i="1"/>
  <c r="G368" i="1"/>
  <c r="H368" i="1" s="1"/>
  <c r="J368" i="1" s="1"/>
  <c r="H399" i="1"/>
  <c r="F399" i="1" s="1"/>
  <c r="D399" i="1"/>
  <c r="K399" i="1" s="1"/>
  <c r="G331" i="1"/>
  <c r="C337" i="1"/>
  <c r="E337" i="1" s="1"/>
  <c r="C342" i="1"/>
  <c r="E342" i="1" s="1"/>
  <c r="J345" i="1"/>
  <c r="I345" i="1" s="1"/>
  <c r="C347" i="1"/>
  <c r="E347" i="1" s="1"/>
  <c r="E350" i="1"/>
  <c r="G354" i="1"/>
  <c r="C355" i="1"/>
  <c r="E355" i="1" s="1"/>
  <c r="G361" i="1"/>
  <c r="G363" i="1"/>
  <c r="C368" i="1"/>
  <c r="E368" i="1" s="1"/>
  <c r="G389" i="1"/>
  <c r="D389" i="1"/>
  <c r="K389" i="1" s="1"/>
  <c r="C389" i="1"/>
  <c r="E389" i="1" s="1"/>
  <c r="D398" i="1"/>
  <c r="K398" i="1" s="1"/>
  <c r="C398" i="1"/>
  <c r="E398" i="1" s="1"/>
  <c r="C399" i="1"/>
  <c r="E399" i="1" s="1"/>
  <c r="G411" i="1"/>
  <c r="D411" i="1"/>
  <c r="K411" i="1" s="1"/>
  <c r="C411" i="1"/>
  <c r="E411" i="1" s="1"/>
  <c r="C438" i="1"/>
  <c r="E438" i="1" s="1"/>
  <c r="G438" i="1"/>
  <c r="H438" i="1" s="1"/>
  <c r="D438" i="1"/>
  <c r="K438" i="1" s="1"/>
  <c r="C455" i="1"/>
  <c r="E455" i="1" s="1"/>
  <c r="H455" i="1"/>
  <c r="F455" i="1" s="1"/>
  <c r="D455" i="1"/>
  <c r="K455" i="1" s="1"/>
  <c r="C362" i="1"/>
  <c r="E362" i="1" s="1"/>
  <c r="G386" i="1"/>
  <c r="H386" i="1" s="1"/>
  <c r="J386" i="1" s="1"/>
  <c r="D386" i="1"/>
  <c r="K386" i="1" s="1"/>
  <c r="D396" i="1"/>
  <c r="K396" i="1" s="1"/>
  <c r="G396" i="1"/>
  <c r="H396" i="1" s="1"/>
  <c r="J396" i="1" s="1"/>
  <c r="G405" i="1"/>
  <c r="D405" i="1"/>
  <c r="K405" i="1" s="1"/>
  <c r="C405" i="1"/>
  <c r="E405" i="1" s="1"/>
  <c r="C409" i="1"/>
  <c r="E409" i="1" s="1"/>
  <c r="H409" i="1"/>
  <c r="F409" i="1" s="1"/>
  <c r="J418" i="1"/>
  <c r="I418" i="1" s="1"/>
  <c r="G462" i="1"/>
  <c r="H462" i="1" s="1"/>
  <c r="D462" i="1"/>
  <c r="K462" i="1" s="1"/>
  <c r="C462" i="1"/>
  <c r="E462" i="1" s="1"/>
  <c r="C464" i="1"/>
  <c r="E464" i="1" s="1"/>
  <c r="D464" i="1"/>
  <c r="K464" i="1" s="1"/>
  <c r="G337" i="1"/>
  <c r="G342" i="1"/>
  <c r="C348" i="1"/>
  <c r="E348" i="1" s="1"/>
  <c r="C356" i="1"/>
  <c r="E356" i="1" s="1"/>
  <c r="D362" i="1"/>
  <c r="K362" i="1" s="1"/>
  <c r="C365" i="1"/>
  <c r="E365" i="1" s="1"/>
  <c r="C370" i="1"/>
  <c r="E370" i="1" s="1"/>
  <c r="H384" i="1"/>
  <c r="D384" i="1"/>
  <c r="K384" i="1" s="1"/>
  <c r="C384" i="1"/>
  <c r="E384" i="1" s="1"/>
  <c r="C385" i="1"/>
  <c r="E385" i="1" s="1"/>
  <c r="G385" i="1"/>
  <c r="H385" i="1" s="1"/>
  <c r="J385" i="1" s="1"/>
  <c r="C386" i="1"/>
  <c r="E386" i="1" s="1"/>
  <c r="E394" i="1"/>
  <c r="G394" i="1"/>
  <c r="H394" i="1" s="1"/>
  <c r="J394" i="1" s="1"/>
  <c r="D394" i="1"/>
  <c r="K394" i="1" s="1"/>
  <c r="C396" i="1"/>
  <c r="E396" i="1" s="1"/>
  <c r="G398" i="1"/>
  <c r="D409" i="1"/>
  <c r="K409" i="1" s="1"/>
  <c r="C449" i="1"/>
  <c r="E449" i="1" s="1"/>
  <c r="G449" i="1"/>
  <c r="D449" i="1"/>
  <c r="K449" i="1" s="1"/>
  <c r="G464" i="1"/>
  <c r="H464" i="1" s="1"/>
  <c r="J464" i="1" s="1"/>
  <c r="I464" i="1" s="1"/>
  <c r="H479" i="1"/>
  <c r="J479" i="1" s="1"/>
  <c r="H541" i="1"/>
  <c r="F541" i="1" s="1"/>
  <c r="H397" i="1"/>
  <c r="F397" i="1" s="1"/>
  <c r="C436" i="1"/>
  <c r="E436" i="1" s="1"/>
  <c r="G436" i="1"/>
  <c r="H436" i="1" s="1"/>
  <c r="G452" i="1"/>
  <c r="H452" i="1" s="1"/>
  <c r="J452" i="1" s="1"/>
  <c r="D452" i="1"/>
  <c r="K452" i="1" s="1"/>
  <c r="J475" i="1"/>
  <c r="I475" i="1" s="1"/>
  <c r="F475" i="1"/>
  <c r="C392" i="1"/>
  <c r="E392" i="1" s="1"/>
  <c r="C397" i="1"/>
  <c r="E397" i="1" s="1"/>
  <c r="D402" i="1"/>
  <c r="K402" i="1" s="1"/>
  <c r="C421" i="1"/>
  <c r="E421" i="1" s="1"/>
  <c r="C428" i="1"/>
  <c r="E428" i="1" s="1"/>
  <c r="D436" i="1"/>
  <c r="K436" i="1" s="1"/>
  <c r="D445" i="1"/>
  <c r="K445" i="1" s="1"/>
  <c r="C445" i="1"/>
  <c r="E445" i="1" s="1"/>
  <c r="C452" i="1"/>
  <c r="E452" i="1" s="1"/>
  <c r="D466" i="1"/>
  <c r="K466" i="1" s="1"/>
  <c r="C466" i="1"/>
  <c r="E466" i="1" s="1"/>
  <c r="G470" i="1"/>
  <c r="D470" i="1"/>
  <c r="K470" i="1" s="1"/>
  <c r="C470" i="1"/>
  <c r="E470" i="1" s="1"/>
  <c r="C369" i="1"/>
  <c r="E369" i="1" s="1"/>
  <c r="C382" i="1"/>
  <c r="E382" i="1" s="1"/>
  <c r="C387" i="1"/>
  <c r="E387" i="1" s="1"/>
  <c r="E390" i="1"/>
  <c r="D392" i="1"/>
  <c r="K392" i="1" s="1"/>
  <c r="C395" i="1"/>
  <c r="E395" i="1" s="1"/>
  <c r="D397" i="1"/>
  <c r="K397" i="1" s="1"/>
  <c r="C400" i="1"/>
  <c r="E400" i="1" s="1"/>
  <c r="E402" i="1"/>
  <c r="C413" i="1"/>
  <c r="E413" i="1" s="1"/>
  <c r="D421" i="1"/>
  <c r="K421" i="1" s="1"/>
  <c r="H422" i="1"/>
  <c r="J422" i="1" s="1"/>
  <c r="D428" i="1"/>
  <c r="K428" i="1" s="1"/>
  <c r="F435" i="1"/>
  <c r="G445" i="1"/>
  <c r="H445" i="1" s="1"/>
  <c r="J445" i="1" s="1"/>
  <c r="G460" i="1"/>
  <c r="H460" i="1" s="1"/>
  <c r="J460" i="1" s="1"/>
  <c r="I460" i="1" s="1"/>
  <c r="D460" i="1"/>
  <c r="K460" i="1" s="1"/>
  <c r="C460" i="1"/>
  <c r="E460" i="1" s="1"/>
  <c r="G466" i="1"/>
  <c r="H466" i="1" s="1"/>
  <c r="D472" i="1"/>
  <c r="K472" i="1" s="1"/>
  <c r="C472" i="1"/>
  <c r="E472" i="1" s="1"/>
  <c r="G472" i="1"/>
  <c r="H472" i="1" s="1"/>
  <c r="F472" i="1" s="1"/>
  <c r="G480" i="1"/>
  <c r="H480" i="1" s="1"/>
  <c r="D480" i="1"/>
  <c r="K480" i="1" s="1"/>
  <c r="C480" i="1"/>
  <c r="E480" i="1" s="1"/>
  <c r="G444" i="1"/>
  <c r="H444" i="1" s="1"/>
  <c r="J444" i="1" s="1"/>
  <c r="D444" i="1"/>
  <c r="K444" i="1" s="1"/>
  <c r="C444" i="1"/>
  <c r="E444" i="1" s="1"/>
  <c r="J383" i="1"/>
  <c r="I383" i="1" s="1"/>
  <c r="E388" i="1"/>
  <c r="D390" i="1"/>
  <c r="K390" i="1" s="1"/>
  <c r="G392" i="1"/>
  <c r="G402" i="1"/>
  <c r="D403" i="1"/>
  <c r="K403" i="1" s="1"/>
  <c r="E406" i="1"/>
  <c r="G413" i="1"/>
  <c r="H413" i="1" s="1"/>
  <c r="H421" i="1"/>
  <c r="F421" i="1" s="1"/>
  <c r="D422" i="1"/>
  <c r="K422" i="1" s="1"/>
  <c r="H424" i="1"/>
  <c r="J424" i="1" s="1"/>
  <c r="G428" i="1"/>
  <c r="H428" i="1" s="1"/>
  <c r="D430" i="1"/>
  <c r="K430" i="1" s="1"/>
  <c r="G442" i="1"/>
  <c r="H442" i="1" s="1"/>
  <c r="H456" i="1"/>
  <c r="F456" i="1" s="1"/>
  <c r="G484" i="1"/>
  <c r="H484" i="1" s="1"/>
  <c r="E484" i="1"/>
  <c r="G476" i="1"/>
  <c r="H476" i="1" s="1"/>
  <c r="C641" i="1"/>
  <c r="E641" i="1" s="1"/>
  <c r="G641" i="1"/>
  <c r="H641" i="1" s="1"/>
  <c r="D641" i="1"/>
  <c r="K641" i="1" s="1"/>
  <c r="G463" i="1"/>
  <c r="H463" i="1" s="1"/>
  <c r="G471" i="1"/>
  <c r="H471" i="1" s="1"/>
  <c r="J471" i="1" s="1"/>
  <c r="C476" i="1"/>
  <c r="E476" i="1" s="1"/>
  <c r="D477" i="1"/>
  <c r="K477" i="1" s="1"/>
  <c r="G488" i="1"/>
  <c r="H488" i="1" s="1"/>
  <c r="J488" i="1" s="1"/>
  <c r="G414" i="1"/>
  <c r="J423" i="1"/>
  <c r="I423" i="1" s="1"/>
  <c r="G437" i="1"/>
  <c r="G439" i="1"/>
  <c r="G441" i="1"/>
  <c r="C442" i="1"/>
  <c r="E442" i="1" s="1"/>
  <c r="C447" i="1"/>
  <c r="E447" i="1" s="1"/>
  <c r="C456" i="1"/>
  <c r="E456" i="1" s="1"/>
  <c r="D459" i="1"/>
  <c r="K459" i="1" s="1"/>
  <c r="C463" i="1"/>
  <c r="E463" i="1" s="1"/>
  <c r="C471" i="1"/>
  <c r="E471" i="1" s="1"/>
  <c r="D476" i="1"/>
  <c r="K476" i="1" s="1"/>
  <c r="C477" i="1"/>
  <c r="E477" i="1" s="1"/>
  <c r="C488" i="1"/>
  <c r="E488" i="1" s="1"/>
  <c r="D423" i="1"/>
  <c r="K423" i="1" s="1"/>
  <c r="D425" i="1"/>
  <c r="K425" i="1" s="1"/>
  <c r="D427" i="1"/>
  <c r="K427" i="1" s="1"/>
  <c r="D450" i="1"/>
  <c r="K450" i="1" s="1"/>
  <c r="H477" i="1"/>
  <c r="F477" i="1" s="1"/>
  <c r="F487" i="1"/>
  <c r="G492" i="1"/>
  <c r="H492" i="1" s="1"/>
  <c r="J492" i="1" s="1"/>
  <c r="G447" i="1"/>
  <c r="H447" i="1" s="1"/>
  <c r="G459" i="1"/>
  <c r="H459" i="1" s="1"/>
  <c r="D461" i="1"/>
  <c r="K461" i="1" s="1"/>
  <c r="D469" i="1"/>
  <c r="K469" i="1" s="1"/>
  <c r="I474" i="1"/>
  <c r="F474" i="1"/>
  <c r="D547" i="1"/>
  <c r="K547" i="1" s="1"/>
  <c r="C547" i="1"/>
  <c r="E547" i="1" s="1"/>
  <c r="G547" i="1"/>
  <c r="H547" i="1" s="1"/>
  <c r="F547" i="1" s="1"/>
  <c r="D555" i="1"/>
  <c r="K555" i="1" s="1"/>
  <c r="C555" i="1"/>
  <c r="E555" i="1" s="1"/>
  <c r="H555" i="1"/>
  <c r="J555" i="1" s="1"/>
  <c r="I555" i="1" s="1"/>
  <c r="F514" i="1"/>
  <c r="H531" i="1"/>
  <c r="F531" i="1" s="1"/>
  <c r="G554" i="1"/>
  <c r="H554" i="1" s="1"/>
  <c r="D554" i="1"/>
  <c r="K554" i="1" s="1"/>
  <c r="C554" i="1"/>
  <c r="E554" i="1" s="1"/>
  <c r="G583" i="1"/>
  <c r="H583" i="1" s="1"/>
  <c r="J583" i="1" s="1"/>
  <c r="I583" i="1" s="1"/>
  <c r="C583" i="1"/>
  <c r="E583" i="1" s="1"/>
  <c r="D583" i="1"/>
  <c r="K583" i="1" s="1"/>
  <c r="J515" i="1"/>
  <c r="I515" i="1" s="1"/>
  <c r="G546" i="1"/>
  <c r="H546" i="1" s="1"/>
  <c r="J546" i="1" s="1"/>
  <c r="I546" i="1" s="1"/>
  <c r="D546" i="1"/>
  <c r="K546" i="1" s="1"/>
  <c r="C546" i="1"/>
  <c r="E546" i="1" s="1"/>
  <c r="C569" i="1"/>
  <c r="E569" i="1" s="1"/>
  <c r="G569" i="1"/>
  <c r="H569" i="1" s="1"/>
  <c r="D569" i="1"/>
  <c r="K569" i="1" s="1"/>
  <c r="G624" i="1"/>
  <c r="H624" i="1" s="1"/>
  <c r="D624" i="1"/>
  <c r="K624" i="1" s="1"/>
  <c r="C624" i="1"/>
  <c r="E624" i="1" s="1"/>
  <c r="F482" i="1"/>
  <c r="I482" i="1"/>
  <c r="F510" i="1"/>
  <c r="F515" i="1"/>
  <c r="F518" i="1"/>
  <c r="H527" i="1"/>
  <c r="J527" i="1" s="1"/>
  <c r="H535" i="1"/>
  <c r="J535" i="1" s="1"/>
  <c r="H543" i="1"/>
  <c r="J543" i="1" s="1"/>
  <c r="D545" i="1"/>
  <c r="K545" i="1" s="1"/>
  <c r="D553" i="1"/>
  <c r="K553" i="1" s="1"/>
  <c r="D561" i="1"/>
  <c r="K561" i="1" s="1"/>
  <c r="G587" i="1"/>
  <c r="H587" i="1" s="1"/>
  <c r="D587" i="1"/>
  <c r="K587" i="1" s="1"/>
  <c r="C587" i="1"/>
  <c r="E587" i="1" s="1"/>
  <c r="G646" i="1"/>
  <c r="H646" i="1" s="1"/>
  <c r="D646" i="1"/>
  <c r="K646" i="1" s="1"/>
  <c r="C646" i="1"/>
  <c r="E646" i="1" s="1"/>
  <c r="E485" i="1"/>
  <c r="E491" i="1"/>
  <c r="E493" i="1"/>
  <c r="E511" i="1"/>
  <c r="H550" i="1"/>
  <c r="D551" i="1"/>
  <c r="K551" i="1" s="1"/>
  <c r="D559" i="1"/>
  <c r="K559" i="1" s="1"/>
  <c r="H581" i="1"/>
  <c r="F581" i="1" s="1"/>
  <c r="C581" i="1"/>
  <c r="E581" i="1" s="1"/>
  <c r="C590" i="1"/>
  <c r="E590" i="1" s="1"/>
  <c r="G590" i="1"/>
  <c r="D590" i="1"/>
  <c r="K590" i="1" s="1"/>
  <c r="J510" i="1"/>
  <c r="I510" i="1" s="1"/>
  <c r="J514" i="1"/>
  <c r="I514" i="1" s="1"/>
  <c r="J518" i="1"/>
  <c r="I518" i="1" s="1"/>
  <c r="J528" i="1"/>
  <c r="I528" i="1" s="1"/>
  <c r="E544" i="1"/>
  <c r="G545" i="1"/>
  <c r="H545" i="1" s="1"/>
  <c r="J545" i="1" s="1"/>
  <c r="I545" i="1" s="1"/>
  <c r="E551" i="1"/>
  <c r="G553" i="1"/>
  <c r="H553" i="1" s="1"/>
  <c r="J553" i="1" s="1"/>
  <c r="I553" i="1" s="1"/>
  <c r="E559" i="1"/>
  <c r="G561" i="1"/>
  <c r="H561" i="1" s="1"/>
  <c r="J561" i="1" s="1"/>
  <c r="C567" i="1"/>
  <c r="E567" i="1" s="1"/>
  <c r="C579" i="1"/>
  <c r="E579" i="1" s="1"/>
  <c r="D581" i="1"/>
  <c r="K581" i="1" s="1"/>
  <c r="C586" i="1"/>
  <c r="E586" i="1" s="1"/>
  <c r="G586" i="1"/>
  <c r="H586" i="1" s="1"/>
  <c r="J586" i="1" s="1"/>
  <c r="D586" i="1"/>
  <c r="K586" i="1" s="1"/>
  <c r="J589" i="1"/>
  <c r="I589" i="1" s="1"/>
  <c r="F589" i="1"/>
  <c r="C571" i="1"/>
  <c r="E571" i="1" s="1"/>
  <c r="C573" i="1"/>
  <c r="E573" i="1" s="1"/>
  <c r="C575" i="1"/>
  <c r="E575" i="1" s="1"/>
  <c r="C577" i="1"/>
  <c r="E577" i="1" s="1"/>
  <c r="C611" i="1"/>
  <c r="E611" i="1" s="1"/>
  <c r="G611" i="1"/>
  <c r="H611" i="1" s="1"/>
  <c r="J611" i="1" s="1"/>
  <c r="I611" i="1" s="1"/>
  <c r="D611" i="1"/>
  <c r="K611" i="1" s="1"/>
  <c r="G551" i="1"/>
  <c r="E558" i="1"/>
  <c r="G559" i="1"/>
  <c r="D571" i="1"/>
  <c r="K571" i="1" s="1"/>
  <c r="D573" i="1"/>
  <c r="K573" i="1" s="1"/>
  <c r="D575" i="1"/>
  <c r="K575" i="1" s="1"/>
  <c r="D577" i="1"/>
  <c r="K577" i="1" s="1"/>
  <c r="G585" i="1"/>
  <c r="H585" i="1" s="1"/>
  <c r="D585" i="1"/>
  <c r="K585" i="1" s="1"/>
  <c r="C585" i="1"/>
  <c r="E585" i="1" s="1"/>
  <c r="G571" i="1"/>
  <c r="G573" i="1"/>
  <c r="G575" i="1"/>
  <c r="H575" i="1" s="1"/>
  <c r="J575" i="1" s="1"/>
  <c r="G577" i="1"/>
  <c r="H577" i="1" s="1"/>
  <c r="C588" i="1"/>
  <c r="E588" i="1" s="1"/>
  <c r="D588" i="1"/>
  <c r="K588" i="1" s="1"/>
  <c r="G588" i="1"/>
  <c r="H588" i="1" s="1"/>
  <c r="G599" i="1"/>
  <c r="H599" i="1" s="1"/>
  <c r="C599" i="1"/>
  <c r="E599" i="1" s="1"/>
  <c r="C637" i="1"/>
  <c r="E637" i="1" s="1"/>
  <c r="G637" i="1"/>
  <c r="H637" i="1" s="1"/>
  <c r="J637" i="1" s="1"/>
  <c r="D637" i="1"/>
  <c r="K637" i="1" s="1"/>
  <c r="G544" i="1"/>
  <c r="C545" i="1"/>
  <c r="E545" i="1" s="1"/>
  <c r="G549" i="1"/>
  <c r="D550" i="1"/>
  <c r="K550" i="1" s="1"/>
  <c r="G552" i="1"/>
  <c r="C553" i="1"/>
  <c r="E553" i="1" s="1"/>
  <c r="G557" i="1"/>
  <c r="D558" i="1"/>
  <c r="K558" i="1" s="1"/>
  <c r="G560" i="1"/>
  <c r="C561" i="1"/>
  <c r="E561" i="1" s="1"/>
  <c r="G563" i="1"/>
  <c r="H563" i="1" s="1"/>
  <c r="J563" i="1" s="1"/>
  <c r="D599" i="1"/>
  <c r="K599" i="1" s="1"/>
  <c r="G612" i="1"/>
  <c r="H612" i="1" s="1"/>
  <c r="D612" i="1"/>
  <c r="K612" i="1" s="1"/>
  <c r="C612" i="1"/>
  <c r="E612" i="1" s="1"/>
  <c r="G603" i="1"/>
  <c r="C625" i="1"/>
  <c r="E625" i="1" s="1"/>
  <c r="G614" i="1"/>
  <c r="H614" i="1" s="1"/>
  <c r="J614" i="1" s="1"/>
  <c r="C627" i="1"/>
  <c r="E627" i="1" s="1"/>
  <c r="G628" i="1"/>
  <c r="G633" i="1"/>
  <c r="H633" i="1" s="1"/>
  <c r="J633" i="1" s="1"/>
  <c r="I633" i="1" s="1"/>
  <c r="C649" i="1"/>
  <c r="E649" i="1" s="1"/>
  <c r="D649" i="1"/>
  <c r="K649" i="1" s="1"/>
  <c r="H595" i="1"/>
  <c r="C614" i="1"/>
  <c r="E614" i="1" s="1"/>
  <c r="C615" i="1"/>
  <c r="E615" i="1" s="1"/>
  <c r="G615" i="1"/>
  <c r="H615" i="1" s="1"/>
  <c r="J615" i="1" s="1"/>
  <c r="G616" i="1"/>
  <c r="D616" i="1"/>
  <c r="K616" i="1" s="1"/>
  <c r="C616" i="1"/>
  <c r="E616" i="1" s="1"/>
  <c r="G625" i="1"/>
  <c r="H625" i="1" s="1"/>
  <c r="D627" i="1"/>
  <c r="K627" i="1" s="1"/>
  <c r="C628" i="1"/>
  <c r="E628" i="1" s="1"/>
  <c r="G649" i="1"/>
  <c r="H649" i="1" s="1"/>
  <c r="J566" i="1"/>
  <c r="I566" i="1" s="1"/>
  <c r="D584" i="1"/>
  <c r="K584" i="1" s="1"/>
  <c r="C597" i="1"/>
  <c r="E597" i="1" s="1"/>
  <c r="D600" i="1"/>
  <c r="K600" i="1" s="1"/>
  <c r="C605" i="1"/>
  <c r="E605" i="1" s="1"/>
  <c r="G605" i="1"/>
  <c r="H605" i="1" s="1"/>
  <c r="F605" i="1" s="1"/>
  <c r="G606" i="1"/>
  <c r="E606" i="1"/>
  <c r="D606" i="1"/>
  <c r="K606" i="1" s="1"/>
  <c r="D614" i="1"/>
  <c r="K614" i="1" s="1"/>
  <c r="D615" i="1"/>
  <c r="K615" i="1" s="1"/>
  <c r="C617" i="1"/>
  <c r="E617" i="1" s="1"/>
  <c r="G618" i="1"/>
  <c r="H618" i="1" s="1"/>
  <c r="D628" i="1"/>
  <c r="K628" i="1" s="1"/>
  <c r="G630" i="1"/>
  <c r="G648" i="1"/>
  <c r="H648" i="1" s="1"/>
  <c r="J648" i="1" s="1"/>
  <c r="D648" i="1"/>
  <c r="K648" i="1" s="1"/>
  <c r="C648" i="1"/>
  <c r="E648" i="1" s="1"/>
  <c r="C619" i="1"/>
  <c r="E619" i="1" s="1"/>
  <c r="D619" i="1"/>
  <c r="K619" i="1" s="1"/>
  <c r="C631" i="1"/>
  <c r="E631" i="1" s="1"/>
  <c r="G631" i="1"/>
  <c r="H631" i="1" s="1"/>
  <c r="J631" i="1" s="1"/>
  <c r="I631" i="1" s="1"/>
  <c r="G632" i="1"/>
  <c r="D632" i="1"/>
  <c r="K632" i="1" s="1"/>
  <c r="C632" i="1"/>
  <c r="E632" i="1" s="1"/>
  <c r="C601" i="1"/>
  <c r="E601" i="1" s="1"/>
  <c r="G608" i="1"/>
  <c r="H608" i="1" s="1"/>
  <c r="J608" i="1" s="1"/>
  <c r="I608" i="1" s="1"/>
  <c r="C621" i="1"/>
  <c r="E621" i="1" s="1"/>
  <c r="G621" i="1"/>
  <c r="H621" i="1" s="1"/>
  <c r="G622" i="1"/>
  <c r="H622" i="1" s="1"/>
  <c r="D622" i="1"/>
  <c r="K622" i="1" s="1"/>
  <c r="G627" i="1"/>
  <c r="H627" i="1" s="1"/>
  <c r="J627" i="1" s="1"/>
  <c r="D631" i="1"/>
  <c r="K631" i="1" s="1"/>
  <c r="C633" i="1"/>
  <c r="E633" i="1" s="1"/>
  <c r="G634" i="1"/>
  <c r="H634" i="1" s="1"/>
  <c r="C651" i="1"/>
  <c r="E651" i="1" s="1"/>
  <c r="G651" i="1"/>
  <c r="D651" i="1"/>
  <c r="K651" i="1" s="1"/>
  <c r="G584" i="1"/>
  <c r="H584" i="1" s="1"/>
  <c r="J584" i="1" s="1"/>
  <c r="C595" i="1"/>
  <c r="E595" i="1" s="1"/>
  <c r="F597" i="1"/>
  <c r="D598" i="1"/>
  <c r="K598" i="1" s="1"/>
  <c r="G600" i="1"/>
  <c r="D601" i="1"/>
  <c r="K601" i="1" s="1"/>
  <c r="C608" i="1"/>
  <c r="E608" i="1" s="1"/>
  <c r="C609" i="1"/>
  <c r="E609" i="1" s="1"/>
  <c r="G619" i="1"/>
  <c r="H619" i="1" s="1"/>
  <c r="J619" i="1" s="1"/>
  <c r="D621" i="1"/>
  <c r="K621" i="1" s="1"/>
  <c r="C622" i="1"/>
  <c r="E622" i="1" s="1"/>
  <c r="D633" i="1"/>
  <c r="K633" i="1" s="1"/>
  <c r="C634" i="1"/>
  <c r="E634" i="1" s="1"/>
  <c r="C635" i="1"/>
  <c r="E635" i="1" s="1"/>
  <c r="D635" i="1"/>
  <c r="K635" i="1" s="1"/>
  <c r="G638" i="1"/>
  <c r="E638" i="1"/>
  <c r="D638" i="1"/>
  <c r="K638" i="1" s="1"/>
  <c r="J650" i="1"/>
  <c r="I650" i="1" s="1"/>
  <c r="F650" i="1"/>
  <c r="D654" i="1"/>
  <c r="K654" i="1" s="1"/>
  <c r="C610" i="1"/>
  <c r="E610" i="1" s="1"/>
  <c r="D613" i="1"/>
  <c r="K613" i="1" s="1"/>
  <c r="C626" i="1"/>
  <c r="E626" i="1" s="1"/>
  <c r="D629" i="1"/>
  <c r="K629" i="1" s="1"/>
  <c r="C642" i="1"/>
  <c r="E642" i="1" s="1"/>
  <c r="D645" i="1"/>
  <c r="K645" i="1" s="1"/>
  <c r="G647" i="1"/>
  <c r="H647" i="1" s="1"/>
  <c r="F647" i="1" s="1"/>
  <c r="C658" i="1"/>
  <c r="E658" i="1" s="1"/>
  <c r="F660" i="1"/>
  <c r="D658" i="1"/>
  <c r="K658" i="1" s="1"/>
  <c r="H654" i="1"/>
  <c r="F654" i="1" s="1"/>
  <c r="D643" i="1"/>
  <c r="K643" i="1" s="1"/>
  <c r="G645" i="1"/>
  <c r="C656" i="1"/>
  <c r="E656" i="1" s="1"/>
  <c r="F658" i="1"/>
  <c r="D659" i="1"/>
  <c r="K659" i="1" s="1"/>
  <c r="J660" i="1"/>
  <c r="I660" i="1" s="1"/>
  <c r="I658" i="1"/>
  <c r="C660" i="1"/>
  <c r="E660" i="1" s="1"/>
  <c r="F526" i="1" l="1"/>
  <c r="F212" i="1"/>
  <c r="F210" i="1"/>
  <c r="F169" i="1"/>
  <c r="F297" i="1"/>
  <c r="F594" i="1"/>
  <c r="J512" i="2"/>
  <c r="I512" i="2" s="1"/>
  <c r="F135" i="1"/>
  <c r="F134" i="1"/>
  <c r="F565" i="1"/>
  <c r="I565" i="1"/>
  <c r="F395" i="1"/>
  <c r="F469" i="1"/>
  <c r="F629" i="1"/>
  <c r="F511" i="1"/>
  <c r="I657" i="1"/>
  <c r="F657" i="1"/>
  <c r="F506" i="1"/>
  <c r="F113" i="1"/>
  <c r="F601" i="1"/>
  <c r="I124" i="1"/>
  <c r="F148" i="1"/>
  <c r="J448" i="1"/>
  <c r="I448" i="1" s="1"/>
  <c r="F486" i="1"/>
  <c r="F164" i="1"/>
  <c r="I355" i="1"/>
  <c r="F485" i="1"/>
  <c r="F103" i="1"/>
  <c r="F458" i="1"/>
  <c r="F62" i="1"/>
  <c r="F639" i="1"/>
  <c r="J479" i="2"/>
  <c r="I479" i="2" s="1"/>
  <c r="J647" i="2"/>
  <c r="I647" i="2" s="1"/>
  <c r="I113" i="2"/>
  <c r="I39" i="1"/>
  <c r="F243" i="1"/>
  <c r="I297" i="1"/>
  <c r="F596" i="1"/>
  <c r="I653" i="1"/>
  <c r="F159" i="1"/>
  <c r="J159" i="1"/>
  <c r="I159" i="1" s="1"/>
  <c r="F388" i="1"/>
  <c r="F191" i="1"/>
  <c r="F294" i="1"/>
  <c r="F592" i="1"/>
  <c r="F382" i="1"/>
  <c r="I592" i="1"/>
  <c r="J6" i="2"/>
  <c r="I6" i="2" s="1"/>
  <c r="F519" i="1"/>
  <c r="I4" i="1"/>
  <c r="J279" i="1"/>
  <c r="I279" i="1" s="1"/>
  <c r="F604" i="1"/>
  <c r="F132" i="1"/>
  <c r="J652" i="1"/>
  <c r="I652" i="1" s="1"/>
  <c r="I613" i="1"/>
  <c r="J540" i="1"/>
  <c r="I540" i="1" s="1"/>
  <c r="F534" i="1"/>
  <c r="F113" i="2"/>
  <c r="F613" i="1"/>
  <c r="F298" i="1"/>
  <c r="J375" i="2"/>
  <c r="I375" i="2" s="1"/>
  <c r="F294" i="2"/>
  <c r="I609" i="1"/>
  <c r="I478" i="1"/>
  <c r="F5" i="1"/>
  <c r="J223" i="1"/>
  <c r="I223" i="1" s="1"/>
  <c r="I607" i="1"/>
  <c r="F478" i="1"/>
  <c r="F508" i="1"/>
  <c r="F465" i="1"/>
  <c r="I17" i="1"/>
  <c r="F99" i="1"/>
  <c r="J371" i="1"/>
  <c r="I371" i="1" s="1"/>
  <c r="F197" i="1"/>
  <c r="F142" i="1"/>
  <c r="J493" i="1"/>
  <c r="I493" i="1" s="1"/>
  <c r="F267" i="1"/>
  <c r="F211" i="2"/>
  <c r="J644" i="1"/>
  <c r="I644" i="1" s="1"/>
  <c r="F644" i="1"/>
  <c r="J524" i="1"/>
  <c r="I524" i="1" s="1"/>
  <c r="F524" i="1"/>
  <c r="F162" i="1"/>
  <c r="J162" i="1"/>
  <c r="I162" i="1" s="1"/>
  <c r="F611" i="2"/>
  <c r="J502" i="1"/>
  <c r="I502" i="1" s="1"/>
  <c r="F498" i="1"/>
  <c r="I387" i="1"/>
  <c r="F443" i="1"/>
  <c r="F29" i="1"/>
  <c r="F22" i="1"/>
  <c r="F421" i="2"/>
  <c r="F308" i="2"/>
  <c r="J656" i="1"/>
  <c r="I656" i="1" s="1"/>
  <c r="F223" i="1"/>
  <c r="I490" i="1"/>
  <c r="F433" i="1"/>
  <c r="F270" i="1"/>
  <c r="J3" i="1"/>
  <c r="I3" i="1" s="1"/>
  <c r="F475" i="2"/>
  <c r="F542" i="1"/>
  <c r="F151" i="1"/>
  <c r="F490" i="1"/>
  <c r="F432" i="1"/>
  <c r="F512" i="1"/>
  <c r="F58" i="1"/>
  <c r="F230" i="2"/>
  <c r="J550" i="2"/>
  <c r="I550" i="2" s="1"/>
  <c r="F189" i="1"/>
  <c r="F150" i="1"/>
  <c r="J548" i="1"/>
  <c r="I548" i="1" s="1"/>
  <c r="F609" i="1"/>
  <c r="F302" i="1"/>
  <c r="F32" i="1"/>
  <c r="F215" i="2"/>
  <c r="F520" i="1"/>
  <c r="F263" i="1"/>
  <c r="F239" i="1"/>
  <c r="F198" i="1"/>
  <c r="F238" i="1"/>
  <c r="F156" i="1"/>
  <c r="F491" i="1"/>
  <c r="F203" i="2"/>
  <c r="F271" i="2"/>
  <c r="F494" i="1"/>
  <c r="J494" i="1"/>
  <c r="I494" i="1" s="1"/>
  <c r="F617" i="1"/>
  <c r="J617" i="1"/>
  <c r="I617" i="1" s="1"/>
  <c r="F329" i="1"/>
  <c r="J329" i="1"/>
  <c r="I329" i="1" s="1"/>
  <c r="J593" i="2"/>
  <c r="I593" i="2" s="1"/>
  <c r="F403" i="1"/>
  <c r="F642" i="1"/>
  <c r="J111" i="1"/>
  <c r="I111" i="1" s="1"/>
  <c r="I366" i="2"/>
  <c r="F522" i="1"/>
  <c r="F358" i="1"/>
  <c r="J80" i="2"/>
  <c r="I80" i="2" s="1"/>
  <c r="J615" i="2"/>
  <c r="I615" i="2" s="1"/>
  <c r="J299" i="2"/>
  <c r="I299" i="2" s="1"/>
  <c r="F578" i="2"/>
  <c r="J36" i="2"/>
  <c r="I36" i="2" s="1"/>
  <c r="F593" i="2"/>
  <c r="F297" i="2"/>
  <c r="J7" i="2"/>
  <c r="I7" i="2" s="1"/>
  <c r="F598" i="2"/>
  <c r="F612" i="1"/>
  <c r="J500" i="1"/>
  <c r="I500" i="1" s="1"/>
  <c r="F355" i="1"/>
  <c r="J399" i="1"/>
  <c r="I399" i="1" s="1"/>
  <c r="F427" i="1"/>
  <c r="F160" i="1"/>
  <c r="F141" i="1"/>
  <c r="F35" i="1"/>
  <c r="F17" i="1"/>
  <c r="I530" i="2"/>
  <c r="J568" i="2"/>
  <c r="I568" i="2" s="1"/>
  <c r="F199" i="2"/>
  <c r="F568" i="2"/>
  <c r="F651" i="2"/>
  <c r="F7" i="2"/>
  <c r="F207" i="2"/>
  <c r="F264" i="2"/>
  <c r="F26" i="2"/>
  <c r="F153" i="2"/>
  <c r="F504" i="1"/>
  <c r="I626" i="1"/>
  <c r="F176" i="1"/>
  <c r="F107" i="1"/>
  <c r="I598" i="2"/>
  <c r="F217" i="2"/>
  <c r="J111" i="2"/>
  <c r="I111" i="2" s="1"/>
  <c r="J259" i="2"/>
  <c r="I259" i="2" s="1"/>
  <c r="F51" i="2"/>
  <c r="J543" i="2"/>
  <c r="I543" i="2" s="1"/>
  <c r="J572" i="1"/>
  <c r="I572" i="1" s="1"/>
  <c r="F653" i="1"/>
  <c r="F623" i="1"/>
  <c r="J501" i="1"/>
  <c r="I501" i="1" s="1"/>
  <c r="I394" i="1"/>
  <c r="F95" i="1"/>
  <c r="J61" i="2"/>
  <c r="I61" i="2" s="1"/>
  <c r="J176" i="2"/>
  <c r="I176" i="2" s="1"/>
  <c r="F366" i="2"/>
  <c r="F615" i="2"/>
  <c r="J346" i="2"/>
  <c r="I346" i="2" s="1"/>
  <c r="J186" i="2"/>
  <c r="I186" i="2" s="1"/>
  <c r="J247" i="2"/>
  <c r="I247" i="2" s="1"/>
  <c r="F543" i="2"/>
  <c r="F569" i="2"/>
  <c r="F626" i="1"/>
  <c r="J321" i="1"/>
  <c r="I321" i="1" s="1"/>
  <c r="I596" i="1"/>
  <c r="J562" i="1"/>
  <c r="I562" i="1" s="1"/>
  <c r="F556" i="1"/>
  <c r="F91" i="1"/>
  <c r="F343" i="1"/>
  <c r="J509" i="2"/>
  <c r="I509" i="2" s="1"/>
  <c r="J622" i="2"/>
  <c r="I622" i="2" s="1"/>
  <c r="F61" i="2"/>
  <c r="F59" i="2"/>
  <c r="F530" i="2"/>
  <c r="F299" i="2"/>
  <c r="J84" i="2"/>
  <c r="I84" i="2" s="1"/>
  <c r="F568" i="1"/>
  <c r="J568" i="1"/>
  <c r="I568" i="1" s="1"/>
  <c r="J38" i="1"/>
  <c r="I38" i="1" s="1"/>
  <c r="F38" i="1"/>
  <c r="J155" i="1"/>
  <c r="I155" i="1" s="1"/>
  <c r="J417" i="2"/>
  <c r="I417" i="2" s="1"/>
  <c r="J10" i="2"/>
  <c r="I10" i="2" s="1"/>
  <c r="F155" i="1"/>
  <c r="J116" i="2"/>
  <c r="I116" i="2" s="1"/>
  <c r="F417" i="2"/>
  <c r="J444" i="2"/>
  <c r="I444" i="2" s="1"/>
  <c r="J432" i="2"/>
  <c r="I432" i="2" s="1"/>
  <c r="J345" i="2"/>
  <c r="I345" i="2" s="1"/>
  <c r="J401" i="2"/>
  <c r="I401" i="2" s="1"/>
  <c r="F10" i="2"/>
  <c r="J445" i="2"/>
  <c r="I445" i="2" s="1"/>
  <c r="J371" i="2"/>
  <c r="I371" i="2" s="1"/>
  <c r="J487" i="2"/>
  <c r="I487" i="2" s="1"/>
  <c r="J296" i="2"/>
  <c r="I296" i="2" s="1"/>
  <c r="J333" i="2"/>
  <c r="I333" i="2" s="1"/>
  <c r="F333" i="2"/>
  <c r="J470" i="2"/>
  <c r="I470" i="2" s="1"/>
  <c r="J265" i="2"/>
  <c r="I265" i="2" s="1"/>
  <c r="J413" i="2"/>
  <c r="I413" i="2" s="1"/>
  <c r="J473" i="2"/>
  <c r="I473" i="2" s="1"/>
  <c r="J576" i="1"/>
  <c r="I576" i="1" s="1"/>
  <c r="F219" i="1"/>
  <c r="F153" i="1"/>
  <c r="F102" i="1"/>
  <c r="F444" i="2"/>
  <c r="J605" i="2"/>
  <c r="I605" i="2" s="1"/>
  <c r="J122" i="2"/>
  <c r="I122" i="2" s="1"/>
  <c r="J356" i="2"/>
  <c r="I356" i="2" s="1"/>
  <c r="J443" i="2"/>
  <c r="I443" i="2" s="1"/>
  <c r="J500" i="2"/>
  <c r="I500" i="2" s="1"/>
  <c r="J576" i="2"/>
  <c r="I576" i="2" s="1"/>
  <c r="F576" i="2"/>
  <c r="J154" i="2"/>
  <c r="I154" i="2" s="1"/>
  <c r="J128" i="2"/>
  <c r="I128" i="2" s="1"/>
  <c r="J480" i="2"/>
  <c r="I480" i="2" s="1"/>
  <c r="J575" i="2"/>
  <c r="I575" i="2" s="1"/>
  <c r="J429" i="2"/>
  <c r="I429" i="2" s="1"/>
  <c r="J442" i="2"/>
  <c r="I442" i="2" s="1"/>
  <c r="J514" i="2"/>
  <c r="I514" i="2" s="1"/>
  <c r="J411" i="2"/>
  <c r="I411" i="2" s="1"/>
  <c r="J373" i="2"/>
  <c r="I373" i="2" s="1"/>
  <c r="J364" i="2"/>
  <c r="I364" i="2" s="1"/>
  <c r="I186" i="1"/>
  <c r="I659" i="1"/>
  <c r="J541" i="1"/>
  <c r="I541" i="1" s="1"/>
  <c r="J499" i="1"/>
  <c r="I499" i="1" s="1"/>
  <c r="F396" i="1"/>
  <c r="I157" i="1"/>
  <c r="J416" i="1"/>
  <c r="I416" i="1" s="1"/>
  <c r="H145" i="1"/>
  <c r="J145" i="1" s="1"/>
  <c r="I145" i="1" s="1"/>
  <c r="J137" i="2"/>
  <c r="I137" i="2" s="1"/>
  <c r="J484" i="2"/>
  <c r="I484" i="2" s="1"/>
  <c r="F122" i="2"/>
  <c r="J302" i="2"/>
  <c r="I302" i="2" s="1"/>
  <c r="F500" i="2"/>
  <c r="J637" i="2"/>
  <c r="I637" i="2" s="1"/>
  <c r="J336" i="2"/>
  <c r="I336" i="2" s="1"/>
  <c r="J573" i="2"/>
  <c r="I573" i="2" s="1"/>
  <c r="J173" i="2"/>
  <c r="I173" i="2" s="1"/>
  <c r="J267" i="2"/>
  <c r="I267" i="2" s="1"/>
  <c r="J419" i="2"/>
  <c r="I419" i="2" s="1"/>
  <c r="J486" i="2"/>
  <c r="I486" i="2" s="1"/>
  <c r="F480" i="2"/>
  <c r="J388" i="2"/>
  <c r="I388" i="2" s="1"/>
  <c r="J478" i="2"/>
  <c r="I478" i="2" s="1"/>
  <c r="J260" i="2"/>
  <c r="I260" i="2" s="1"/>
  <c r="J235" i="2"/>
  <c r="I235" i="2" s="1"/>
  <c r="J655" i="2"/>
  <c r="I655" i="2" s="1"/>
  <c r="J570" i="1"/>
  <c r="I570" i="1" s="1"/>
  <c r="F523" i="1"/>
  <c r="J285" i="1"/>
  <c r="I285" i="1" s="1"/>
  <c r="F9" i="1"/>
  <c r="J489" i="2"/>
  <c r="I489" i="2" s="1"/>
  <c r="J621" i="2"/>
  <c r="I621" i="2" s="1"/>
  <c r="J381" i="2"/>
  <c r="I381" i="2" s="1"/>
  <c r="F573" i="2"/>
  <c r="J424" i="2"/>
  <c r="I424" i="2" s="1"/>
  <c r="J81" i="2"/>
  <c r="I81" i="2" s="1"/>
  <c r="F443" i="2"/>
  <c r="J385" i="2"/>
  <c r="I385" i="2" s="1"/>
  <c r="J228" i="2"/>
  <c r="I228" i="2" s="1"/>
  <c r="J365" i="2"/>
  <c r="I365" i="2" s="1"/>
  <c r="J446" i="2"/>
  <c r="I446" i="2" s="1"/>
  <c r="J619" i="2"/>
  <c r="I619" i="2" s="1"/>
  <c r="J352" i="2"/>
  <c r="I352" i="2" s="1"/>
  <c r="F352" i="2"/>
  <c r="J124" i="2"/>
  <c r="I124" i="2" s="1"/>
  <c r="J531" i="2"/>
  <c r="I531" i="2" s="1"/>
  <c r="J355" i="2"/>
  <c r="I355" i="2" s="1"/>
  <c r="J338" i="2"/>
  <c r="I338" i="2" s="1"/>
  <c r="J202" i="2"/>
  <c r="I202" i="2" s="1"/>
  <c r="J426" i="2"/>
  <c r="I426" i="2" s="1"/>
  <c r="J639" i="2"/>
  <c r="I639" i="2" s="1"/>
  <c r="F385" i="2"/>
  <c r="J428" i="2"/>
  <c r="I428" i="2" s="1"/>
  <c r="F173" i="2"/>
  <c r="F445" i="2"/>
  <c r="F364" i="2"/>
  <c r="J457" i="1"/>
  <c r="I457" i="1" s="1"/>
  <c r="J373" i="1"/>
  <c r="I373" i="1" s="1"/>
  <c r="F152" i="1"/>
  <c r="J15" i="2"/>
  <c r="I15" i="2" s="1"/>
  <c r="J397" i="2"/>
  <c r="I397" i="2" s="1"/>
  <c r="J399" i="2"/>
  <c r="I399" i="2" s="1"/>
  <c r="J120" i="2"/>
  <c r="I120" i="2" s="1"/>
  <c r="J482" i="2"/>
  <c r="I482" i="2" s="1"/>
  <c r="J422" i="2"/>
  <c r="I422" i="2" s="1"/>
  <c r="J617" i="2"/>
  <c r="I617" i="2" s="1"/>
  <c r="J449" i="2"/>
  <c r="I449" i="2" s="1"/>
  <c r="J572" i="2"/>
  <c r="I572" i="2" s="1"/>
  <c r="J131" i="2"/>
  <c r="I131" i="2" s="1"/>
  <c r="J136" i="2"/>
  <c r="I136" i="2" s="1"/>
  <c r="J243" i="2"/>
  <c r="I243" i="2" s="1"/>
  <c r="J250" i="2"/>
  <c r="I250" i="2" s="1"/>
  <c r="F365" i="2"/>
  <c r="F355" i="2"/>
  <c r="J490" i="2"/>
  <c r="I490" i="2" s="1"/>
  <c r="J532" i="2"/>
  <c r="I532" i="2" s="1"/>
  <c r="J606" i="2"/>
  <c r="I606" i="2" s="1"/>
  <c r="J430" i="2"/>
  <c r="I430" i="2" s="1"/>
  <c r="J145" i="2"/>
  <c r="I145" i="2" s="1"/>
  <c r="J437" i="2"/>
  <c r="I437" i="2" s="1"/>
  <c r="J130" i="2"/>
  <c r="I130" i="2" s="1"/>
  <c r="J472" i="2"/>
  <c r="I472" i="2" s="1"/>
  <c r="F659" i="1"/>
  <c r="I395" i="1"/>
  <c r="F406" i="1"/>
  <c r="F425" i="1"/>
  <c r="F108" i="1"/>
  <c r="F580" i="1"/>
  <c r="F430" i="2"/>
  <c r="J118" i="2"/>
  <c r="I118" i="2" s="1"/>
  <c r="F399" i="2"/>
  <c r="J529" i="2"/>
  <c r="I529" i="2" s="1"/>
  <c r="F145" i="2"/>
  <c r="J394" i="2"/>
  <c r="I394" i="2" s="1"/>
  <c r="J334" i="2"/>
  <c r="I334" i="2" s="1"/>
  <c r="F437" i="2"/>
  <c r="J471" i="2"/>
  <c r="I471" i="2" s="1"/>
  <c r="F15" i="2"/>
  <c r="F637" i="2"/>
  <c r="J126" i="2"/>
  <c r="I126" i="2" s="1"/>
  <c r="J407" i="2"/>
  <c r="I407" i="2" s="1"/>
  <c r="J90" i="2"/>
  <c r="I90" i="2" s="1"/>
  <c r="J150" i="2"/>
  <c r="I150" i="2" s="1"/>
  <c r="J181" i="2"/>
  <c r="I181" i="2" s="1"/>
  <c r="J415" i="2"/>
  <c r="I415" i="2" s="1"/>
  <c r="J451" i="2"/>
  <c r="I451" i="2" s="1"/>
  <c r="F130" i="2"/>
  <c r="J344" i="2"/>
  <c r="I344" i="2" s="1"/>
  <c r="F136" i="2"/>
  <c r="J270" i="2"/>
  <c r="I270" i="2" s="1"/>
  <c r="J453" i="2"/>
  <c r="I453" i="2" s="1"/>
  <c r="F356" i="2"/>
  <c r="J511" i="2"/>
  <c r="I511" i="2" s="1"/>
  <c r="F473" i="2"/>
  <c r="F606" i="2"/>
  <c r="J365" i="1"/>
  <c r="I365" i="1" s="1"/>
  <c r="F532" i="1"/>
  <c r="J532" i="1"/>
  <c r="I532" i="1" s="1"/>
  <c r="J347" i="1"/>
  <c r="I347" i="1" s="1"/>
  <c r="F347" i="1"/>
  <c r="I386" i="1"/>
  <c r="F366" i="1"/>
  <c r="I366" i="1"/>
  <c r="F648" i="1"/>
  <c r="F525" i="1"/>
  <c r="I59" i="1"/>
  <c r="J300" i="1"/>
  <c r="I300" i="1" s="1"/>
  <c r="I183" i="1"/>
  <c r="F636" i="1"/>
  <c r="F124" i="1"/>
  <c r="F140" i="1"/>
  <c r="F538" i="1"/>
  <c r="J369" i="1"/>
  <c r="I369" i="1" s="1"/>
  <c r="J41" i="1"/>
  <c r="I41" i="1" s="1"/>
  <c r="J620" i="1"/>
  <c r="I620" i="1" s="1"/>
  <c r="F620" i="1"/>
  <c r="J536" i="1"/>
  <c r="I536" i="1" s="1"/>
  <c r="F536" i="1"/>
  <c r="J98" i="1"/>
  <c r="I98" i="1" s="1"/>
  <c r="F503" i="1"/>
  <c r="J503" i="1"/>
  <c r="I503" i="1" s="1"/>
  <c r="J20" i="1"/>
  <c r="I20" i="1" s="1"/>
  <c r="F20" i="1"/>
  <c r="J214" i="1"/>
  <c r="I214" i="1" s="1"/>
  <c r="F214" i="1"/>
  <c r="J120" i="1"/>
  <c r="I120" i="1" s="1"/>
  <c r="J335" i="1"/>
  <c r="I335" i="1" s="1"/>
  <c r="F335" i="1"/>
  <c r="J516" i="1"/>
  <c r="I516" i="1" s="1"/>
  <c r="F516" i="1"/>
  <c r="J655" i="1"/>
  <c r="I655" i="1" s="1"/>
  <c r="F655" i="1"/>
  <c r="F582" i="1"/>
  <c r="J582" i="1"/>
  <c r="I582" i="1" s="1"/>
  <c r="J224" i="1"/>
  <c r="I224" i="1" s="1"/>
  <c r="F224" i="1"/>
  <c r="F513" i="1"/>
  <c r="F517" i="1"/>
  <c r="F290" i="1"/>
  <c r="H106" i="1"/>
  <c r="J106" i="1" s="1"/>
  <c r="J161" i="1"/>
  <c r="I161" i="1" s="1"/>
  <c r="I63" i="1"/>
  <c r="F610" i="1"/>
  <c r="H346" i="1"/>
  <c r="F346" i="1" s="1"/>
  <c r="H400" i="1"/>
  <c r="J400" i="1" s="1"/>
  <c r="I400" i="1" s="1"/>
  <c r="F14" i="1"/>
  <c r="J610" i="1"/>
  <c r="I610" i="1" s="1"/>
  <c r="J147" i="1"/>
  <c r="I147" i="1" s="1"/>
  <c r="J359" i="1"/>
  <c r="I359" i="1" s="1"/>
  <c r="F289" i="1"/>
  <c r="F258" i="1"/>
  <c r="F231" i="1"/>
  <c r="J324" i="1"/>
  <c r="I324" i="1" s="1"/>
  <c r="F390" i="1"/>
  <c r="F473" i="1"/>
  <c r="J533" i="1"/>
  <c r="I533" i="1" s="1"/>
  <c r="F507" i="1"/>
  <c r="J429" i="1"/>
  <c r="I429" i="1" s="1"/>
  <c r="J529" i="1"/>
  <c r="I529" i="1" s="1"/>
  <c r="F496" i="1"/>
  <c r="J472" i="1"/>
  <c r="I472" i="1" s="1"/>
  <c r="I289" i="1"/>
  <c r="J220" i="1"/>
  <c r="I220" i="1" s="1"/>
  <c r="I22" i="1"/>
  <c r="F535" i="1"/>
  <c r="I453" i="1"/>
  <c r="J381" i="1"/>
  <c r="I381" i="1" s="1"/>
  <c r="J455" i="1"/>
  <c r="I455" i="1" s="1"/>
  <c r="F404" i="1"/>
  <c r="F415" i="1"/>
  <c r="J215" i="1"/>
  <c r="I215" i="1" s="1"/>
  <c r="F144" i="1"/>
  <c r="F269" i="1"/>
  <c r="F120" i="1"/>
  <c r="I351" i="1"/>
  <c r="J409" i="1"/>
  <c r="I409" i="1" s="1"/>
  <c r="J377" i="1"/>
  <c r="I377" i="1" s="1"/>
  <c r="H468" i="1"/>
  <c r="J468" i="1" s="1"/>
  <c r="I468" i="1" s="1"/>
  <c r="F253" i="1"/>
  <c r="F179" i="1"/>
  <c r="F60" i="1"/>
  <c r="F93" i="1"/>
  <c r="F131" i="1"/>
  <c r="F453" i="1"/>
  <c r="F293" i="1"/>
  <c r="F625" i="1"/>
  <c r="F587" i="1"/>
  <c r="H411" i="1"/>
  <c r="J411" i="1" s="1"/>
  <c r="I368" i="1"/>
  <c r="I165" i="1"/>
  <c r="I114" i="1"/>
  <c r="F165" i="1"/>
  <c r="F136" i="1"/>
  <c r="I636" i="1"/>
  <c r="F635" i="1"/>
  <c r="H451" i="1"/>
  <c r="J451" i="1" s="1"/>
  <c r="I451" i="1" s="1"/>
  <c r="H603" i="1"/>
  <c r="J603" i="1" s="1"/>
  <c r="J352" i="1"/>
  <c r="I352" i="1" s="1"/>
  <c r="J301" i="1"/>
  <c r="I301" i="1" s="1"/>
  <c r="F301" i="1"/>
  <c r="J292" i="1"/>
  <c r="I292" i="1" s="1"/>
  <c r="F292" i="1"/>
  <c r="F222" i="1"/>
  <c r="J222" i="1"/>
  <c r="I222" i="1" s="1"/>
  <c r="J357" i="1"/>
  <c r="I357" i="1" s="1"/>
  <c r="J299" i="1"/>
  <c r="I299" i="1" s="1"/>
  <c r="F299" i="1"/>
  <c r="J246" i="1"/>
  <c r="I246" i="1" s="1"/>
  <c r="F246" i="1"/>
  <c r="F200" i="1"/>
  <c r="J200" i="1"/>
  <c r="I200" i="1" s="1"/>
  <c r="H590" i="1"/>
  <c r="J590" i="1" s="1"/>
  <c r="H628" i="1"/>
  <c r="J628" i="1" s="1"/>
  <c r="F602" i="1"/>
  <c r="J602" i="1"/>
  <c r="I602" i="1" s="1"/>
  <c r="J284" i="1"/>
  <c r="I284" i="1" s="1"/>
  <c r="F284" i="1"/>
  <c r="F408" i="1"/>
  <c r="J408" i="1"/>
  <c r="I408" i="1" s="1"/>
  <c r="J96" i="1"/>
  <c r="I96" i="1" s="1"/>
  <c r="F96" i="1"/>
  <c r="I506" i="1"/>
  <c r="J450" i="1"/>
  <c r="I450" i="1" s="1"/>
  <c r="F450" i="1"/>
  <c r="J495" i="1"/>
  <c r="I495" i="1" s="1"/>
  <c r="F495" i="1"/>
  <c r="J391" i="1"/>
  <c r="I391" i="1" s="1"/>
  <c r="F391" i="1"/>
  <c r="J254" i="1"/>
  <c r="I254" i="1" s="1"/>
  <c r="F254" i="1"/>
  <c r="J593" i="1"/>
  <c r="I593" i="1" s="1"/>
  <c r="F593" i="1"/>
  <c r="J143" i="1"/>
  <c r="I143" i="1" s="1"/>
  <c r="F143" i="1"/>
  <c r="J350" i="1"/>
  <c r="I350" i="1" s="1"/>
  <c r="F350" i="1"/>
  <c r="H632" i="1"/>
  <c r="F632" i="1" s="1"/>
  <c r="J245" i="1"/>
  <c r="I245" i="1" s="1"/>
  <c r="F245" i="1"/>
  <c r="I627" i="1"/>
  <c r="J612" i="1"/>
  <c r="I612" i="1" s="1"/>
  <c r="J375" i="1"/>
  <c r="I375" i="1" s="1"/>
  <c r="F375" i="1"/>
  <c r="F631" i="1"/>
  <c r="F553" i="1"/>
  <c r="F543" i="1"/>
  <c r="F564" i="1"/>
  <c r="F444" i="1"/>
  <c r="J379" i="1"/>
  <c r="I379" i="1" s="1"/>
  <c r="J412" i="1"/>
  <c r="I412" i="1" s="1"/>
  <c r="H407" i="1"/>
  <c r="J407" i="1" s="1"/>
  <c r="I407" i="1" s="1"/>
  <c r="F351" i="1"/>
  <c r="H277" i="1"/>
  <c r="F277" i="1" s="1"/>
  <c r="H291" i="1"/>
  <c r="J291" i="1" s="1"/>
  <c r="H287" i="1"/>
  <c r="J287" i="1" s="1"/>
  <c r="I168" i="1"/>
  <c r="J177" i="1"/>
  <c r="I177" i="1" s="1"/>
  <c r="H53" i="1"/>
  <c r="F139" i="1"/>
  <c r="H574" i="1"/>
  <c r="H97" i="1"/>
  <c r="J97" i="1" s="1"/>
  <c r="I97" i="1" s="1"/>
  <c r="I172" i="1"/>
  <c r="F73" i="1"/>
  <c r="I131" i="1"/>
  <c r="J94" i="1"/>
  <c r="I94" i="1" s="1"/>
  <c r="I21" i="1"/>
  <c r="H130" i="1"/>
  <c r="H86" i="1"/>
  <c r="J86" i="1" s="1"/>
  <c r="F530" i="1"/>
  <c r="F461" i="1"/>
  <c r="F578" i="1"/>
  <c r="F186" i="1"/>
  <c r="F77" i="1"/>
  <c r="F41" i="1"/>
  <c r="F89" i="1"/>
  <c r="F55" i="1"/>
  <c r="F463" i="1"/>
  <c r="H116" i="1"/>
  <c r="F116" i="1" s="1"/>
  <c r="H571" i="1"/>
  <c r="J571" i="1" s="1"/>
  <c r="F336" i="1"/>
  <c r="F380" i="1"/>
  <c r="F344" i="1"/>
  <c r="F315" i="1"/>
  <c r="I119" i="1"/>
  <c r="H90" i="1"/>
  <c r="J90" i="1" s="1"/>
  <c r="I57" i="1"/>
  <c r="F37" i="1"/>
  <c r="H121" i="1"/>
  <c r="F121" i="1" s="1"/>
  <c r="F607" i="1"/>
  <c r="J591" i="1"/>
  <c r="I591" i="1" s="1"/>
  <c r="I594" i="1"/>
  <c r="I492" i="1"/>
  <c r="F488" i="1"/>
  <c r="H342" i="1"/>
  <c r="J342" i="1" s="1"/>
  <c r="I342" i="1" s="1"/>
  <c r="I171" i="1"/>
  <c r="F122" i="1"/>
  <c r="F187" i="1"/>
  <c r="H92" i="1"/>
  <c r="J454" i="1"/>
  <c r="I454" i="1" s="1"/>
  <c r="H431" i="1"/>
  <c r="J431" i="1" s="1"/>
  <c r="I431" i="1" s="1"/>
  <c r="F109" i="1"/>
  <c r="F39" i="1"/>
  <c r="F618" i="1"/>
  <c r="J330" i="1"/>
  <c r="I330" i="1" s="1"/>
  <c r="J654" i="1"/>
  <c r="I654" i="1" s="1"/>
  <c r="J647" i="1"/>
  <c r="I647" i="1" s="1"/>
  <c r="F621" i="1"/>
  <c r="J587" i="1"/>
  <c r="I587" i="1" s="1"/>
  <c r="F452" i="1"/>
  <c r="H353" i="1"/>
  <c r="J353" i="1" s="1"/>
  <c r="I353" i="1" s="1"/>
  <c r="J217" i="1"/>
  <c r="I217" i="1" s="1"/>
  <c r="H367" i="1"/>
  <c r="J367" i="1" s="1"/>
  <c r="F295" i="1"/>
  <c r="I153" i="1"/>
  <c r="H48" i="1"/>
  <c r="F48" i="1" s="1"/>
  <c r="I61" i="1"/>
  <c r="F117" i="1"/>
  <c r="F51" i="1"/>
  <c r="H75" i="1"/>
  <c r="F75" i="1" s="1"/>
  <c r="F52" i="1"/>
  <c r="J519" i="1"/>
  <c r="I519" i="1" s="1"/>
  <c r="F387" i="1"/>
  <c r="F19" i="1"/>
  <c r="F614" i="1"/>
  <c r="I488" i="1"/>
  <c r="F413" i="1"/>
  <c r="F445" i="1"/>
  <c r="H333" i="1"/>
  <c r="F333" i="1" s="1"/>
  <c r="F260" i="1"/>
  <c r="F98" i="1"/>
  <c r="H49" i="1"/>
  <c r="J49" i="1" s="1"/>
  <c r="I49" i="1" s="1"/>
  <c r="F3" i="1"/>
  <c r="F128" i="1"/>
  <c r="F84" i="1"/>
  <c r="F213" i="1"/>
  <c r="F100" i="1"/>
  <c r="F87" i="1"/>
  <c r="F71" i="1"/>
  <c r="J467" i="1"/>
  <c r="I467" i="1" s="1"/>
  <c r="J420" i="1"/>
  <c r="I420" i="1" s="1"/>
  <c r="H489" i="1"/>
  <c r="F489" i="1" s="1"/>
  <c r="F369" i="1"/>
  <c r="F4" i="1"/>
  <c r="F365" i="1"/>
  <c r="F585" i="1"/>
  <c r="J585" i="1"/>
  <c r="I585" i="1" s="1"/>
  <c r="J436" i="1"/>
  <c r="I436" i="1" s="1"/>
  <c r="F569" i="1"/>
  <c r="J569" i="1"/>
  <c r="I569" i="1" s="1"/>
  <c r="J649" i="1"/>
  <c r="I649" i="1" s="1"/>
  <c r="J378" i="1"/>
  <c r="I378" i="1" s="1"/>
  <c r="J447" i="1"/>
  <c r="I447" i="1" s="1"/>
  <c r="J374" i="1"/>
  <c r="I374" i="1" s="1"/>
  <c r="J599" i="1"/>
  <c r="I599" i="1" s="1"/>
  <c r="J646" i="1"/>
  <c r="I646" i="1" s="1"/>
  <c r="F646" i="1"/>
  <c r="J480" i="1"/>
  <c r="I480" i="1" s="1"/>
  <c r="J577" i="1"/>
  <c r="I577" i="1" s="1"/>
  <c r="J588" i="1"/>
  <c r="I588" i="1" s="1"/>
  <c r="J476" i="1"/>
  <c r="I476" i="1" s="1"/>
  <c r="F476" i="1"/>
  <c r="J634" i="1"/>
  <c r="I634" i="1" s="1"/>
  <c r="J459" i="1"/>
  <c r="I459" i="1" s="1"/>
  <c r="F459" i="1"/>
  <c r="J622" i="1"/>
  <c r="I622" i="1" s="1"/>
  <c r="J624" i="1"/>
  <c r="I624" i="1" s="1"/>
  <c r="J554" i="1"/>
  <c r="I554" i="1" s="1"/>
  <c r="F554" i="1"/>
  <c r="J641" i="1"/>
  <c r="I641" i="1" s="1"/>
  <c r="J462" i="1"/>
  <c r="I462" i="1" s="1"/>
  <c r="F462" i="1"/>
  <c r="F649" i="1"/>
  <c r="H560" i="1"/>
  <c r="F575" i="1"/>
  <c r="J550" i="1"/>
  <c r="I550" i="1" s="1"/>
  <c r="F550" i="1"/>
  <c r="J497" i="1"/>
  <c r="I497" i="1" s="1"/>
  <c r="F401" i="1"/>
  <c r="J401" i="1"/>
  <c r="I401" i="1" s="1"/>
  <c r="J384" i="1"/>
  <c r="I384" i="1" s="1"/>
  <c r="J434" i="1"/>
  <c r="I434" i="1" s="1"/>
  <c r="H327" i="1"/>
  <c r="F327" i="1" s="1"/>
  <c r="H419" i="1"/>
  <c r="F419" i="1" s="1"/>
  <c r="J247" i="1"/>
  <c r="I247" i="1" s="1"/>
  <c r="F247" i="1"/>
  <c r="J225" i="1"/>
  <c r="I225" i="1" s="1"/>
  <c r="H54" i="1"/>
  <c r="F54" i="1" s="1"/>
  <c r="F50" i="1"/>
  <c r="H638" i="1"/>
  <c r="I615" i="1"/>
  <c r="H651" i="1"/>
  <c r="F608" i="1"/>
  <c r="F615" i="1"/>
  <c r="I614" i="1"/>
  <c r="H573" i="1"/>
  <c r="F573" i="1" s="1"/>
  <c r="H549" i="1"/>
  <c r="I575" i="1"/>
  <c r="J581" i="1"/>
  <c r="I581" i="1" s="1"/>
  <c r="F545" i="1"/>
  <c r="F558" i="1"/>
  <c r="F537" i="1"/>
  <c r="F583" i="1"/>
  <c r="J547" i="1"/>
  <c r="I547" i="1" s="1"/>
  <c r="F492" i="1"/>
  <c r="F497" i="1"/>
  <c r="F471" i="1"/>
  <c r="I424" i="1"/>
  <c r="F481" i="1"/>
  <c r="F466" i="1"/>
  <c r="F385" i="1"/>
  <c r="F384" i="1"/>
  <c r="J438" i="1"/>
  <c r="I438" i="1" s="1"/>
  <c r="H363" i="1"/>
  <c r="F363" i="1" s="1"/>
  <c r="J393" i="1"/>
  <c r="I393" i="1" s="1"/>
  <c r="H417" i="1"/>
  <c r="F309" i="1"/>
  <c r="I471" i="1"/>
  <c r="H317" i="1"/>
  <c r="J265" i="1"/>
  <c r="I265" i="1" s="1"/>
  <c r="J227" i="1"/>
  <c r="I227" i="1" s="1"/>
  <c r="J185" i="1"/>
  <c r="I185" i="1" s="1"/>
  <c r="H216" i="1"/>
  <c r="H167" i="1"/>
  <c r="F167" i="1" s="1"/>
  <c r="H201" i="1"/>
  <c r="F201" i="1" s="1"/>
  <c r="J311" i="1"/>
  <c r="I311" i="1" s="1"/>
  <c r="F311" i="1"/>
  <c r="I10" i="1"/>
  <c r="F190" i="1"/>
  <c r="J190" i="1"/>
  <c r="I190" i="1" s="1"/>
  <c r="F33" i="1"/>
  <c r="J33" i="1"/>
  <c r="I33" i="1" s="1"/>
  <c r="J71" i="1"/>
  <c r="I71" i="1" s="1"/>
  <c r="H630" i="1"/>
  <c r="F630" i="1" s="1"/>
  <c r="H616" i="1"/>
  <c r="F616" i="1" s="1"/>
  <c r="H645" i="1"/>
  <c r="F645" i="1" s="1"/>
  <c r="F599" i="1"/>
  <c r="I561" i="1"/>
  <c r="H559" i="1"/>
  <c r="F559" i="1" s="1"/>
  <c r="F643" i="1"/>
  <c r="F586" i="1"/>
  <c r="F579" i="1"/>
  <c r="F561" i="1"/>
  <c r="I543" i="1"/>
  <c r="F555" i="1"/>
  <c r="F447" i="1"/>
  <c r="J521" i="1"/>
  <c r="I521" i="1" s="1"/>
  <c r="F446" i="1"/>
  <c r="F641" i="1"/>
  <c r="F422" i="1"/>
  <c r="J466" i="1"/>
  <c r="I466" i="1" s="1"/>
  <c r="F436" i="1"/>
  <c r="H449" i="1"/>
  <c r="J481" i="1"/>
  <c r="I481" i="1" s="1"/>
  <c r="F438" i="1"/>
  <c r="H389" i="1"/>
  <c r="J306" i="1"/>
  <c r="I306" i="1" s="1"/>
  <c r="F306" i="1"/>
  <c r="J332" i="1"/>
  <c r="I332" i="1" s="1"/>
  <c r="H323" i="1"/>
  <c r="F323" i="1" s="1"/>
  <c r="J276" i="1"/>
  <c r="I276" i="1" s="1"/>
  <c r="J314" i="1"/>
  <c r="I314" i="1" s="1"/>
  <c r="F314" i="1"/>
  <c r="I309" i="1"/>
  <c r="J203" i="1"/>
  <c r="I203" i="1" s="1"/>
  <c r="J295" i="1"/>
  <c r="I295" i="1" s="1"/>
  <c r="H234" i="1"/>
  <c r="F126" i="1"/>
  <c r="J110" i="1"/>
  <c r="I110" i="1" s="1"/>
  <c r="F110" i="1"/>
  <c r="H138" i="1"/>
  <c r="J13" i="1"/>
  <c r="I13" i="1" s="1"/>
  <c r="J88" i="1"/>
  <c r="I88" i="1" s="1"/>
  <c r="J605" i="1"/>
  <c r="I605" i="1" s="1"/>
  <c r="F584" i="1"/>
  <c r="J595" i="1"/>
  <c r="I595" i="1" s="1"/>
  <c r="F595" i="1"/>
  <c r="H557" i="1"/>
  <c r="F557" i="1" s="1"/>
  <c r="F637" i="1"/>
  <c r="F611" i="1"/>
  <c r="F577" i="1"/>
  <c r="J621" i="1"/>
  <c r="I621" i="1" s="1"/>
  <c r="F567" i="1"/>
  <c r="J539" i="1"/>
  <c r="I539" i="1" s="1"/>
  <c r="J463" i="1"/>
  <c r="I463" i="1" s="1"/>
  <c r="I446" i="1"/>
  <c r="I509" i="1"/>
  <c r="J484" i="1"/>
  <c r="I484" i="1" s="1"/>
  <c r="H392" i="1"/>
  <c r="F392" i="1" s="1"/>
  <c r="F428" i="1"/>
  <c r="F356" i="1"/>
  <c r="J356" i="1"/>
  <c r="I356" i="1" s="1"/>
  <c r="H275" i="1"/>
  <c r="F275" i="1" s="1"/>
  <c r="J256" i="1"/>
  <c r="I256" i="1" s="1"/>
  <c r="F235" i="1"/>
  <c r="J235" i="1"/>
  <c r="I235" i="1" s="1"/>
  <c r="J440" i="1"/>
  <c r="I440" i="1" s="1"/>
  <c r="J313" i="1"/>
  <c r="I313" i="1" s="1"/>
  <c r="F313" i="1"/>
  <c r="J344" i="1"/>
  <c r="I344" i="1" s="1"/>
  <c r="H175" i="1"/>
  <c r="F175" i="1" s="1"/>
  <c r="J126" i="1"/>
  <c r="I126" i="1" s="1"/>
  <c r="J118" i="1"/>
  <c r="I118" i="1" s="1"/>
  <c r="J50" i="1"/>
  <c r="I50" i="1" s="1"/>
  <c r="F81" i="1"/>
  <c r="J81" i="1"/>
  <c r="I81" i="1" s="1"/>
  <c r="F36" i="1"/>
  <c r="J36" i="1"/>
  <c r="I36" i="1" s="1"/>
  <c r="H600" i="1"/>
  <c r="F600" i="1" s="1"/>
  <c r="I648" i="1"/>
  <c r="J625" i="1"/>
  <c r="I625" i="1" s="1"/>
  <c r="F598" i="1"/>
  <c r="F588" i="1"/>
  <c r="H544" i="1"/>
  <c r="I637" i="1"/>
  <c r="H551" i="1"/>
  <c r="F551" i="1" s="1"/>
  <c r="I586" i="1"/>
  <c r="I579" i="1"/>
  <c r="I567" i="1"/>
  <c r="I564" i="1"/>
  <c r="J531" i="1"/>
  <c r="I531" i="1" s="1"/>
  <c r="H441" i="1"/>
  <c r="F441" i="1" s="1"/>
  <c r="F484" i="1"/>
  <c r="J413" i="1"/>
  <c r="I413" i="1" s="1"/>
  <c r="I445" i="1"/>
  <c r="I422" i="1"/>
  <c r="I525" i="1"/>
  <c r="I385" i="1"/>
  <c r="H398" i="1"/>
  <c r="F398" i="1" s="1"/>
  <c r="F426" i="1"/>
  <c r="J426" i="1"/>
  <c r="I426" i="1" s="1"/>
  <c r="F332" i="1"/>
  <c r="F440" i="1"/>
  <c r="J415" i="1"/>
  <c r="I415" i="1" s="1"/>
  <c r="J477" i="1"/>
  <c r="I477" i="1" s="1"/>
  <c r="J242" i="1"/>
  <c r="I242" i="1" s="1"/>
  <c r="F276" i="1"/>
  <c r="H205" i="1"/>
  <c r="F205" i="1" s="1"/>
  <c r="H280" i="1"/>
  <c r="F280" i="1" s="1"/>
  <c r="H83" i="1"/>
  <c r="F83" i="1" s="1"/>
  <c r="J69" i="1"/>
  <c r="I69" i="1" s="1"/>
  <c r="J7" i="1"/>
  <c r="I7" i="1" s="1"/>
  <c r="F28" i="1"/>
  <c r="J28" i="1"/>
  <c r="I28" i="1" s="1"/>
  <c r="J78" i="1"/>
  <c r="I78" i="1" s="1"/>
  <c r="F622" i="1"/>
  <c r="I643" i="1"/>
  <c r="F634" i="1"/>
  <c r="F627" i="1"/>
  <c r="F619" i="1"/>
  <c r="F563" i="1"/>
  <c r="F527" i="1"/>
  <c r="F546" i="1"/>
  <c r="F521" i="1"/>
  <c r="I558" i="1"/>
  <c r="F509" i="1"/>
  <c r="H439" i="1"/>
  <c r="F439" i="1" s="1"/>
  <c r="H414" i="1"/>
  <c r="F414" i="1" s="1"/>
  <c r="J442" i="1"/>
  <c r="I442" i="1" s="1"/>
  <c r="I444" i="1"/>
  <c r="H470" i="1"/>
  <c r="F470" i="1" s="1"/>
  <c r="I479" i="1"/>
  <c r="F479" i="1"/>
  <c r="F442" i="1"/>
  <c r="H331" i="1"/>
  <c r="F331" i="1" s="1"/>
  <c r="F352" i="1"/>
  <c r="J325" i="1"/>
  <c r="I325" i="1" s="1"/>
  <c r="J334" i="1"/>
  <c r="I334" i="1" s="1"/>
  <c r="J207" i="1"/>
  <c r="I207" i="1" s="1"/>
  <c r="F360" i="1"/>
  <c r="J251" i="1"/>
  <c r="I251" i="1" s="1"/>
  <c r="F251" i="1"/>
  <c r="I236" i="1"/>
  <c r="I211" i="1"/>
  <c r="H173" i="1"/>
  <c r="F173" i="1" s="1"/>
  <c r="H40" i="1"/>
  <c r="F7" i="1"/>
  <c r="J125" i="1"/>
  <c r="I125" i="1" s="1"/>
  <c r="J618" i="1"/>
  <c r="I618" i="1" s="1"/>
  <c r="F633" i="1"/>
  <c r="H552" i="1"/>
  <c r="F552" i="1" s="1"/>
  <c r="I563" i="1"/>
  <c r="I527" i="1"/>
  <c r="F624" i="1"/>
  <c r="H437" i="1"/>
  <c r="F437" i="1" s="1"/>
  <c r="J456" i="1"/>
  <c r="I456" i="1" s="1"/>
  <c r="J428" i="1"/>
  <c r="I428" i="1" s="1"/>
  <c r="I452" i="1"/>
  <c r="F464" i="1"/>
  <c r="H337" i="1"/>
  <c r="H405" i="1"/>
  <c r="F405" i="1" s="1"/>
  <c r="F386" i="1"/>
  <c r="J376" i="1"/>
  <c r="I376" i="1" s="1"/>
  <c r="J372" i="1"/>
  <c r="I372" i="1" s="1"/>
  <c r="F372" i="1"/>
  <c r="J410" i="1"/>
  <c r="I410" i="1" s="1"/>
  <c r="F378" i="1"/>
  <c r="H307" i="1"/>
  <c r="F307" i="1" s="1"/>
  <c r="F374" i="1"/>
  <c r="J255" i="1"/>
  <c r="I255" i="1" s="1"/>
  <c r="J360" i="1"/>
  <c r="I360" i="1" s="1"/>
  <c r="I312" i="1"/>
  <c r="H349" i="1"/>
  <c r="J199" i="1"/>
  <c r="I199" i="1" s="1"/>
  <c r="F199" i="1"/>
  <c r="J218" i="1"/>
  <c r="I218" i="1" s="1"/>
  <c r="I260" i="1"/>
  <c r="I229" i="1"/>
  <c r="F118" i="1"/>
  <c r="J52" i="1"/>
  <c r="I52" i="1" s="1"/>
  <c r="H174" i="1"/>
  <c r="F174" i="1" s="1"/>
  <c r="J166" i="1"/>
  <c r="I166" i="1" s="1"/>
  <c r="J640" i="1"/>
  <c r="I640" i="1" s="1"/>
  <c r="F640" i="1"/>
  <c r="H606" i="1"/>
  <c r="I598" i="1"/>
  <c r="I584" i="1"/>
  <c r="I619" i="1"/>
  <c r="I505" i="1"/>
  <c r="F505" i="1"/>
  <c r="J537" i="1"/>
  <c r="I537" i="1" s="1"/>
  <c r="F424" i="1"/>
  <c r="H402" i="1"/>
  <c r="F402" i="1" s="1"/>
  <c r="F480" i="1"/>
  <c r="J430" i="1"/>
  <c r="I430" i="1" s="1"/>
  <c r="F430" i="1"/>
  <c r="F434" i="1"/>
  <c r="H340" i="1"/>
  <c r="F340" i="1" s="1"/>
  <c r="F226" i="1"/>
  <c r="J226" i="1"/>
  <c r="I226" i="1" s="1"/>
  <c r="H195" i="1"/>
  <c r="F195" i="1" s="1"/>
  <c r="F225" i="1"/>
  <c r="J184" i="1"/>
  <c r="I184" i="1" s="1"/>
  <c r="H70" i="1"/>
  <c r="I193" i="1"/>
  <c r="J105" i="1"/>
  <c r="I105" i="1" s="1"/>
  <c r="F13" i="1"/>
  <c r="J133" i="1"/>
  <c r="I133" i="1" s="1"/>
  <c r="J397" i="1"/>
  <c r="I397" i="1" s="1"/>
  <c r="J370" i="1"/>
  <c r="I370" i="1" s="1"/>
  <c r="H361" i="1"/>
  <c r="F361" i="1" s="1"/>
  <c r="F393" i="1"/>
  <c r="H364" i="1"/>
  <c r="F330" i="1"/>
  <c r="H286" i="1"/>
  <c r="F286" i="1" s="1"/>
  <c r="F305" i="1"/>
  <c r="H232" i="1"/>
  <c r="F232" i="1" s="1"/>
  <c r="H188" i="1"/>
  <c r="F188" i="1" s="1"/>
  <c r="F196" i="1"/>
  <c r="F312" i="1"/>
  <c r="H283" i="1"/>
  <c r="F283" i="1" s="1"/>
  <c r="I269" i="1"/>
  <c r="F185" i="1"/>
  <c r="J267" i="1"/>
  <c r="I267" i="1" s="1"/>
  <c r="I238" i="1"/>
  <c r="F227" i="1"/>
  <c r="F129" i="1"/>
  <c r="J127" i="1"/>
  <c r="I127" i="1" s="1"/>
  <c r="F127" i="1"/>
  <c r="H339" i="1"/>
  <c r="F339" i="1" s="1"/>
  <c r="H257" i="1"/>
  <c r="F257" i="1" s="1"/>
  <c r="H68" i="1"/>
  <c r="F68" i="1" s="1"/>
  <c r="I108" i="1"/>
  <c r="F69" i="1"/>
  <c r="J142" i="1"/>
  <c r="I142" i="1" s="1"/>
  <c r="F61" i="1"/>
  <c r="F57" i="1"/>
  <c r="J129" i="1"/>
  <c r="I129" i="1" s="1"/>
  <c r="F18" i="1"/>
  <c r="F182" i="1"/>
  <c r="F125" i="1"/>
  <c r="E3" i="1"/>
  <c r="F88" i="1"/>
  <c r="H268" i="1"/>
  <c r="F268" i="1" s="1"/>
  <c r="H250" i="1"/>
  <c r="F250" i="1" s="1"/>
  <c r="H230" i="1"/>
  <c r="F230" i="1" s="1"/>
  <c r="H208" i="1"/>
  <c r="F208" i="1" s="1"/>
  <c r="J204" i="1"/>
  <c r="I204" i="1" s="1"/>
  <c r="F204" i="1"/>
  <c r="J196" i="1"/>
  <c r="I196" i="1" s="1"/>
  <c r="I296" i="1"/>
  <c r="H194" i="1"/>
  <c r="F194" i="1" s="1"/>
  <c r="H262" i="1"/>
  <c r="F262" i="1" s="1"/>
  <c r="I315" i="1"/>
  <c r="I187" i="1"/>
  <c r="H101" i="1"/>
  <c r="F101" i="1" s="1"/>
  <c r="H66" i="1"/>
  <c r="F66" i="1" s="1"/>
  <c r="J37" i="1"/>
  <c r="I37" i="1" s="1"/>
  <c r="F65" i="1"/>
  <c r="F105" i="1"/>
  <c r="F23" i="1"/>
  <c r="J18" i="1"/>
  <c r="I18" i="1" s="1"/>
  <c r="J76" i="1"/>
  <c r="I76" i="1" s="1"/>
  <c r="J6" i="1"/>
  <c r="I6" i="1" s="1"/>
  <c r="F166" i="1"/>
  <c r="F119" i="1"/>
  <c r="J304" i="1"/>
  <c r="I304" i="1" s="1"/>
  <c r="F326" i="1"/>
  <c r="J320" i="1"/>
  <c r="I320" i="1" s="1"/>
  <c r="F320" i="1"/>
  <c r="I266" i="1"/>
  <c r="F266" i="1"/>
  <c r="H248" i="1"/>
  <c r="I228" i="1"/>
  <c r="F228" i="1"/>
  <c r="J249" i="1"/>
  <c r="I249" i="1" s="1"/>
  <c r="F207" i="1"/>
  <c r="F203" i="1"/>
  <c r="F310" i="1"/>
  <c r="F249" i="1"/>
  <c r="I231" i="1"/>
  <c r="H272" i="1"/>
  <c r="F272" i="1" s="1"/>
  <c r="F265" i="1"/>
  <c r="F236" i="1"/>
  <c r="F229" i="1"/>
  <c r="H303" i="1"/>
  <c r="H170" i="1"/>
  <c r="F104" i="1"/>
  <c r="F180" i="1"/>
  <c r="F193" i="1"/>
  <c r="I100" i="1"/>
  <c r="F15" i="1"/>
  <c r="J65" i="1"/>
  <c r="I65" i="1" s="1"/>
  <c r="F44" i="1"/>
  <c r="J117" i="1"/>
  <c r="I117" i="1" s="1"/>
  <c r="J23" i="1"/>
  <c r="I23" i="1" s="1"/>
  <c r="J274" i="1"/>
  <c r="I274" i="1" s="1"/>
  <c r="F184" i="1"/>
  <c r="J122" i="1"/>
  <c r="I122" i="1" s="1"/>
  <c r="J104" i="1"/>
  <c r="I104" i="1" s="1"/>
  <c r="J123" i="1"/>
  <c r="I123" i="1" s="1"/>
  <c r="F123" i="1"/>
  <c r="I213" i="1"/>
  <c r="H64" i="1"/>
  <c r="F64" i="1" s="1"/>
  <c r="J44" i="1"/>
  <c r="I44" i="1" s="1"/>
  <c r="F78" i="1"/>
  <c r="I535" i="1"/>
  <c r="I513" i="1"/>
  <c r="J421" i="1"/>
  <c r="I421" i="1" s="1"/>
  <c r="F460" i="1"/>
  <c r="F394" i="1"/>
  <c r="H354" i="1"/>
  <c r="F354" i="1" s="1"/>
  <c r="F322" i="1"/>
  <c r="J322" i="1"/>
  <c r="I322" i="1" s="1"/>
  <c r="I293" i="1"/>
  <c r="H281" i="1"/>
  <c r="H261" i="1"/>
  <c r="F261" i="1" s="1"/>
  <c r="J380" i="1"/>
  <c r="I380" i="1" s="1"/>
  <c r="F206" i="1"/>
  <c r="J206" i="1"/>
  <c r="I206" i="1" s="1"/>
  <c r="I182" i="1"/>
  <c r="I253" i="1"/>
  <c r="J202" i="1"/>
  <c r="I202" i="1" s="1"/>
  <c r="H338" i="1"/>
  <c r="F338" i="1" s="1"/>
  <c r="J240" i="1"/>
  <c r="I240" i="1" s="1"/>
  <c r="F172" i="1"/>
  <c r="H137" i="1"/>
  <c r="F137" i="1" s="1"/>
  <c r="H34" i="1"/>
  <c r="F34" i="1" s="1"/>
  <c r="F157" i="1"/>
  <c r="F114" i="1"/>
  <c r="F63" i="1"/>
  <c r="F59" i="1"/>
  <c r="H46" i="1"/>
  <c r="F46" i="1" s="1"/>
  <c r="H27" i="1"/>
  <c r="F27" i="1" s="1"/>
  <c r="F42" i="1"/>
  <c r="F168" i="1"/>
  <c r="J79" i="1"/>
  <c r="I79" i="1" s="1"/>
  <c r="J67" i="1"/>
  <c r="I67" i="1" s="1"/>
  <c r="J16" i="1"/>
  <c r="I16" i="1" s="1"/>
  <c r="J140" i="1"/>
  <c r="I140" i="1" s="1"/>
  <c r="F368" i="1"/>
  <c r="I396" i="1"/>
  <c r="F319" i="1"/>
  <c r="J319" i="1"/>
  <c r="I319" i="1" s="1"/>
  <c r="J348" i="1"/>
  <c r="I348" i="1" s="1"/>
  <c r="F348" i="1"/>
  <c r="I404" i="1"/>
  <c r="I336" i="1"/>
  <c r="J308" i="1"/>
  <c r="I308" i="1" s="1"/>
  <c r="F308" i="1"/>
  <c r="F357" i="1"/>
  <c r="H316" i="1"/>
  <c r="I259" i="1"/>
  <c r="F259" i="1"/>
  <c r="I244" i="1"/>
  <c r="F296" i="1"/>
  <c r="H192" i="1"/>
  <c r="F192" i="1" s="1"/>
  <c r="F178" i="1"/>
  <c r="H74" i="1"/>
  <c r="F183" i="1"/>
  <c r="J73" i="1"/>
  <c r="I73" i="1" s="1"/>
  <c r="F25" i="1"/>
  <c r="J42" i="1"/>
  <c r="I42" i="1" s="1"/>
  <c r="I15" i="1"/>
  <c r="F21" i="1"/>
  <c r="J47" i="1"/>
  <c r="I47" i="1" s="1"/>
  <c r="F334" i="1"/>
  <c r="J305" i="1"/>
  <c r="I305" i="1" s="1"/>
  <c r="H278" i="1"/>
  <c r="F278" i="1" s="1"/>
  <c r="I237" i="1"/>
  <c r="F237" i="1"/>
  <c r="F255" i="1"/>
  <c r="F244" i="1"/>
  <c r="I288" i="1"/>
  <c r="F218" i="1"/>
  <c r="F211" i="1"/>
  <c r="F288" i="1"/>
  <c r="H31" i="1"/>
  <c r="F31" i="1" s="1"/>
  <c r="H72" i="1"/>
  <c r="F72" i="1" s="1"/>
  <c r="F171" i="1"/>
  <c r="F10" i="1"/>
  <c r="J25" i="1"/>
  <c r="I25" i="1" s="1"/>
  <c r="F6" i="1"/>
  <c r="I367" i="1" l="1"/>
  <c r="J121" i="1"/>
  <c r="I121" i="1" s="1"/>
  <c r="I287" i="1"/>
  <c r="I411" i="1"/>
  <c r="I628" i="1"/>
  <c r="J333" i="1"/>
  <c r="I333" i="1" s="1"/>
  <c r="I603" i="1"/>
  <c r="I106" i="1"/>
  <c r="J346" i="1"/>
  <c r="I346" i="1" s="1"/>
  <c r="F287" i="1"/>
  <c r="I291" i="1"/>
  <c r="F97" i="1"/>
  <c r="F145" i="1"/>
  <c r="F407" i="1"/>
  <c r="F431" i="1"/>
  <c r="F451" i="1"/>
  <c r="F367" i="1"/>
  <c r="F468" i="1"/>
  <c r="F291" i="1"/>
  <c r="F411" i="1"/>
  <c r="F400" i="1"/>
  <c r="F342" i="1"/>
  <c r="F106" i="1"/>
  <c r="F353" i="1"/>
  <c r="F590" i="1"/>
  <c r="J92" i="1"/>
  <c r="I92" i="1" s="1"/>
  <c r="I90" i="1"/>
  <c r="I571" i="1"/>
  <c r="J130" i="1"/>
  <c r="I130" i="1" s="1"/>
  <c r="J574" i="1"/>
  <c r="I574" i="1" s="1"/>
  <c r="J75" i="1"/>
  <c r="I75" i="1" s="1"/>
  <c r="I590" i="1"/>
  <c r="J48" i="1"/>
  <c r="I48" i="1" s="1"/>
  <c r="J116" i="1"/>
  <c r="I116" i="1" s="1"/>
  <c r="F92" i="1"/>
  <c r="F49" i="1"/>
  <c r="J277" i="1"/>
  <c r="I277" i="1" s="1"/>
  <c r="F603" i="1"/>
  <c r="J53" i="1"/>
  <c r="I53" i="1" s="1"/>
  <c r="I86" i="1"/>
  <c r="F86" i="1"/>
  <c r="J632" i="1"/>
  <c r="I632" i="1" s="1"/>
  <c r="F130" i="1"/>
  <c r="J489" i="1"/>
  <c r="I489" i="1" s="1"/>
  <c r="F90" i="1"/>
  <c r="F574" i="1"/>
  <c r="F53" i="1"/>
  <c r="F628" i="1"/>
  <c r="F571" i="1"/>
  <c r="J417" i="1"/>
  <c r="I417" i="1" s="1"/>
  <c r="J31" i="1"/>
  <c r="I31" i="1" s="1"/>
  <c r="J250" i="1"/>
  <c r="I250" i="1" s="1"/>
  <c r="J349" i="1"/>
  <c r="I349" i="1" s="1"/>
  <c r="J439" i="1"/>
  <c r="I439" i="1" s="1"/>
  <c r="J551" i="1"/>
  <c r="I551" i="1" s="1"/>
  <c r="J275" i="1"/>
  <c r="I275" i="1" s="1"/>
  <c r="J616" i="1"/>
  <c r="I616" i="1" s="1"/>
  <c r="F417" i="1"/>
  <c r="J560" i="1"/>
  <c r="I560" i="1" s="1"/>
  <c r="J557" i="1"/>
  <c r="I557" i="1" s="1"/>
  <c r="J340" i="1"/>
  <c r="I340" i="1" s="1"/>
  <c r="J441" i="1"/>
  <c r="I441" i="1" s="1"/>
  <c r="J392" i="1"/>
  <c r="I392" i="1" s="1"/>
  <c r="J338" i="1"/>
  <c r="I338" i="1" s="1"/>
  <c r="J66" i="1"/>
  <c r="I66" i="1" s="1"/>
  <c r="J262" i="1"/>
  <c r="I262" i="1" s="1"/>
  <c r="J68" i="1"/>
  <c r="I68" i="1" s="1"/>
  <c r="J286" i="1"/>
  <c r="I286" i="1" s="1"/>
  <c r="F349" i="1"/>
  <c r="J307" i="1"/>
  <c r="I307" i="1" s="1"/>
  <c r="J205" i="1"/>
  <c r="I205" i="1" s="1"/>
  <c r="J600" i="1"/>
  <c r="I600" i="1" s="1"/>
  <c r="J175" i="1"/>
  <c r="I175" i="1" s="1"/>
  <c r="J167" i="1"/>
  <c r="I167" i="1" s="1"/>
  <c r="F560" i="1"/>
  <c r="J606" i="1"/>
  <c r="I606" i="1" s="1"/>
  <c r="J64" i="1"/>
  <c r="I64" i="1" s="1"/>
  <c r="J268" i="1"/>
  <c r="I268" i="1" s="1"/>
  <c r="J40" i="1"/>
  <c r="I40" i="1" s="1"/>
  <c r="J544" i="1"/>
  <c r="I544" i="1" s="1"/>
  <c r="J234" i="1"/>
  <c r="I234" i="1" s="1"/>
  <c r="J449" i="1"/>
  <c r="I449" i="1" s="1"/>
  <c r="J559" i="1"/>
  <c r="I559" i="1" s="1"/>
  <c r="J630" i="1"/>
  <c r="I630" i="1" s="1"/>
  <c r="J54" i="1"/>
  <c r="I54" i="1" s="1"/>
  <c r="J257" i="1"/>
  <c r="I257" i="1" s="1"/>
  <c r="J74" i="1"/>
  <c r="I74" i="1" s="1"/>
  <c r="J34" i="1"/>
  <c r="I34" i="1" s="1"/>
  <c r="J194" i="1"/>
  <c r="I194" i="1" s="1"/>
  <c r="J339" i="1"/>
  <c r="I339" i="1" s="1"/>
  <c r="J188" i="1"/>
  <c r="I188" i="1" s="1"/>
  <c r="J364" i="1"/>
  <c r="I364" i="1" s="1"/>
  <c r="J70" i="1"/>
  <c r="I70" i="1" s="1"/>
  <c r="J195" i="1"/>
  <c r="I195" i="1" s="1"/>
  <c r="F40" i="1"/>
  <c r="F544" i="1"/>
  <c r="J138" i="1"/>
  <c r="I138" i="1" s="1"/>
  <c r="F234" i="1"/>
  <c r="F449" i="1"/>
  <c r="J216" i="1"/>
  <c r="I216" i="1" s="1"/>
  <c r="J317" i="1"/>
  <c r="I317" i="1" s="1"/>
  <c r="J363" i="1"/>
  <c r="I363" i="1" s="1"/>
  <c r="J419" i="1"/>
  <c r="I419" i="1" s="1"/>
  <c r="F606" i="1"/>
  <c r="J389" i="1"/>
  <c r="I389" i="1" s="1"/>
  <c r="J573" i="1"/>
  <c r="I573" i="1" s="1"/>
  <c r="J552" i="1"/>
  <c r="I552" i="1" s="1"/>
  <c r="J470" i="1"/>
  <c r="I470" i="1" s="1"/>
  <c r="J27" i="1"/>
  <c r="I27" i="1" s="1"/>
  <c r="F74" i="1"/>
  <c r="J316" i="1"/>
  <c r="I316" i="1" s="1"/>
  <c r="J46" i="1"/>
  <c r="I46" i="1" s="1"/>
  <c r="J354" i="1"/>
  <c r="I354" i="1" s="1"/>
  <c r="J101" i="1"/>
  <c r="I101" i="1" s="1"/>
  <c r="J208" i="1"/>
  <c r="I208" i="1" s="1"/>
  <c r="F364" i="1"/>
  <c r="F70" i="1"/>
  <c r="J174" i="1"/>
  <c r="I174" i="1" s="1"/>
  <c r="J405" i="1"/>
  <c r="I405" i="1" s="1"/>
  <c r="J173" i="1"/>
  <c r="I173" i="1" s="1"/>
  <c r="J331" i="1"/>
  <c r="I331" i="1" s="1"/>
  <c r="J83" i="1"/>
  <c r="I83" i="1" s="1"/>
  <c r="F138" i="1"/>
  <c r="F216" i="1"/>
  <c r="F317" i="1"/>
  <c r="J651" i="1"/>
  <c r="I651" i="1" s="1"/>
  <c r="J327" i="1"/>
  <c r="I327" i="1" s="1"/>
  <c r="J281" i="1"/>
  <c r="I281" i="1" s="1"/>
  <c r="J201" i="1"/>
  <c r="I201" i="1" s="1"/>
  <c r="J137" i="1"/>
  <c r="I137" i="1" s="1"/>
  <c r="J261" i="1"/>
  <c r="I261" i="1" s="1"/>
  <c r="J170" i="1"/>
  <c r="I170" i="1" s="1"/>
  <c r="J248" i="1"/>
  <c r="I248" i="1" s="1"/>
  <c r="J232" i="1"/>
  <c r="I232" i="1" s="1"/>
  <c r="J337" i="1"/>
  <c r="I337" i="1" s="1"/>
  <c r="J549" i="1"/>
  <c r="I549" i="1" s="1"/>
  <c r="J272" i="1"/>
  <c r="I272" i="1" s="1"/>
  <c r="J278" i="1"/>
  <c r="I278" i="1" s="1"/>
  <c r="J72" i="1"/>
  <c r="I72" i="1" s="1"/>
  <c r="J192" i="1"/>
  <c r="I192" i="1" s="1"/>
  <c r="F316" i="1"/>
  <c r="F281" i="1"/>
  <c r="J303" i="1"/>
  <c r="I303" i="1" s="1"/>
  <c r="F248" i="1"/>
  <c r="F170" i="1"/>
  <c r="J230" i="1"/>
  <c r="I230" i="1" s="1"/>
  <c r="J283" i="1"/>
  <c r="I283" i="1" s="1"/>
  <c r="J361" i="1"/>
  <c r="I361" i="1" s="1"/>
  <c r="J402" i="1"/>
  <c r="I402" i="1" s="1"/>
  <c r="F337" i="1"/>
  <c r="J437" i="1"/>
  <c r="I437" i="1" s="1"/>
  <c r="F303" i="1"/>
  <c r="J414" i="1"/>
  <c r="I414" i="1" s="1"/>
  <c r="J280" i="1"/>
  <c r="I280" i="1" s="1"/>
  <c r="J398" i="1"/>
  <c r="I398" i="1" s="1"/>
  <c r="J323" i="1"/>
  <c r="I323" i="1" s="1"/>
  <c r="F389" i="1"/>
  <c r="J645" i="1"/>
  <c r="I645" i="1" s="1"/>
  <c r="F549" i="1"/>
  <c r="J638" i="1"/>
  <c r="I638" i="1" s="1"/>
  <c r="F651" i="1"/>
  <c r="F638" i="1"/>
</calcChain>
</file>

<file path=xl/sharedStrings.xml><?xml version="1.0" encoding="utf-8"?>
<sst xmlns="http://schemas.openxmlformats.org/spreadsheetml/2006/main" count="7016" uniqueCount="1659">
  <si>
    <t>year position</t>
  </si>
  <si>
    <t>Autor</t>
  </si>
  <si>
    <t>Year</t>
  </si>
  <si>
    <t>Title</t>
  </si>
  <si>
    <t>End year</t>
  </si>
  <si>
    <t>End title</t>
  </si>
  <si>
    <t>[ top ]</t>
  </si>
  <si>
    <t>*Capítulos em livros* / *Book chapters*</t>
  </si>
  <si>
    <t>_________</t>
  </si>
  <si>
    <t>em editoras internacionais / international editors</t>
  </si>
  <si>
    <t>Quental, C. and Gouveia, L. (2018). Participation Sphere: A Model and a 
Framework for Fostering Participation in Organizations. In S. Chhabra 
(Ed.), Handbook of Research on Civic Engagement and Social Change in 
Contemporary Society (pp. 16-39). Hershey, PA: IGI Global. 
doi:10.4018/978-1-5225-4197-4.ch002  
[ paper ]</t>
  </si>
  <si>
    <t xml:space="preserve">Quental, C. and Gouveia, L. </t>
  </si>
  <si>
    <t>2018</t>
  </si>
  <si>
    <t xml:space="preserve"> Participation Sphere: A Model and a 
Framework for Fostering Participation in Organizations. </t>
  </si>
  <si>
    <t>In S. Chhabra 
(Ed.), Handbook of Research on Civic Engagement and Social Change in 
Contemporary Society (pp. 16-39).</t>
  </si>
  <si>
    <t xml:space="preserve">Quental, C. ; Gouveia, L. </t>
  </si>
  <si>
    <t xml:space="preserve">Quental, C. </t>
  </si>
  <si>
    <t xml:space="preserve"> Gouveia, L. </t>
  </si>
  <si>
    <t>Quental, C. and Gouveia, L. (2018). *E-consultation as a Tool for 
Participation in teachers' Unions*. In Rocha, A. and Reis, L. (eds). 
Developments and Advances in Intelligent Systems and Applications. Series 
Studies in Computational Intelligence, Volume 718. Springer International 
Publishing, AG, pp 153-167. DOI 10.1007/978-3-319-58965-7_11 
[ paper ]</t>
  </si>
  <si>
    <t xml:space="preserve"> *E-consultation as a Tool for 
Participation in teachers' Unions*. </t>
  </si>
  <si>
    <t>In Rocha, A. and Reis, L. (eds).</t>
  </si>
  <si>
    <t>Abrantes, S.; Gouveia, L. (2014). *A adopção e difusão de práticas de 
m-learning no contexto do ensino superior*. In Haguenaer, C.; Ulbricht, V.; 
Lima, L. (eds) (2014). Pesquisas em Linguagem e Educação no Contexto das 
Tecnologias Digitais. Curitiba: Brasil, Editora CRV, pp 105-128. ISBN: 
978-85-8042-905-3.</t>
  </si>
  <si>
    <t xml:space="preserve">Abrantes, S.; Gouveia, L. </t>
  </si>
  <si>
    <t>2014</t>
  </si>
  <si>
    <t xml:space="preserve"> *A adopção e difusão de práticas de 
m-learning no contexto do ensino superior*. </t>
  </si>
  <si>
    <t>In Haguenaer, C.; Ulbricht, V.; 
Lima, L. (eds) (2014).</t>
  </si>
  <si>
    <t>Simões, L.; Gouveia, L. (2014). *Estudo exploratório sobre a utilização de 
Web 2.0 por docentes do ensino superior*. In Haguenaer, C.; Ulbricht, V.; 
Lima, L. (eds) (2014). Pesquisas em Linguagem e Educação no Contexto das 
Tecnologias Digitais. Curitiba: Brasil, Editora CRV, pp 129-142. ISBN: 
978-85-8042-905-3.</t>
  </si>
  <si>
    <t xml:space="preserve">Simões, L.; Gouveia, L. </t>
  </si>
  <si>
    <t xml:space="preserve"> *Estudo exploratório sobre a utilização de 
Web 2.0</t>
  </si>
  <si>
    <t xml:space="preserve"> por docentes do ensino superior*. In Haguenaer, C.; Ulbricht, V.; 
Lima, L. (eds) (2014).</t>
  </si>
  <si>
    <t>Peres, P.; Gouveia, L. (2014). *Desenhando Percursos de Aprendizagem: 
contributos para a estruturação de iniciativas de b-learning*. In 
Haguenaer, C.; Ulbricht, V.; Lima, L. (eds) (2014). Pesquisas em Linguagem 
e Educação no Contexto das Tecnologias Digitais. Curitiba: Brasil, Editora 
CRV, pp 155-180. ISBN: 978-85-8042-905-3.</t>
  </si>
  <si>
    <t xml:space="preserve">Peres, P.; Gouveia, L. </t>
  </si>
  <si>
    <t xml:space="preserve"> *Desenhando Percursos de Aprendizagem: 
contributos para a estruturação de iniciativas de b-learning*. </t>
  </si>
  <si>
    <t>In 
Haguenaer, C.; Ulbricht, V.; Lima, L. (eds) (2014).</t>
  </si>
  <si>
    <t>Sousa, A.; Agante, P. and Gouveia, L. (2014). Proposal for the Use of 
Digital Mediation for Public Direct Participation during Electoral Periods. 
in Rahman, H. and Dinis, R. (2014). Information Systems and Technology for 
Organizational Agility, Intelligence, and Resilience (pp 62-96). IGI. 
Hershey, PA: Information Science Reference.</t>
  </si>
  <si>
    <t xml:space="preserve">Sousa, A.; Agante, P. and Gouveia, L. </t>
  </si>
  <si>
    <t xml:space="preserve"> Proposal for the Use of 
Digital Mediation for Public Direct Participation during Electoral Periods. </t>
  </si>
  <si>
    <t xml:space="preserve">
in Rahman, H. and Dinis, R. (2014).</t>
  </si>
  <si>
    <t xml:space="preserve">Sousa, A.; Agante, P. ; Gouveia, L. </t>
  </si>
  <si>
    <t xml:space="preserve"> Agante, P. </t>
  </si>
  <si>
    <t>Abrantes, S. L., &amp; Gouveia, L. B. (2014). *Using Games for Primary School: 
Assessing its Use with Flow Experience*. In I. Association (Ed.), K-12 
Education: Concepts, Methodologies, Tools, and Applications (pp. 840-852). 
Hershey, PA: Information Science Reference. 
doi:10.4018/978-1-4666-4502-8.ch049. Sousa, A.;</t>
  </si>
  <si>
    <t xml:space="preserve">Abrantes, S. L., &amp; Gouveia, L. B. </t>
  </si>
  <si>
    <t xml:space="preserve"> *Using Games for Primary School: 
Assessing its Use with Flow Experience*. </t>
  </si>
  <si>
    <t>In I. Association (Ed.), K-12 
Education: Concepts, Methodologies, Tools, and Applications (pp. 840-852).</t>
  </si>
  <si>
    <t>Sousa, A.; Agante, P. and Gouveia, L. (2012). *A Worked Proposal on 
eParticipation for State Wide Elections*. in Ko, A. et al. (Eds): Advancing 
Democracy, Government and Governance.  Lecture Notes in Computer Science, 
LCNS. Volume 7452, pp 178-190. Springer-Verlag Berlin Heidelberg. ISBN: 
978-3-642-32700-1.</t>
  </si>
  <si>
    <t>2012</t>
  </si>
  <si>
    <t xml:space="preserve"> *A Worked Proposal on 
eParticipation for State Wide Elections*. </t>
  </si>
  <si>
    <t>Abrantes, S. and Gouveia, L. (2012). *Using Games for Primary School: 
Assessing its Use with Flow Experience*. Cruz-Cunha, M. (2012). Handbook of 
Research on Serious Games as Educational, Business and Research Tools, pp 
769-781. ISBN 9781466601499.</t>
  </si>
  <si>
    <t xml:space="preserve">Abrantes, S. and Gouveia, L. </t>
  </si>
  <si>
    <t>Cruz-Cunha, M. (2012).</t>
  </si>
  <si>
    <t xml:space="preserve">Abrantes, S. ; Gouveia, L. </t>
  </si>
  <si>
    <t>Sousa, A; Agante, P and Gouveia, L. (2011). *iLeger: A Web Based 
Application for Participative Elections*. In E. Tambouris, E.; Macintosh, 
A. and de Bruijn, H. (Eds.) (2011)  Electronic Participation. Lecture Notes 
in Computer Science, LCNS. Volume 6847, pp. 228–239. Springer-Verlag Berlin 
Heidelberg. ISBN: 978-3-642-23332-6.</t>
  </si>
  <si>
    <t xml:space="preserve">Sousa, A; Agante, P and Gouveia, L. </t>
  </si>
  <si>
    <t>2011</t>
  </si>
  <si>
    <t xml:space="preserve"> *iLeger: A Web Based 
Application for Participative Elections*. </t>
  </si>
  <si>
    <t xml:space="preserve">Sousa, A; Agante, P ; Gouveia, L. </t>
  </si>
  <si>
    <t xml:space="preserve"> Agante, P </t>
  </si>
  <si>
    <t>Quental, C. e Gouveia, L. (2011). *Evaluation of a mobile platform to 
support collaborative learning: case study*. In Cruz-Cunha, M. e Moreira, 
F. (2011). Handbook of Research on Mobility and Computing: Evolving 
Technoloies and Ubiquitous Impacts. IGI. ISBN 9781609600426, pp 974-993: 
doi:10.4018/978-1-60960-042-6.ch060.</t>
  </si>
  <si>
    <t xml:space="preserve">Quental, C. e Gouveia, L. </t>
  </si>
  <si>
    <t xml:space="preserve"> *Evaluation of a mobile platform to 
support collaborative learning: case study*. </t>
  </si>
  <si>
    <t>In Cruz-Cunha, M. e Moreira, 
F. (2011).</t>
  </si>
  <si>
    <t>Sousa, A.; Agante, P. and Gouveia, L. (2010). *Governmeter: monitoring 
government performance. A Web Based Application Proposal*. in Andersen, K. 
et al. (eds) (2010). Electronic Government and the Information Systems 
Perspective. Lecture Notes in Computer Science, LCNS. Volume 6267, pp 
158-165. Berlin: Springer-Verlag Berlin Heidelberg. ISBN: 
978-3-642-15171-2.</t>
  </si>
  <si>
    <t>2010</t>
  </si>
  <si>
    <t xml:space="preserve"> *Governmeter: monitoring 
government performance. </t>
  </si>
  <si>
    <t>A Web Based Application Proposal*. in Andersen, K. 
et al. (eds) (2010).</t>
  </si>
  <si>
    <t>Fernandes, N.; Gouveia, F. and Gouveia, L. (2009) *UFP-UV: UFP in the Sakai 
Project*. In Berg, A. and Korcuska, M. (2009). *Sakai Courseware 
Management. The Official Guide*. London: Packt Publishing. ISBN: 1847199402.</t>
  </si>
  <si>
    <t xml:space="preserve">Fernandes, N.; Gouveia, F. and Gouveia, L. </t>
  </si>
  <si>
    <t>2009</t>
  </si>
  <si>
    <t xml:space="preserve"> *Sakai Courseware 
Management. </t>
  </si>
  <si>
    <t xml:space="preserve">Fern;es, N.; Gouveia, F. ; Gouveia, L. </t>
  </si>
  <si>
    <t>es, N.</t>
  </si>
  <si>
    <t xml:space="preserve"> Gouveia, F. </t>
  </si>
  <si>
    <t>Gouveia, L. (2005). *Emergent Skills in Higher Education: The Quest for 
Emotion and Virtual University*. Chapter Three in Preston, D. (2005). 
Contemporary Issues in Education. Volume 33. A volume in the At the 
Interface project 'The Idea of Education'. Rodopi. ISBN 90 420 1684 1, pp 
37-48.</t>
  </si>
  <si>
    <t xml:space="preserve">Gouveia, L. </t>
  </si>
  <si>
    <t>2005</t>
  </si>
  <si>
    <t xml:space="preserve"> *Emergent Skills in Higher Education: The Quest for 
Emotion and Virtual University*. </t>
  </si>
  <si>
    <t>Chapter Three in Preston, D. (2005).</t>
  </si>
  <si>
    <t>Gouveia, L. (2004). *Emergent skills in higher education: the quest for 
emotion and virtual university*. In Preston, D. and Nguyen, T. (Eds). 
Virtuality and Education. A Reader. Inter-Disciplinary Press. Oxford, 
United Kingdom: Publishing Creative Research. e-book. ISBN: 1-904710-10-7, 
pp 14-18. 
e-book completo [ pdf(0,99MB) ].</t>
  </si>
  <si>
    <t>2004</t>
  </si>
  <si>
    <t xml:space="preserve"> *Emergent skills in higher education: the quest for 
emotion and virtual university*. </t>
  </si>
  <si>
    <t>In Preston, D. and Nguyen, T. (Eds).</t>
  </si>
  <si>
    <t>Gouveia, L. and Gouveia, J. (2003). *EFTWeb: A Model for the Enhanced Use 
of Educational Materials,* in Albalooshi, F. (ed.) Virtual Education Cases 
in Learning &amp; Teaching Technologies. Chapter VI. Idea Group Publishing. 
ISBN: 1-9317777-82-9, pp 75-90.</t>
  </si>
  <si>
    <t xml:space="preserve">Gouveia, L. and Gouveia, J. </t>
  </si>
  <si>
    <t>2003</t>
  </si>
  <si>
    <t xml:space="preserve"> *EFTWeb: A Model for the Enhanced Use 
of Educational Materials,* in Albalooshi, F. </t>
  </si>
  <si>
    <t xml:space="preserve">Gouveia, L. ; Gouveia, J. </t>
  </si>
  <si>
    <t xml:space="preserve"> Gouveia, J. </t>
  </si>
  <si>
    <t>Rurato, P.; Gouveia, L. and Gouveia, J. (2002). *A Study on Adult Education 
and Distance Learning*. Mendez, A. et al. (eds) Educational Technology: 
International Conference on Information and Communication Technologies in 
Education. Junta de Extremadura. Vol. I, pp 78-80. ISBN I-84-95251-77-9. 
paper [ pdf(22KB)]</t>
  </si>
  <si>
    <t xml:space="preserve">Rurato, P.; Gouveia, L. and Gouveia, J. </t>
  </si>
  <si>
    <t>2002</t>
  </si>
  <si>
    <t xml:space="preserve"> *A Study on Adult Education 
and Distance Learning*. </t>
  </si>
  <si>
    <t xml:space="preserve">Rurato, P.; Gouveia, L. ; Gouveia, J. </t>
  </si>
  <si>
    <t>Gouveia, L. (2002). *A Proposal to Support Collaborative Learning: using a 
structure to share context*. Mendez, A. et al. (eds) Educational 
Technology: International Conference on Information and Communication 
Technologies in Education. Junta de Extremadura. Vol. I, pp 63-67. ISBN 
I-84-95251-77-9. 
paper [ pdf(34KB)] ]</t>
  </si>
  <si>
    <t xml:space="preserve"> *A Proposal to Support Collaborative Learning: using a 
structure to share context*. </t>
  </si>
  <si>
    <t>Gouveia, L. and Gouveia, F. (2002). *Evaluation of a visualisation design 
for knowledge sharing and information discovery*. In J.Filipe, Sharp, B. 
and Miranda, P. (Eds.), 2002. Enterprise Information Systems III. Kluwer 
Academic Publishers, Dordrecht, The Netherlands. March 2002, ISBN 
1-4020-0563-6, pp 83-89.</t>
  </si>
  <si>
    <t xml:space="preserve">Gouveia, L. and Gouveia, F. </t>
  </si>
  <si>
    <t xml:space="preserve"> *Evaluation of a visualisation design 
for knowledge sharing and information discovery*. </t>
  </si>
  <si>
    <t xml:space="preserve">Gouveia, L. ; Gouveia, F. </t>
  </si>
  <si>
    <t>Gouveia, L. (2001). A technological related discussion on the potential of 
change in education, learning and training. in Ferrari, A. and Mealha, O. 
(eds.) Proceedings of TMR Euroconference. Universidade de Aveiro. Aveiro. 
Portugal, pp 53-60. ISBN 972-798-010-5. 
paper:  [ pdf (42KB) ]</t>
  </si>
  <si>
    <t>2001</t>
  </si>
  <si>
    <t xml:space="preserve"> A technological related discussion on the potential of 
change in education, learning and training. </t>
  </si>
  <si>
    <t>em editoras nacionais / national editors</t>
  </si>
  <si>
    <t>Araújo, P. e Gouveia, L. (2019). Gestão da Informação via Sistema Digital 
para a Educação Especial do Centro de Referência e Apoio a Educação 
Inclusiva - CRAEI. In Machado, M. (2019). Information Systems and 
Technology Management. Capítulo 20. Atena Editora. ISBN 978-85-7247-200-5. 
Pp 325-344. DOI 10.22533/at.ed.01219190320.
[ paper ]</t>
  </si>
  <si>
    <t xml:space="preserve">Araújo, P. e Gouveia, L. </t>
  </si>
  <si>
    <t>2019</t>
  </si>
  <si>
    <t xml:space="preserve"> Gestão da Informação via Sistema Digital 
para a Educação Especial do Centro de Referência e Apoio a Educação 
Inclusiva - CRAEI. </t>
  </si>
  <si>
    <t>In Machado, M. (2019).</t>
  </si>
  <si>
    <t>Martins, E. e Gouveia, L. (2019). Google Drive na Aprendizagem 
Colaborativa. Educação e Tecnologias: Experiências, Desafios e 
Perspectivas. Ponta Grossa (PR): Atena Editora.
[ paper ]</t>
  </si>
  <si>
    <t xml:space="preserve">Martins, E. e Gouveia, L. </t>
  </si>
  <si>
    <t xml:space="preserve"> Google Drive na Aprendizagem 
Colaborativa. </t>
  </si>
  <si>
    <t>Martins, E. e Gouveia, L. (2019). Sala de Aula Invertida com WhatsApp. In 
Karina Durau (Org.). Demandas e Contextos da Educação no Século XXI, 
Capítulo 23, 254-263. Ponta Grossa (PR): Atena Editora. DOI 
10.22533/at.ed.82719040223.
[ paper ]</t>
  </si>
  <si>
    <t xml:space="preserve"> Sala de Aula Invertida com WhatsApp. </t>
  </si>
  <si>
    <t>In 
Karina Durau (Org.).</t>
  </si>
  <si>
    <t>Martins, E. e Gouveia, L. (2018). O Uso do WhatsApp no Ensino. In: Michélle 
Barreto Justus (Org.). Ensino, Pesquisa e Realizações, Capítulo 21, 
209-216. Ponta Grossa (PR): Atena Editora. DOI 10.22533/at.ed.06318121221
[ paper ]</t>
  </si>
  <si>
    <t xml:space="preserve"> O Uso do WhatsApp no Ensino. </t>
  </si>
  <si>
    <t>In: Michélle 
Barreto Justus (Org.).</t>
  </si>
  <si>
    <t>Martins, E.; Geraldes, W.; Afonseca, U.; Gouveia, L. (2018). Uso do Kahoot 
como Ferramenta de Aprendizagem. In: Francisca Júlia Camargo Dresch. (Org). 
Impactos das Tecnologias nas Ciências Humanas e Sociais Aplicadas v. 2. 
1ed, Capitulo 12, pp 153-159. Ponta Grossa (PR): Atena Editora. DOI: 
10.22533/at.ed.758180511 
[ paper ]</t>
  </si>
  <si>
    <t xml:space="preserve">Martins, E.; Geraldes, W.; Afonseca, U.; Gouveia, L. </t>
  </si>
  <si>
    <t xml:space="preserve"> Uso do Kahoot 
como Ferramenta de Aprendizagem. </t>
  </si>
  <si>
    <t>In: Francisca Júlia Camargo Dresch. (Org).</t>
  </si>
  <si>
    <t xml:space="preserve"> Geraldes, W.</t>
  </si>
  <si>
    <t xml:space="preserve"> Afonseca, U.</t>
  </si>
  <si>
    <t>Martins, E. R.; Geraldes, W. B.; Afonseca, U. R.; Gouveia, L. M. B. (2018). 
Tecnologias Móveis em Contexto Educativo. In: Francisca Júlia Camargo 
Dresch. (Org.). Impactos das Tecnologias nas Ciências Humanas e Sociais 
Aplicadas; v. 2. 1ed, Capitulo 14, pp 168-177. Ponta Grossa (PR): Atena 
Editora. DOI: 10.22533/at.ed.758180511 
[ paper ]</t>
  </si>
  <si>
    <t xml:space="preserve">Martins, E. R.; Geraldes, W. B.; Afonseca, U. R.; Gouveia, L. M. B. </t>
  </si>
  <si>
    <t xml:space="preserve"> 
Tecnologias Móveis em Contexto Educativo. </t>
  </si>
  <si>
    <t>In: Francisca Júlia Camargo 
Dresch. (Org.).</t>
  </si>
  <si>
    <t xml:space="preserve"> Geraldes, W. B.</t>
  </si>
  <si>
    <t xml:space="preserve"> Afonseca, U. R.</t>
  </si>
  <si>
    <t xml:space="preserve"> Gouveia, L. M. B. </t>
  </si>
  <si>
    <t>Silva, C. e Gouveia, L. (2017). A Transparência e o e-government: um 
componente essencial para a democratização da informação. Boletim de Gestão 
Pública, N. 5 - Novembro/Dezembro. Instituto de Pesquisa e Estratégia 
Econômica do Ceará (IPECE). Governo do Estado do Ceará. Brasil, pp 21-27.
[ boletim ]</t>
  </si>
  <si>
    <t xml:space="preserve">Silva, C. e Gouveia, L. </t>
  </si>
  <si>
    <t>2017</t>
  </si>
  <si>
    <t xml:space="preserve"> A Transparência e o e-government: um 
componente essencial para a democratização da informação. </t>
  </si>
  <si>
    <t>Boletim de Gestão 
Pública, N. 5 - Novembro/Dezembro. Instituto de Pesquisa e Estratégia 
Econômica do Ceará (IPECE).</t>
  </si>
  <si>
    <t>Khan, S. and Gouveia, L. (2017). Requirement for a Minimum Service Level 
Model for Cloud Providers and Users. In GADI (coord). (2018). Gabinete de 
Relações Internacionais e Apoio ao Desenvolvimento Institucional, 
Universidade Fernando Pessoa. eBook, Atas dos Dias da Investigação na UFP 
2017 (UFP Research Days Proceedings). Porto. ISBN 978-989-643-144-9. 
[ ebook ]</t>
  </si>
  <si>
    <t xml:space="preserve">Khan, S. and Gouveia, L. </t>
  </si>
  <si>
    <t xml:space="preserve"> Requirement for a Minimum Service Level 
Model for Cloud Providers and Users. </t>
  </si>
  <si>
    <t>In GADI (coord).</t>
  </si>
  <si>
    <t xml:space="preserve">Khan, S. ; Gouveia, L. </t>
  </si>
  <si>
    <t>Erdem, M. and Gouveia, L. (2017). The Concept of Tourism Security and 
Importance of ICT Usage in Portugal. In GADI (coord). (2018). Gabinete de 
Relações Internacionais e Apoio ao Desenvolvimento Institucional, 
Universidade Fernando Pessoa. eBook, Atas dos Dias da Investigação na UFP 
2017 (UFP Research Days Proceedings). Porto. ISBN 978-989-643-144-9. 
[ ebook ]</t>
  </si>
  <si>
    <t xml:space="preserve">Erdem, M. and Gouveia, L. </t>
  </si>
  <si>
    <t xml:space="preserve"> The Concept of Tourism Security and 
Importance of ICT Usage in Portugal. </t>
  </si>
  <si>
    <t xml:space="preserve">Erdem, M. ; Gouveia, L. </t>
  </si>
  <si>
    <t>Alvre, P.; Gouveia, L. and Sousa, S. (2017). The impact of interface 
animations on the user experience: directing customer’s attention in online 
shopping sites. In GADI (coord). (2018). Gabinete de Relações 
Internacionais e Apoio ao Desenvolvimento Institucional, Universidade 
Fernando Pessoa. eBook, Atas dos Dias da Investigação na UFP 2017 (UFP 
Research Days Proceedings). Porto. ISBN 978-989-643-144-9. 
[ ebook ]</t>
  </si>
  <si>
    <t xml:space="preserve">Alvre, P.; Gouveia, L. and Sousa, S. </t>
  </si>
  <si>
    <t xml:space="preserve"> The impact of interface 
animations on the user experience: directing customer’s attention in online 
shopping sites. </t>
  </si>
  <si>
    <t xml:space="preserve">Alvre, P.; Gouveia, L. ; Sousa, S. </t>
  </si>
  <si>
    <t xml:space="preserve"> Sousa, S. </t>
  </si>
  <si>
    <t>Lourenço, M.; Rurato, P. e Gouveia, L. (2017). (Re)aprendizagem do 
professor do ensino superior face ao triângulo educação, tecnologia e 
aprendizagem no Ensino a Distância. In GADI (coord). (2018). Gabinete de 
Relações Internacionais e Apoio ao Desenvolvimento Institucional, 
Universidade Fernando Pessoa. eBook, Atas dos Dias da Investigação na UFP 
2017 (UFP Research Days Proceedings). Porto. ISBN 978-989-643-144-9.
[ ebook ]</t>
  </si>
  <si>
    <t xml:space="preserve">Lourenço, M.; Rurato, P. e Gouveia, L. </t>
  </si>
  <si>
    <t xml:space="preserve"> (Re)aprendizagem do 
professor do ensino superior face ao triângulo educação, tecnologia e 
aprendizagem no Ensino a Distância. </t>
  </si>
  <si>
    <t xml:space="preserve"> Rurato, P. e Gouveia, L. </t>
  </si>
  <si>
    <t>Cordeiro, I.; Gouveia, L. e Cardoso, P. (2017). A atração dos consumidores 
para o comércio tradicional em um contexto digital: requisitos e 
expetativas. In GADI (coord). (2018). Gabinete de Relações Internacionais e 
Apoio ao Desenvolvimento Institucional, Universidade Fernando Pessoa. 
eBook, Atas dos Dias da Investigação na UFP 2017 (UFP Research Days 
Proceedings). Porto. ISBN 978-989-643-144-9.
[ ebook ]</t>
  </si>
  <si>
    <t xml:space="preserve">Cordeiro, I.; Gouveia, L. e Cardoso, P. </t>
  </si>
  <si>
    <t xml:space="preserve"> A atração dos consumidores 
para o comércio tradicional em um contexto digital: requisitos e 
expetativas. </t>
  </si>
  <si>
    <t xml:space="preserve"> Gouveia, L. e Cardoso, P. </t>
  </si>
  <si>
    <t>Stenio, R. e Gouveia, L. (2017). Uso de modelos matemáticos interpretados 
em plataforma digital como estratégia para o ensino e aprendizagem da 
matemática. In GADI (coord). (2018). Gabinete de Relações Internacionais e 
Apoio ao Desenvolvimento Institucional, Universidade Fernando Pessoa. 
eBook, Atas dos Dias da Investigação na UFP 2017 (UFP Research Days 
Proceedings). Porto. ISBN 978-989-643-144-9.
[ ebook ]</t>
  </si>
  <si>
    <t xml:space="preserve">Stenio, R. e Gouveia, L. </t>
  </si>
  <si>
    <t xml:space="preserve"> Uso de modelos matemáticos interpretados 
em plataforma digital como estratégia para o ensino e aprendizagem da 
matemática. </t>
  </si>
  <si>
    <t>Morgado, R. e Gouveia, L. (2017). A importância da proteção do ciberespaço. 
In GADI (coord). (2018). Gabinete de Relações Internacionais e Apoio ao 
Desenvolvimento Institucional, Universidade Fernando Pessoa. eBook, Atas 
dos Dias da Investigação na UFP 2017 (UFP Research Days Proceedings). 
Porto. ISBN 978-989-643-144-9.
[ ebook ]</t>
  </si>
  <si>
    <t xml:space="preserve">Morgado, R. e Gouveia, L. </t>
  </si>
  <si>
    <t xml:space="preserve"> A importância da proteção do ciberespaço. </t>
  </si>
  <si>
    <t xml:space="preserve">
In GADI (coord).</t>
  </si>
  <si>
    <t>Menezes, N. e Gouveia, L. (2017). O recurso a tecnologias de informação e 
comunicação para suporte da atividade em sala de aula: uma proposta de 
modelo. In GADI (coord). (2018). Gabinete de Relações Internacionais e 
Apoio ao Desenvolvimento Institucional, Universidade Fernando Pessoa. 
eBook, Atas dos Dias da Investigação na UFP 2017 (UFP Research Days 
Proceedings). Porto. ISBN 978-989-643-144-9.
[ ebook ]</t>
  </si>
  <si>
    <t xml:space="preserve">Menezes, N. e Gouveia, L. </t>
  </si>
  <si>
    <t xml:space="preserve"> O recurso a tecnologias de informação e 
comunicação para suporte da atividade em sala de aula: uma proposta de 
modelo. </t>
  </si>
  <si>
    <t>Oliveira, M. e Gouveia, L. (2017). Estudo da viabilidade da técnica de 
densidade radiográfica para mensuração de densidade óssea. In GADI (coord). 
(2018). Gabinete de Relações Internacionais e Apoio ao Desenvolvimento 
Institucional, Universidade Fernando Pessoa. eBook, Atas dos Dias da 
Investigação na UFP 2017 (UFP Research Days Proceedings). Porto. ISBN 
978-989-643-144-9.
[ ebook ]</t>
  </si>
  <si>
    <t xml:space="preserve">Oliveira, M. e Gouveia, L. </t>
  </si>
  <si>
    <t xml:space="preserve"> Estudo da viabilidade da técnica de 
densidade radiográfica para mensuração de densidade óssea. </t>
  </si>
  <si>
    <t>Rocha, L. e Gouveia, L. (2017). A Economia compartilhada e os fatores que a 
influenciam. In GADI (coord). (2018). Gabinete de Relações Internacionais e 
Apoio ao Desenvolvimento Institucional, Universidade Fernando Pessoa. 
eBook, Atas dos Dias da Investigação na UFP 2017 (UFP Research Days 
Proceedings). Porto. ISBN 978-989-643-144-9.
[ ebook ]</t>
  </si>
  <si>
    <t xml:space="preserve">Rocha, L. e Gouveia, L. </t>
  </si>
  <si>
    <t xml:space="preserve"> A Economia compartilhada e os fatores que a 
influenciam. </t>
  </si>
  <si>
    <t>Santos, F. e Gouveia, L. (2017). Relação dos fatores críticos de sucesso em 
gestão do conhecimento para empresas e alunos de Administração de Empresas 
no contexto brasileiro. In GADI (coord). (2018). Gabinete de Relações 
Internacionais e Apoio ao Desenvolvimento Institucional, Universidade 
Fernando Pessoa. eBook, Atas dos Dias da Investigação na UFP 2017 (UFP 
Research Days Proceedings). Porto. ISBN 978-989-643-144-9.
[ ebook ]</t>
  </si>
  <si>
    <t xml:space="preserve">Santos, F. e Gouveia, L. </t>
  </si>
  <si>
    <t xml:space="preserve"> Relação dos fatores críticos de sucesso em 
gestão do conhecimento para empresas e alunos de Administração de Empresas 
no contexto brasileiro. </t>
  </si>
  <si>
    <t>Nogueira, D. e Gouveia, L. (2017). Estudo preliminar sobre competências nas 
redes digitais como estratégia de fortalecimento da Rede Nacional de 
Escolas de Governo do Brasil. In GADI (coord). (2018). Gabinete de Relações 
Internacionais e Apoio ao Desenvolvimento Institucional, Universidade 
Fernando Pessoa. eBook, Atas dos Dias da Investigação na UFP 2017 (UFP 
Research Days Proceedings). Porto. ISBN 978-989-643-144-9.
[ ebook ]</t>
  </si>
  <si>
    <t xml:space="preserve">Nogueira, D. e Gouveia, L. </t>
  </si>
  <si>
    <t xml:space="preserve"> Estudo preliminar sobre competências nas 
redes digitais como estratégia de fortalecimento da Rede Nacional de 
Escolas de Governo do Brasil. </t>
  </si>
  <si>
    <t>Silva, C. e Gouveia, L. (2017). Transparência, ‘e-government’ e segurança 
da informação: uma contribuição para a sua discussão no contexto do poder 
público. In GADI (coord). (2018). Gabinete de Relações Internacionais e 
Apoio ao Desenvolvimento Institucional, Universidade Fernando Pessoa. 
eBook, Atas dos Dias da Investigação na UFP 2017 (UFP Research Days 
Proceedings). Porto. ISBN 978-989-643-144-9.
[ ebook ]</t>
  </si>
  <si>
    <t xml:space="preserve"> Transparência, ‘e-government’ e segurança 
da informação: uma contribuição para a sua discussão no contexto do poder 
público. </t>
  </si>
  <si>
    <t>Quental, C. e Gouveia, L. (2017). Mediação digital para participação 
pública: experiências de utilização em organizações sindicais. In GADI 
(coord). (2018). Gabinete de Relações Internacionais e Apoio ao 
Desenvolvimento Institucional, Universidade Fernando Pessoa. eBook, Atas 
dos Dias da Investigação na UFP 2017 (UFP Research Days Proceedings). 
Porto. ISBN 978-989-643-144-9.
[ ebook ]</t>
  </si>
  <si>
    <t xml:space="preserve"> Mediação digital para participação 
pública: experiências de utilização em organizações sindicais. </t>
  </si>
  <si>
    <t>In GADI 
(coord).</t>
  </si>
  <si>
    <t>Araújo, A. e Gouveia, L. (2017). O digital nas instituições de ensino 
superior: justificação para o diagnóstico sobre a percepção de gestores, 
professores e alunos. In GADI (coord). (2018). Gabinete de Relações 
Internacionais e Apoio ao Desenvolvimento Institucional, Universidade 
Fernando Pessoa. eBook, Atas dos Dias da Investigação na UFP 2017 (UFP 
Research Days Proceedings). Porto. ISBN 978-989-643-144-9.
[ ebook ]</t>
  </si>
  <si>
    <t xml:space="preserve">Araújo, A. e Gouveia, L. </t>
  </si>
  <si>
    <t xml:space="preserve"> O digital nas instituições de ensino 
superior: justificação para o diagnóstico sobre a percepção de gestores, 
professores e alunos. </t>
  </si>
  <si>
    <t>Robalo, A. e Gouveia, L. (2017). A introdução das TICs em sala de aula no 
ensino primário: formação de professores na província do Huambo para o 
projeto Meu Kamba. In GADI (coord). (2018). Gabinete de Relações 
Internacionais e Apoio ao Desenvolvimento Institucional, Universidade 
Fernando Pessoa. eBook, Atas dos Dias da Investigação na UFP 2017 (UFP 
Research Days Proceedings). Porto. ISBN 978-989-643-144-9.
[ ebook ]</t>
  </si>
  <si>
    <t xml:space="preserve">Robalo, A. e Gouveia, L. </t>
  </si>
  <si>
    <t xml:space="preserve"> A introdução das TICs em sala de aula no 
ensino primário: formação de professores na província do Huambo para o 
projeto Meu Kamba. </t>
  </si>
  <si>
    <t>Correia, A. e Gouveia, L. (2017). Cidades Digitais: uma perspetiva 
diferenciada dos espaços na cidade. In GADI (coord). (2018). Gabinete de 
Relações Internacionais e Apoio ao Desenvolvimento Institucional, 
Universidade Fernando Pessoa. eBook, Atas dos Dias da Investigação na UFP 
2017 (UFP Research Days Proceedings). Porto. ISBN 978-989-643-144-9.
[ ebook ]</t>
  </si>
  <si>
    <t xml:space="preserve">Correia, A. e Gouveia, L. </t>
  </si>
  <si>
    <t xml:space="preserve"> Cidades Digitais: uma perspetiva 
diferenciada dos espaços na cidade. </t>
  </si>
  <si>
    <t>Cavalcante, A. e Gouveia, L. (2017). A influência do digital para a imagem 
do turismo no nordeste brasileiro. In GADI (coord). (2018). Gabinete de 
Relações Internacionais e Apoio ao Desenvolvimento Institucional, 
Universidade Fernando Pessoa. eBook, Atas dos Dias da Investigação na UFP 
2017 (UFP Research Days Proceedings). Porto. ISBN 978-989-643-144-9.
[ ebook ]</t>
  </si>
  <si>
    <t xml:space="preserve">Cavalcante, A. e Gouveia, L. </t>
  </si>
  <si>
    <t xml:space="preserve"> A influência do digital para a imagem 
do turismo no nordeste brasileiro. </t>
  </si>
  <si>
    <t>Gouveia, L. (2017). Transformação Digital: Desafios e Implicações na 
Perspectiva da Informação. In Moreira, F.; Oliveira, M.; Gonçalves, R. e 
Costa, C. (2017). Transformação Digital: oportunidades e amaeaças para uma 
competitividade mais inteligente. 1ª edição, dezembro. Capítulo 2, pp 5-28. 
Faro: Silabas e Desafios. ISBN: 978-989-8842-28-2.
[ ebook ]</t>
  </si>
  <si>
    <t xml:space="preserve"> Transformação Digital: Desafios e Implicações na 
Perspectiva da Informação. </t>
  </si>
  <si>
    <t>In Moreira, F.; Oliveira, M.; Gonçalves, R. e 
Costa, C. (2017).</t>
  </si>
  <si>
    <t>Silva, C. e Gouveia, L. (2017). A Transparência e Sua Importância Para o 
Poder Público. Boletim de Gestão Pública, N. 4 - Setembro/Outubro. 
Instituto de Pesquisa e Estratégia Econômica do Ceará (IPECE). Governo do 
Estado do Ceará. Brasil, pp 4-7.  
[ boletim ]</t>
  </si>
  <si>
    <t xml:space="preserve"> A Transparência e Sua Importância Para o 
Poder Público. </t>
  </si>
  <si>
    <t>Boletim de Gestão Pública, N. 4 - Setembro/Outubro. 
Instituto de Pesquisa e Estratégia Econômica do Ceará (IPECE).</t>
  </si>
  <si>
    <t>Morgado, R. e Gouveia, L. (2016). O recurso e a contribuição potencial da 
inteligência artificial para a cibersegurança em ambientes digitais. 
Coordenação Gabinete de Relações Internacionais e Apoio ao Desenvolvimento 
Institucional, Universidade Fernando Pessoa. eBook, Atas dos Dias da 
Investigação na UFP 2016. Porto, pp 185-191. ISBN 978-989-643-141-9.
[ ebook ]</t>
  </si>
  <si>
    <t>2016</t>
  </si>
  <si>
    <t xml:space="preserve"> O recurso e a contribuição potencial da 
inteligência artificial para a cibersegurança em ambientes digitais. </t>
  </si>
  <si>
    <t>Correia, A. e Gouveia, L. (2016). A região norte NUT III como valor 
acrescentado para o desenvolvimento digital da região e o potencial do 
Porto como Smart City. Coordenação Gabinete de Relações Internacionais e 
Apoio ao Desenvolvimento Institucional, Universidade Fernando Pessoa. 
eBook, Atas dos Dias da Investigação na UFP 2016. Porto, pp 192-205. ISBN 
978-989-643-141-9.
[ ebook ]</t>
  </si>
  <si>
    <t xml:space="preserve"> A região norte NUT III como valor 
acrescentado para o desenvolvimento digital da região e o potencial do 
Porto como Smart City. </t>
  </si>
  <si>
    <t>Araújo, P.; Gouveia, L. e Toldy, T. (2016). Esfera Pública Digital: uso de 
uma plataforma digital para a gestão da informação da Educação Especial. 
Coordenação Gabinete de Relações Internacionais e Apoio ao Desenvolvimento 
Institucional, Universidade Fernando Pessoa. eBook, Atas dos Dias da 
Investigação na UFP 2016. Porto, pp 126-142. ISBN 978-989-643-141-9.
[ ebook ]</t>
  </si>
  <si>
    <t xml:space="preserve">Araújo, P.; Gouveia, L. e Toldy, T. </t>
  </si>
  <si>
    <t xml:space="preserve"> Esfera Pública Digital: uso de 
uma plataforma digital para a gestão da informação da Educação Especial. </t>
  </si>
  <si>
    <t xml:space="preserve"> Gouveia, L. e Toldy, T. </t>
  </si>
  <si>
    <t>Menezes, N. e Gouveia, L. (2016). O recurso a tecnologias de informação e 
comunicação para suporte da atividade em sala de aula. Coordenação Gabinete 
de Relações Internacionais e Apoio ao Desenvolvimento Institucional, 
Universidade Fernando Pessoa. eBook, Atas dos Dias da Investigação na UFP 
2016. Porto, pp 206-212. ISBN 978-989-643-141-9.
[ ebook ]</t>
  </si>
  <si>
    <t xml:space="preserve"> O recurso a tecnologias de informação e 
comunicação para suporte da atividade em sala de aula. </t>
  </si>
  <si>
    <t>Lourenço, M.; Rurato, P. e Gouveia, L. (2016). Educação, tecnologia, 
aprendizagem: exaltação à negociação: a busca da Relevância. Coordenação 
Gabinete de Relações Internacionais e Apoio ao Desenvolvimento 
Institucional, Universidade Fernando Pessoa. eBook, Atas dos Dias da 
Investigação na UFP 2016. Porto, pp 121-125. ISBN 978-989-643-141-9.
[ ebook ]</t>
  </si>
  <si>
    <t xml:space="preserve"> Educação, tecnologia, 
aprendizagem: exaltação à negociação: a busca da Relevância. </t>
  </si>
  <si>
    <t>Lopes, S.; Gouveia, L. e Reis, P. (2016). O modelo de ensino do ‘flipped 
classroom’ (sala de aula invertida) no âmbito do ensino superior. 
Coordenação Gabinete de Relações Internacionais e Apoio ao Desenvolvimento 
Institucional, Universidade Fernando Pessoa. eBook, Atas dos Dias da 
Investigação na UFP 2016. Porto, pp 164-171. ISBN 978-989-643-141-9.  
[ ebook ]</t>
  </si>
  <si>
    <t xml:space="preserve">Lopes, S.; Gouveia, L. e Reis, P. </t>
  </si>
  <si>
    <t xml:space="preserve"> O modelo de ensino do ‘flipped 
classroom’ (sala de aula invertida) no âmbito do ensino superior. </t>
  </si>
  <si>
    <t xml:space="preserve"> Gouveia, L. e Reis, P. </t>
  </si>
  <si>
    <t>Peres, P. e Gouveia, L. (2015). *Planeamento e Gestão da Mudança nos 
Processos de Implementação de Sistemas dee/b-learning*. Gabinete de 
Relações Internacionais e Apoio ao Desenvolvimento Institucional (2015). 
Atas dos Dias da Investigação na UFP / Research Days Proceedings 2015. 
Universidade Fernando Pessoa. Porto, pp 15-20. ISBN 978-989-643-130-3
[ ebook ]</t>
  </si>
  <si>
    <t xml:space="preserve">Peres, P. e Gouveia, L. </t>
  </si>
  <si>
    <t>2015</t>
  </si>
  <si>
    <t xml:space="preserve"> *Planeamento e Gestão da Mudança nos 
Processos de Implementação de Sistemas dee/b-learning*. </t>
  </si>
  <si>
    <t>Gabinete de 
Relações Internacionais e Apoio ao Desenvolvimento Institucional (2015).</t>
  </si>
  <si>
    <t>Leal, J. e Gouveia, L. (2015). *MOOC: qual o papel na reconceptualização da 
Universidade?* Gabinete de Relações Internacionais e Apoio ao 
Desenvolvimento Institucional (2015). Atas dos Dias da Investigação na UFP 
/ Research Days Proceedings 2015. Universidade Fernando Pessoa. Porto, pp 
21-27. ISBN 978-989-643-130-3
[ ebook ]</t>
  </si>
  <si>
    <t xml:space="preserve">Leal, J. e Gouveia, L. </t>
  </si>
  <si>
    <t xml:space="preserve"> *MOOC: qual o papel na reconceptualização da 
Universidade?* Gabinete de Relações Internacionais e Apoio ao 
Desenvolvimento Institucional (2015). </t>
  </si>
  <si>
    <t>Robalo, A. e Gouveia, L. (2015). *O contributo da Mediateca do Huambo na 
promoção de competências TIC para professores*.  Gabinete de Relações 
Internacionais e Apoio ao Desenvolvimento Institucional (2015). Atas dos 
Dias da Investigação na UFP / Research Days Proceedings 2015. Universidade 
Fernando Pessoa. Porto, pp 35-47. ISBN 978-989-643-130-3 
[ ebook ]</t>
  </si>
  <si>
    <t xml:space="preserve"> *O contributo da Mediateca do Huambo na 
promoção de competências TIC para professores*. </t>
  </si>
  <si>
    <t xml:space="preserve"> Gabinete de Relações 
Internacionais e Apoio ao Desenvolvimento Institucional (2015).</t>
  </si>
  <si>
    <t>Martins, O. e Gouveia, L. (2015). *Bibliotecas académicas, lugar ou ponto 
de acesso?*  Gabinete de Relações Internacionais e Apoio ao Desenvolvimento 
Institucional (2015). Atas dos Dias da Investigação na UFP / Research Days 
Proceedings 2015. Universidade Fernando Pessoa. Porto, pp 49-65. ISBN 
978-989-643-130-3
[ ebook ]</t>
  </si>
  <si>
    <t xml:space="preserve">Martins, O. e Gouveia, L. </t>
  </si>
  <si>
    <t xml:space="preserve"> *Bibliotecas académicas, lugar ou ponto 
de acesso?*  Gabinete de Relações Internacionais e Apoio ao Desenvolvimento 
Institucional (2015). </t>
  </si>
  <si>
    <t>Alfredo, P. e Gouveia, L. (2015). *Contribuições para a discussão de um 
modelo de governo electrónico local para Angola*. Gabinete de Relações 
Internacionais e Apoio ao Desenvolvimento Institucional (2015). Atas dos 
Dias da Investigação na UFP / Research Days Proceedings 2015. Universidade 
Fernando Pessoa. Porto, pp 66-84. ISBN 978-989-643-130-3
[ ebook ]</t>
  </si>
  <si>
    <t xml:space="preserve">Alfredo, P. e Gouveia, L. </t>
  </si>
  <si>
    <t xml:space="preserve"> *Contribuições para a discussão de um 
modelo de governo electrónico local para Angola*. </t>
  </si>
  <si>
    <t>Gabinete de Relações 
Internacionais e Apoio ao Desenvolvimento Institucional (2015).</t>
  </si>
  <si>
    <t>Abrantes, S. e Gouveia, L. (2015). *Um estudo empírico sobre a adopção de 
meios digitais para suporte à aprendizagem colaborativa*. Gabinete de 
Relações Internacionais e Apoio ao Desenvolvimento Institucional (2015). 
Atas dos Dias da Investigação na UFP / Research Days Proceedings 2015. 
Universidade Fernando Pessoa. Porto, pp 85-99. ISBN 978-989-643-130-3
[ ebook ]</t>
  </si>
  <si>
    <t xml:space="preserve">Abrantes, S. e Gouveia, L. </t>
  </si>
  <si>
    <t xml:space="preserve"> *Um estudo empírico sobre a adopção de 
meios digitais para suporte à aprendizagem colaborativa*. </t>
  </si>
  <si>
    <t>Silva, P. and Gouveia, L. (2015). *The impact of digital in learning 
spaces: an analysis on the perspective of teachers in higher education*. 
Gabinete de Relações Internacionais e Apoio ao Desenvolvimento 
Institucional (2015). Atas dos Dias da Investigação na UFP / Research Days 
Proceedings 2015. Universidade Fernando Pessoa. Porto, pp 100-108. ISBN 
978-989-643-130-
[ ebook ]</t>
  </si>
  <si>
    <t xml:space="preserve">Silva, P. and Gouveia, L. </t>
  </si>
  <si>
    <t xml:space="preserve"> *The impact of digital in learning 
spaces: an analysis on the perspective of teachers in higher education*. </t>
  </si>
  <si>
    <t xml:space="preserve">
Gabinete de Relações Internacionais e Apoio ao Desenvolvimento 
Institucional (2015).</t>
  </si>
  <si>
    <t xml:space="preserve">Silva, P. ; Gouveia, L. </t>
  </si>
  <si>
    <t>Ferreira, A. e Gouveia, L. (2015). *O ensino e os novos sistemas de 
computação*. Gabinete de Relações Internacionais e Apoio ao Desenvolvimento 
Institucional (2015). Atas dos Dias da Investigação na UFP / Research Days 
Proceedings 2015. Universidade Fernando Pessoa. Porto, pp 109-111. ISBN 
978-989-643-130-3
[ ebook ]</t>
  </si>
  <si>
    <t xml:space="preserve">Ferreira, A. e Gouveia, L. </t>
  </si>
  <si>
    <t xml:space="preserve"> *O ensino e os novos sistemas de 
computação*. </t>
  </si>
  <si>
    <t>Gabinete de Relações Internacionais e Apoio ao Desenvolvimento 
Institucional (2015).</t>
  </si>
  <si>
    <t>Gouveia, L. (2015). Uma reflexão sobre o digital e o impacte no trabalho. 
Lugares de trabalho, Espaços de Aprendizagem. Ferreira, C.; Castro, K. e 
Coimbra, J. (editores). (2015). A relevância da formação para o trabalho. 
Porto: IEFP. Instituto Emprego e Formação Profissional. Delegação Regional 
do Norte. ISBN 978-989-638-056-4, pp 151-160.
[ paper ]</t>
  </si>
  <si>
    <t xml:space="preserve"> Uma reflexão sobre o digital e o impacte no trabalho. </t>
  </si>
  <si>
    <t xml:space="preserve">
Lugares de trabalho, Espaços de Aprendizagem. Ferreira, C.; Castro, K. e 
Coimbra, J. (editores).</t>
  </si>
  <si>
    <t>Gouveia, L. (2013). *O Digital e as Redes como mecanismos de inovação na 
participação pública*. in Lira, S.; Ramos, C. e Leão, I. (2012). De Re 
Publica: Ensaios em torno da ideia republicana. Edições Universidade 
Fernando Pessoa, pp 305-330. ISBN: 9789896430955.</t>
  </si>
  <si>
    <t>2013</t>
  </si>
  <si>
    <t xml:space="preserve"> *O Digital e as Redes como mecanismos de inovação na 
participação pública*. </t>
  </si>
  <si>
    <t>in Lira, S.; Ramos, C. e Leão, I. (2012).</t>
  </si>
  <si>
    <t>Gouveia, L. (2012). *Tecnologias de Informação Documental: impacte do 
Digital i*n Freitas, J.; Gouveia, L. e Regedor, A. (2012). Ciência da 
Informação. Contributos para o seu estudo. Porto: Edições Universidade 
Fernando Pessoa, pp 41-69. ISBN: 978-989-643-090-0.</t>
  </si>
  <si>
    <t xml:space="preserve"> *Tecnologias de Informação Documental: impacte do 
Digital i*n Freitas, J.;</t>
  </si>
  <si>
    <t xml:space="preserve"> Gouveia, L. e Regedor, A. (2012).</t>
  </si>
  <si>
    <t>Abrantes, S. e Gouveia, L. (2009). *A experiência do fluxo no uso de jogos 
para suporte à aprendizagem de Matemática no Ensino Básico*. In  Dias, P.; 
Osório, A. e Ramos, A. (orgs) (2009). O Digital e o Currículo. Universidade 
do Minho Centro de Competência, Maio, pp 63-81. ISBN 978-972-98456-4-2.</t>
  </si>
  <si>
    <t xml:space="preserve"> *A experiência do fluxo no uso de jogos 
para suporte à aprendizagem de Matemática no Ensino Básico*. </t>
  </si>
  <si>
    <t>In  Dias, P.; 
Osório, A. e Ramos, A. (orgs) (2009).</t>
  </si>
  <si>
    <t>Gouveia, L. (2008). *As TIC e o  E-Business como alavanca dos Processos de 
Negócio*. In Vários autores. (2008). Empresas 2.0. A Tecnologia como 
Suporte à Gestão do Futuro. AEP. Porto. Parte V, Capítulo 12, pp 245-271. 
ISBN: 978-972-8702-33-5.
artigo [ pdf (62KB) ] | ebook completo [ pdf (5,52MB) ]</t>
  </si>
  <si>
    <t>2008</t>
  </si>
  <si>
    <t xml:space="preserve"> *As TIC e o  E-Business como alavanca dos Processos de 
Negócio*. </t>
  </si>
  <si>
    <t>In Vários autores. (2008).</t>
  </si>
  <si>
    <t>Gouveia, L. (2006). *A Gestão da Informação: um ensaio sobre a sua 
relevância no contexto organizacional*. In CXO (2006). Information 
Lifecycle Management. Criar a empresa centrada Informação. Biblioteca de 
Gestão &amp; TI. CXO Media. DL nº 250834, pp 174-180.
texto [ pdf (36KB) ]</t>
  </si>
  <si>
    <t>2006</t>
  </si>
  <si>
    <t xml:space="preserve"> *A Gestão da Informação: um ensaio sobre a sua 
relevância no contexto organizacional*. </t>
  </si>
  <si>
    <t>In CXO (2006).</t>
  </si>
  <si>
    <t>Xavier, J. e Gouveia, L. e Gouveia, J. (2004). *Cidades e Regiões 
Inteligentes – uma reflexão sobre o caso português*. In Gouveia, L. e Gaio, 
S. (orgs). Sociedade da Informação: balanço e implicações. Junho de 2004. 
Edições Universidade Fernando Pessoa. ISBN 972-8830-18-1, pp 23-29.</t>
  </si>
  <si>
    <t xml:space="preserve">Xavier, J. e Gouveia, L. e Gouveia, J. </t>
  </si>
  <si>
    <t xml:space="preserve"> *Cidades e Regiões 
Inteligentes – uma reflexão sobre o caso português*. </t>
  </si>
  <si>
    <t>In Gouveia, L. e Gaio, 
S. (orgs).</t>
  </si>
  <si>
    <t>Rurato, P. e Gouveia, L. e Gouveia, J. (2004) *Educação de Adultos e Ensino 
à Distância: A Importância de conhecer as Características Individuais dos 
Adultos Aprendizes à Distância.* In Gouveia, L. e Gaio, S. (orgs). 
Sociedade da Informação: balanço e implicações. Junho de 2004. Edições 
Universidade Fernando Pessoa. ISBN 972-8830-18-1, pp 143-148.</t>
  </si>
  <si>
    <t xml:space="preserve">Rurato, P. e Gouveia, L. e Gouveia, J. </t>
  </si>
  <si>
    <t xml:space="preserve"> 
Sociedade da Informação: balanço e implicações. </t>
  </si>
  <si>
    <t>Almeida, R. e Cerqueira, J. e Gouveia, L. (2004). *Gaia Global: 
Infra-estrutura Digital: Consolidação de Conceitos do Portal para o Cidadão*. 
In Gouveia, L. e Gaio, S. (orgs). Sociedade da Informação: balanço e 
implicações. Junho de 2004. Edições Universidade Fernando Pessoa. ISBN 
972-8830-18-1, pp 87-104.</t>
  </si>
  <si>
    <t xml:space="preserve">Almeida, R. e Cerqueira, J. e Gouveia, L. </t>
  </si>
  <si>
    <t xml:space="preserve"> *Gaia Global: 
Infra-estrutura Digital: Consolidação de Conceitos do Portal para o Cidadão*. </t>
  </si>
  <si>
    <t xml:space="preserve">
In Gouveia, L. e Gaio, S. (orgs).</t>
  </si>
  <si>
    <t>Gouveia, L. e Gaio, S. (2004). *Introdução: balanço e implicações e 
Sociedade da Informação*. In Gouveia, L. e Gaio, S. (orgs). Sociedade da 
Informação: balanço e implicações. Junho de 2004. Edições Universidade 
Fernando Pessoa. ISBN 972-8830-18-1, pp 15-17.</t>
  </si>
  <si>
    <t xml:space="preserve">Gouveia, L. e Gaio, S. </t>
  </si>
  <si>
    <t xml:space="preserve"> *Introdução: balanço e implicações e 
Sociedade da Informação*. </t>
  </si>
  <si>
    <t>In Gouveia, L. e Gaio, S. (orgs).</t>
  </si>
  <si>
    <t>Gouveia, L. and Gaio, S. (2004). *Introduction to information society* in 
Gouveia, L.and Gaio, S. (2004). Readings in Information Society. University 
Fernando Pessoa Press. March. ISBN 972-8830-14-9, pp 11-13.</t>
  </si>
  <si>
    <t xml:space="preserve">Gouveia, L. and Gaio, S. </t>
  </si>
  <si>
    <t xml:space="preserve"> *Introduction to information society* in 
Gouveia, L.a</t>
  </si>
  <si>
    <t>nd Gaio, S. (2004).</t>
  </si>
  <si>
    <t xml:space="preserve">Gouveia, L. ; Gaio, S. </t>
  </si>
  <si>
    <t xml:space="preserve"> Gaio, S. </t>
  </si>
  <si>
    <t>Gouveia, L. and Xavier, J. and Gouveia, J.. (2004). *Gaia Global: a digital 
cities initiative* in Gouveia, L. and Gaio, S. (2004). Readings in 
Information Society. University Fernando Pessoa Press. March. ISBN 
972-8830-14-9, pp 17-37.</t>
  </si>
  <si>
    <t xml:space="preserve">Gouveia, L. and Xavier, J. and Gouveia, J.. </t>
  </si>
  <si>
    <t xml:space="preserve"> *Gaia Global: a digital 
cities initiative* in Gouveia, L. </t>
  </si>
  <si>
    <t>and Gaio, S. (2004).</t>
  </si>
  <si>
    <t xml:space="preserve">Gouveia, L. ; Xavier, J. ; Gouveia, J.. </t>
  </si>
  <si>
    <t xml:space="preserve"> Xavier, J. </t>
  </si>
  <si>
    <t xml:space="preserve"> Gouveia, J.. </t>
  </si>
  <si>
    <t>Gouveia, L. (2004). *Why physical place for a digital oriented world* in 
Gouveia, L. and Gaio, S. (2004). Readings in Information Society. 
University Fernando Pessoa Press. March. ISBN 972-8830-14-9, pp 91-100.</t>
  </si>
  <si>
    <t xml:space="preserve"> *Why physical place for a digital oriented world* in 
Gouveia, L. </t>
  </si>
  <si>
    <t>Rurato, P. and Gouveia, L. and Gouveia, J. (2004). *Adult Education and 
Distance Learning: Issues, Barriers and Outcomes* in Gouveia, L. and Gaio, 
S. (2004). Readings in Information Society. University Fernando Pessoa 
Press. March, pp 133-141. ISBN 972-8830-14-9.</t>
  </si>
  <si>
    <t xml:space="preserve">Rurato, P. and Gouveia, L. and Gouveia, J. </t>
  </si>
  <si>
    <t xml:space="preserve"> *Adult Education and 
Distance Learning: Issues, Barriers and Outcomes* in Gouveia, L. </t>
  </si>
  <si>
    <t>and Gaio, 
S. (2004).</t>
  </si>
  <si>
    <t xml:space="preserve">Rurato, P. ; Gouveia, L. ; Gouveia, J. </t>
  </si>
  <si>
    <t>Gouveia, L. (2003). *Cidades e Regiões Digitais: questões e desafios no 
digital*. In Gouveia, L.(organizador). (2003). Cidades e Regiões Digitais: 
impacte nas cidades e nas pessoas. Setembro de 2003. Edições Universidade 
Fernando Pessoa, pp 11-13. ISBN: 972-8830-03-3</t>
  </si>
  <si>
    <t xml:space="preserve"> *Cidades e Regiões Digitais: questões e desafios no 
digital*. </t>
  </si>
  <si>
    <t>In Gouveia, L.(organizador).</t>
  </si>
  <si>
    <t>Xavier, J. e Gouveia, L. e Gouveia, J. (2003). G*aia Global - O Cidadão 
como umbigo da Cidade Digital*. In Gouveia, L. (org.) Cidades e Regiões 
Digitais: impacte nas cidades e nas pessoas. Setembro de 2003. Edições 
Universidade Fernando Pessoa, pp 135-155. ISBN: 972-8830-03-3</t>
  </si>
  <si>
    <t xml:space="preserve"> G*aia Global - O Cidadão 
como umbigo da Cidade Digital*. </t>
  </si>
  <si>
    <t>Gouveia, L. e Gouveia, J. (2003), *Autarquias Digitais: promessas e 
desafios.* In Gouveia, L. (org.) Cidades e Regiões Digitais: impacte nas 
cidades e nas pessoas. Setembro de 2003. Edições Universidade Fernando 
Pessoa, pp 187-193. ISBN: 972-8830-03-3</t>
  </si>
  <si>
    <t xml:space="preserve">Gouveia, L. e Gouveia, J. </t>
  </si>
  <si>
    <t>Gouveia, L. and Gouveia, F. (2003). Virtual Environments and Kowledge 
Sharing. Tavares, L. and Pereira, M. (eds.) E-Portugal. Chapter 3: Sistemas 
e Processos, ACEP, pp 125-134.</t>
  </si>
  <si>
    <t xml:space="preserve"> Virtual Environments and Kowledge 
Sharing. </t>
  </si>
  <si>
    <t>Lamas, D.; Gouveia, F. e Gouveia, L. (2001). *O Símbolo e a Interactividade 
no uso de computadores*. In Leão, I. (Org.). Actas do Congresso 
Internacional Literatura, Cinema e outras Artes. Edições Universidade 
Fernando Pessoa. ISBN 972-8184-64-6, pp 303-310.
paper [ pdf (26KB) ]</t>
  </si>
  <si>
    <t xml:space="preserve">Lamas, D.; Gouveia, F. e Gouveia, L. </t>
  </si>
  <si>
    <t xml:space="preserve"> *O Símbolo e a Interactividade 
no uso de computadores*. </t>
  </si>
  <si>
    <t>In Leão, I. (Org.).</t>
  </si>
  <si>
    <t xml:space="preserve"> Gouveia, F. e Gouveia, L. </t>
  </si>
  <si>
    <t>Gouveia, L.; Gouveia, J. and Restivo, F. (2000) *EFTWeb: a working model to 
support Education, Learning and Training.* Valadares, L. and Pereira, M. 
(eds.). Nova Economia e Tecnologias de Informação: Desafios para Portugal, 
pp 400-410. Universidade Católica Editora. ISBN 972-54-0019-4. 
paper [ pdf (47KB) an edited version of the CEPI´99 paper]</t>
  </si>
  <si>
    <t xml:space="preserve">Gouveia, L.; Gouveia, J. and Restivo, F. </t>
  </si>
  <si>
    <t>2000</t>
  </si>
  <si>
    <t xml:space="preserve"> Nova Economia e Tecnologias de Informação: Desafios para Portugal, 
pp 400-410. </t>
  </si>
  <si>
    <t xml:space="preserve">Gouveia, L.; Gouveia, J. ; Restivo, F. </t>
  </si>
  <si>
    <t xml:space="preserve"> Restivo, F. </t>
  </si>
  <si>
    <t>Gouveia, L.; Gouveia, F. and Lamas, D. (2000). *Innovation in Business 
Processes: An experiment using CAIN.* Valadares, L. and Pereira, M. (eds.). 
Nova Economia e Tecnologias de Informação: Desafios para Portugal, pp 
368-377. Universidade Católica Editora.  ISBN 972-54-0019-4. 
paper [ pfd (48KB) an edited version of the CEPI´99 paper]</t>
  </si>
  <si>
    <t xml:space="preserve">Gouveia, L.; Gouveia, F. and Lamas, D. </t>
  </si>
  <si>
    <t xml:space="preserve"> *Innovation in Business 
Processes: An experiment using CAIN.*</t>
  </si>
  <si>
    <t xml:space="preserve"> Valadares, L. and Pereira, M. (eds.).</t>
  </si>
  <si>
    <t xml:space="preserve">Gouveia, L.; Gouveia, F. ; Lamas, D. </t>
  </si>
  <si>
    <t xml:space="preserve"> Lamas, D. </t>
  </si>
  <si>
    <t>Gouveia, L. (1998). *Sociedade Digital: que oportunidades?*. Da Rosa, V. 
and Castillo, S. (eds.) Pós-Colonialismo e Identidade, UFP, Porto, pp 
181-189. Porto, Maio. ISBN 972-8184-30-1
texto [ HTML ]</t>
  </si>
  <si>
    <t>1998</t>
  </si>
  <si>
    <t xml:space="preserve"> *Sociedade Digital: que oportunidades?*. </t>
  </si>
  <si>
    <t>Relatóriosacadémicos / Academic reports</t>
  </si>
  <si>
    <t>teses e dissertações / thesis and dissertations</t>
  </si>
  <si>
    <t>Gouveia, L. (2010). *Relatório Lição de Síntese: A Sociedade da Informação. 
implicações para o indivíduo e para a organização*. Apresentação no âmbito 
das provas públicas de Agregação em Engenharia e Gestão Industrial. 
Universidade de Aveiro, 17 de Junho.</t>
  </si>
  <si>
    <t xml:space="preserve"> *Relatório Lição de Síntese: A Sociedade da Informação. </t>
  </si>
  <si>
    <t>Gouveia, L. (2010). *Relatório da Unidade Curricular Gestão do Conhecimento*. 
Apresentação no âmbito das provas públicas de Agregação em Engenharia e 
Gestão Industrial. Universidade de Aveiro, 16 de Junho.</t>
  </si>
  <si>
    <t xml:space="preserve"> *Relatório da Unidade Curricular Gestão do Conhecimento*. </t>
  </si>
  <si>
    <t>Gouveia, L. (2008) *O Digital e a sua relação com as fronteiras físicas dos 
Estados*. Trabalho de investigação individual (TII). Curso de Defesa 
Nacional 2007/2008, Instituto de Defesa Nacional, Agosto de 2008.
texto [ pdf (136KB) ]</t>
  </si>
  <si>
    <t xml:space="preserve"> Curso de Defesa 
Nacional 2007/2008, Instituto de Defesa Nacional, Agosto de 2008.
</t>
  </si>
  <si>
    <t>Gouveia, L. (2002). *A Visualisation Design for Sharing Knowledge, A 
virtual environment for collaborative learning support*. PhD Thesis Viva. 
Computer Science Department. Lancaster University, England, UK. 19th March. 
presentation [ pdf(24KB)]</t>
  </si>
  <si>
    <t xml:space="preserve"> *A Visualisation Design for Sharing Knowledge, A 
virtual environment for collaborative learning support*. </t>
  </si>
  <si>
    <t>Gouveia, L. (2001). *A Visualisation Design for Sharing Knowledge, A 
virtual environment for collaborative learning support*. PhD Thesis. 
Computer Science Department. Lancaster University, England, UK, December. 
final version [ pdf(34MB)]</t>
  </si>
  <si>
    <t>Gouveia, L. (1999). *Second year PhD report.* Away Day, CSEG Group, 
Lancaster University. Lancaster, UK, November 
report [ pdf (30KB) ] presentation [ pdf(555KB) ]</t>
  </si>
  <si>
    <t>1999</t>
  </si>
  <si>
    <t xml:space="preserve"> *Second year PhD report.*</t>
  </si>
  <si>
    <t>Gouveia, L. (1998). *First year PhD report.* Lancaster University. 
Lancaster, UK, 6 November 
paper [ pdf (30KB) ] presentation [ pdf(555KB) ]</t>
  </si>
  <si>
    <t xml:space="preserve"> *First year PhD report.*</t>
  </si>
  <si>
    <t>Gouveia, L. (1995). *Aplicações multimédia para o Sistema de Informação da 
Empresa.* Dissertação de Mestrado, FEUP-DEEC. Universidade do Porto. 
Dezembro. Porto
[ pdf (22,1MB) ou Descrição em HTML ]</t>
  </si>
  <si>
    <t>1995</t>
  </si>
  <si>
    <t xml:space="preserve"> *Aplicações multimédia para o Sistema de Informação da 
Empresa.*</t>
  </si>
  <si>
    <t>Zagallo, J. e Gouveia, L. (1989). *O serviço Videotex*. Projecto final de 
licenciatura. Departamento de Informática. Universidade Portucalense. UPIH. 
Julho. Porto.</t>
  </si>
  <si>
    <t xml:space="preserve">Zagallo, J. e Gouveia, L. </t>
  </si>
  <si>
    <t>1989</t>
  </si>
  <si>
    <t xml:space="preserve"> *O serviço Videotex*. </t>
  </si>
  <si>
    <t>relatórios internos / internal reports</t>
  </si>
  <si>
    <t>Sargo, S.; Gouveia, L. e Reis, P. (2019). Utilização da metodologia da sala 
de aula invertida (flipped classroom): análise de eficiência dos 
instrumentos e resultados do experimento piloto.  Relatório Interno 1/2019. 
*TRS Tecnologia, Redes e Sociedade. Janeiro. Universidade Fernando Pessoa.  
[ handle ]</t>
  </si>
  <si>
    <t xml:space="preserve">Sargo, S.; Gouveia, L. e Reis, P. </t>
  </si>
  <si>
    <t xml:space="preserve"> Utilização da metodologia da sala 
de aula invertida (flipped classroom): análise de eficiência dos 
instrumentos e resultados do experimento piloto. </t>
  </si>
  <si>
    <t>Barros, V. e Gouveia, L. (2018). Contribuições para a discussão de um 
modelo de avaliação do impacto social. Relatório Interno 10/2018. *TRS 
Tecnologia, Redes e Sociedade. Novembro. Universidade Fernando Pessoa. 
[ handle ]</t>
  </si>
  <si>
    <t xml:space="preserve">Barros, V. e Gouveia, L. </t>
  </si>
  <si>
    <t xml:space="preserve"> Contribuições para a discussão de um 
modelo de avaliação do impacto social. </t>
  </si>
  <si>
    <t>Correia, A. e Gouveia, L. (2018). FIWARE: uma plataforma de desenvolvimento 
de soluções inteligentes. Relatório Interno 09/2018. *TRS Tecnologia, Redes 
e Sociedade. Junho. Universidade Fernando Pessoa.
[ handle ]</t>
  </si>
  <si>
    <t xml:space="preserve"> FIWARE: uma plataforma de desenvolvimento 
de soluções inteligentes. </t>
  </si>
  <si>
    <t>Menezes, N. e Gouveia, L. (2018). O Recurso a TIC para suporte de atividade 
em sala de aula, teste piloto. Relatório Interno 08/2018. *TRS Tecnologia, 
Redes e Sociedade. Junho. Universidade Fernando Pessoa.
[ handle ]</t>
  </si>
  <si>
    <t xml:space="preserve"> O Recurso a TIC para suporte de atividade 
em sala de aula, teste piloto. </t>
  </si>
  <si>
    <t>Cordeiro, S. e Gouveia, L. (2018). Regulamento Geral de Proteção de Dados 
(RGPD): o novo pesadelo das empresas? Relatório Interno 07/2018. *TRS 
Tecnologia, Redes e Sociedade. Maio. Universidade Fernando Pessoa.
[ handle ]</t>
  </si>
  <si>
    <t xml:space="preserve">Cordeiro, S. e Gouveia, L. </t>
  </si>
  <si>
    <t xml:space="preserve"> Regulamento Geral de Proteção de Dados 
(RGPD): o novo pesadelo das empresas? Relatório Interno 07/2018. </t>
  </si>
  <si>
    <t>Araújo, A. e Gouveia, L. (2018). Questionário sobre o nível de utilização e 
importância das TICs numa IES a Coordenadores de Curso. Teste Piloto. 
Relatório Interno 06/2018. *TRS Tecnologia, Redes e Sociedade. Maio. 
Universidade Fernando Pessoa.
[ handle ]</t>
  </si>
  <si>
    <t xml:space="preserve"> Questionário sobre o nível de utilização e 
importância das TICs numa IES a Coordenadores de Curso. </t>
  </si>
  <si>
    <t>Lopes, S.; Gouveia, L. e Reis, P. (2018). Experimento prático de uma aula 
sobre Diagramas de Classe (UML), com a utilização da metodologia da “sala 
de aula invertida” (Flipped Classroom). Relatório Interno 05/2018. *TRS 
Tecnologia, Redes e Sociedade. Abril. Universidade Fernando Pessoa.
[ handle ]</t>
  </si>
  <si>
    <t xml:space="preserve"> Experimento prático de uma aula 
sobre Diagramas de Classe (UML), com a utilização da metodologia da “sala 
de aula invertida” (Flipped Classroom). </t>
  </si>
  <si>
    <t>Araújo, A. e Gouveia, L. (2018). Questionário sobre o nível de utilização e 
importância das TICs numa IES. Teste Piloto. Relatário Interno 04/2018. 
*TRS Tecnologia, Redes e Sociedade. Abril. Universidade Fernando Pessoa.
[ handle ]</t>
  </si>
  <si>
    <t xml:space="preserve"> Questionário sobre o nível de utilização e 
importância das TICs numa IES. </t>
  </si>
  <si>
    <t>Gouveia, L. (2018). Contributos para a escrita e organização da estrutura 
do relatório final de doutoramento: a tese. Relatório Interno 03/2018. *TRS 
Tecnologia, Redes e Sociedade. Março. Universidade Fernando Pessoa.
[ handle ]</t>
  </si>
  <si>
    <t xml:space="preserve"> Contributos para a escrita e organização da estrutura 
do relatório final de doutoramento: a tese. </t>
  </si>
  <si>
    <t>Araújo, A. e Gouveia, L. (2018). Pressupostos sobre a pesquisa científica e 
os testes piloto. Relatório Interno 02/2018. *TRS Tecnologia, Redes e 
Sociedade. Março. Universidade Fernando Pessoa.
[ handle ]</t>
  </si>
  <si>
    <t xml:space="preserve"> Pressupostos sobre a pesquisa científica e 
os testes piloto. </t>
  </si>
  <si>
    <t>Khan, S. and Gouveia, L. (2018). *Digital Transformation Journey: a 
discussion*. Internal Report 01/2018. *TRS Technology, Networks and 
Society. March. University Fernando Pessoa. 
[ handle ]</t>
  </si>
  <si>
    <t xml:space="preserve"> *Digital Transformation Journey: a 
discussion*. </t>
  </si>
  <si>
    <t>Gouveia, L. e Morgado, R. (2017). *Estratégia Nacional de Segurança do 
Ciberespaço.* Relatório Interno 10/2017. *TRS Tecnologia, Redes e 
Sociedade. Junho. Universidade Fernando Pessoa.
[ handle ]</t>
  </si>
  <si>
    <t xml:space="preserve">Gouveia, L. e Morgado, R. </t>
  </si>
  <si>
    <t xml:space="preserve"> *Estratégia Nacional de Segurança do 
Ciberespaço.*</t>
  </si>
  <si>
    <t>Correia, A. e Gouveia, L. (2017).*Um Estudo sobre a Qualidade de Vida na 
Cidade do Porto: exploração de um post no Facebook.* Relatório Interno 
09/2017. *TRS Tecnologia, Redes e Sociedade. Junho. Universidade Fernando 
Pessoa.
[ handle ]</t>
  </si>
  <si>
    <t>*Um Estudo sobre a Qualidade de Vida na 
Cidade do Porto: exploração de um post no Facebook.*</t>
  </si>
  <si>
    <t>Rocha, L. e Gouveia, L. (2017). *Aplicação de questionário sobre consumo de 
bens e serviços na Economia Partilhada.* Relatório Interno 08/2017. *TRS 
Tecnologia, Redes e Sociedade. Junho. Universidade Fernando Pessoa.
[ handle ]</t>
  </si>
  <si>
    <t xml:space="preserve"> *Aplicação de questionário sobre consumo de 
bens e serviços na Economia Partilhada.*</t>
  </si>
  <si>
    <t>Filho, R e Gouveia, L. (2017). *Proposta de renovação da rede lógica do 
MT-Hemocentro.* Relatório Interno 07/2017. *TRS Tecnologia, Redes e 
Sociedade. Maio. Universidade Fernando Pessoa.
[ handle ]</t>
  </si>
  <si>
    <t xml:space="preserve">Filho, R e Gouveia, L. </t>
  </si>
  <si>
    <t xml:space="preserve"> *Proposta de renovação da rede lógica do 
MT-Hemocentro.*</t>
  </si>
  <si>
    <t>Quental, C. e Gouveia, L. (2017). *Modelo de mediação digital para 
participação pública em sindicatos. Um relato das experiências realizadas*. 
Relatório Interno 06/2017. *TRS Tecnologia, Redes e Sociedade. Abril. 
Universidade Fernando Pessoa.
[ handle ]</t>
  </si>
  <si>
    <t xml:space="preserve"> *Modelo de mediação digital para 
participação pública em sindicatos. </t>
  </si>
  <si>
    <t>Khan, S. and Gouveia, L. (2017). *EMSL Framework: (Minimum Service Level 
Framework) for Cloud Providers and Users*. Internal Report 05/2017. *TRS 
Technology, Networks and Society. April. University Fernando Pessoa. 
[ handle ]</t>
  </si>
  <si>
    <t xml:space="preserve"> *EMSL Framework: (Minimum Service Level 
Framework) for Cloud Providers and Users*. </t>
  </si>
  <si>
    <t>Nogueira, D. e Gouveia, L.  (2017). *Estudo Preliminar sobre a Rede 
Nacional de Escolas de Governo do Brasil*. Relatório Interno 04/2017. Grupo 
Tecnologia, Redes e Sociedade. Abril. Universidade Fernando Pessoa.
[ handle ]</t>
  </si>
  <si>
    <t xml:space="preserve">Nogueira, D. e Gouveia, L.  </t>
  </si>
  <si>
    <t xml:space="preserve"> *Estudo Preliminar sobre a Rede 
Nacional de Escolas de Governo do Brasil*. </t>
  </si>
  <si>
    <t>Gouveia, L. (2017). *Sobre o trabalho de mestrado: informação de contexto e 
estrutura tipo da dissertação.*Relatório Interno TRS 03/2017. Grupo 
Tecnologia, Redes e Sociedade. Março. Universidade Fernando Pessoa. 
[ handle ]</t>
  </si>
  <si>
    <t xml:space="preserve"> *Sobre o trabalho de mestrado: informação de contexto e 
estrutura tipo da dissertação.*</t>
  </si>
  <si>
    <t>Salimo, G. e Gouveia, L. (2017). *Questionário sobre o nível de utilização 
e importância das TICs nas IES por Professores, Alunos e Funcionários. 
Teste piloto.*Relatório Interno TRS 02/2017. Grupo Tecnologia, Redes e 
Sociedade. Março. Universidade Fernando Pessoa. 
[ handle ]</t>
  </si>
  <si>
    <t xml:space="preserve">Salimo, G. e Gouveia, L. </t>
  </si>
  <si>
    <t xml:space="preserve"> *Questionário sobre o nível de utilização 
e importância das TICs nas IES por Professores, Alunos e Funcionários. </t>
  </si>
  <si>
    <t>Marin, D. e Gouveia, L. (2017). *Contributos para a melhoria do serviço 
prestado pela Prefeitura Municipal de Paulo Bento. Análise de processos de 
compras e licitações.*Relatório Interno TRS 01/2017. Grupo Tecnologia, 
Redes e Sociedade. Fevereiro. Universidade Fernando Pessoa. 
[ handle ]</t>
  </si>
  <si>
    <t xml:space="preserve">Marin, D. e Gouveia, L. </t>
  </si>
  <si>
    <t xml:space="preserve"> *Contributos para a melhoria do serviço 
prestado pela Prefeitura Municipal de Paulo Bento. </t>
  </si>
  <si>
    <t>Robalo, A. e Gouveia, L. (2016). *As competências em TIC para professores: 
estudo da proposta UNESCO de 2008*. Relatório Interno TRS 02/2016. Grupo 
tecnologia, Redes e Sociedade. Fevereiro. Universidade Fernando Pessoa.
[ handle ]</t>
  </si>
  <si>
    <t xml:space="preserve"> *As competências em TIC para professores: 
estudo da proposta UNESCO de 2008*. </t>
  </si>
  <si>
    <t>Salimo, G. e Gouveia, L.  (2016). *Ensino Superior em Moçambique. Os 
desafios da gestão na Era Digital*. Relatório Interno TRS 01/2016. Grupo 
Tecnologia, Redes e Sociedade. Fevereiro. Universidade Fernando Pessoa.
[ handle ]</t>
  </si>
  <si>
    <t xml:space="preserve">Salimo, G. e Gouveia, L.  </t>
  </si>
  <si>
    <t xml:space="preserve"> *Ensino Superior em Moçambique. </t>
  </si>
  <si>
    <t>Robalo, A. e Gouveia, L.  (2015). *Aplicação do questionário a professores 
do Município do Huambo (Angola) sobre competências TIC para professores: 
Teste Piloto*. Relatório Interno TRS 04/2015. Grupo Tecnologia, Redes e 
Sociedade. Julho. Universidade Fernando Pessoa.
[ handle ]</t>
  </si>
  <si>
    <t xml:space="preserve">Robalo, A. e Gouveia, L.  </t>
  </si>
  <si>
    <t xml:space="preserve"> *Aplicação do questionário a professores 
do Município do Huambo (Angola) sobre competências TIC para professores: 
Teste Piloto*. </t>
  </si>
  <si>
    <t>Robalo, A. e  Gouveia, L.  (2015). *Análise preliminar do questionário a 
professores do Município do Huambo (Angola) sobre competências TIC para 
professores.* Relatório Interno TRS 03/2015. Grupo Tecnologia, Redes e 
Sociedade. Julho. Universidade Fernando Pessoa. 
[ handle ]</t>
  </si>
  <si>
    <t xml:space="preserve">Robalo, A. e  Gouveia, L.  </t>
  </si>
  <si>
    <t xml:space="preserve"> *Análise preliminar do questionário a 
professores do Município do Huambo (Angola) sobre competências TIC para 
professores.*</t>
  </si>
  <si>
    <t>Martins, O. e Gouveia, L. (2015).* As Bibliotecas e o Ensino Superior: uma 
reflexão preliminar*. Relatório Interno TRS 02/2015. Grupo Tecnologia, 
Redes e Sociedade. Julho. Universidade Fernando Pessoa. 
[ handle ]</t>
  </si>
  <si>
    <t xml:space="preserve">* As Bibliotecas e o Ensino Superior: uma 
reflexão preliminar*. </t>
  </si>
  <si>
    <t>Alfredo, P. e Gouveia, L. (2015). *Aplicação do questionário aos cidadãos 
sobre o governo eletrónico local: teste piloto*. Relatório Interno TRS 
01/2015. Grupo Tecnologia, Redes e Sociedade. Junho. Universidade Fernando 
Pessoa.
[ handle ]</t>
  </si>
  <si>
    <t xml:space="preserve"> *Aplicação do questionário aos cidadãos 
sobre o governo eletrónico local: teste piloto*. </t>
  </si>
  <si>
    <t>António, F. e Gouveia, L. (2014). *Análise de um sistema de backoffice de 
Ensino a Distância para a Universidade Católica de Angola*. Relatório 
Interno TRS 03/2014. Grupo Tecnologia, Redes e Sociedade. Junho. 
Universidade Fernando Pessoa.
[ handle ]</t>
  </si>
  <si>
    <t xml:space="preserve">António, F. e Gouveia, L. </t>
  </si>
  <si>
    <t xml:space="preserve"> *Análise de um sistema de backoffice de 
Ensino a Distância para a Universidade Católica de Angola*. </t>
  </si>
  <si>
    <t>António, F. e Gouveia, L. (2014). *Estudo preliminar de um Sistema de 
Acolhimento para Alunos da Universidade Católica de Angola*. Relatório 
Interno TRS 02/2014. Grupo Tecnologia, Redes e Sociedade. Junho. 
Universidade Fernando Pessoa.
[ handle ]</t>
  </si>
  <si>
    <t xml:space="preserve"> *Estudo preliminar de um Sistema de 
Acolhimento para Alunos da Universidade Católica de Angola*. </t>
  </si>
  <si>
    <t>Salimo, G. e Gouveia, L. (2014). *Estudo preliminar para a Adopção de 
Práticas de EAD na UniZambeze*. Relatório Interno TRS 01/2014. Grupo 
Tecnologia, Redes e Sociedade. Junho. Universidade Fernando Pessoa.
[ handle ]</t>
  </si>
  <si>
    <t xml:space="preserve"> *Estudo preliminar para a Adopção de 
Práticas de EAD na UniZambeze*. </t>
  </si>
  <si>
    <t>Robalo, A. e Gouveia, L. (2013). *Aplicação das TICs no Instituto Superior 
de Ciências de Educação: uma nova metodologia para o currículo de 
Informática*. Relatório Interno TRS 02/2013. Grupo Tecnologia, Redes e 
Sociedade. Outubro. Universidade Fernando Pessoa.
[ handle ]</t>
  </si>
  <si>
    <t xml:space="preserve"> *Aplicação das TICs no Instituto Superior 
de Ciências de Educação: uma nova metodologia para o currículo de 
Informática*. </t>
  </si>
  <si>
    <t>Simões, L. e Gouveia, L. (2013). *Estudo exploratório sobre a utilização de 
Web 2.0 por Docentes do Ensino Superior*. Relatório Interno TRS 01/2013. 
Grupo Tecnologia, Redes e Sociedade. Maio. Universidade Fernando Pessoa.
[ handle ]</t>
  </si>
  <si>
    <t xml:space="preserve">Simões, L. e Gouveia, L. </t>
  </si>
  <si>
    <t>Fernandes, N.; Gouveia, L. and Gouveia, F. (2009) *UFP-UV: UFP in the Sakai 
Project*. Internal Report 04/2009. CEREM - UFP. Multimedia Resource Centre, 
University Fernando Pessoa. 
texto [ pdf (188KB) ] | handle</t>
  </si>
  <si>
    <t xml:space="preserve">Fernandes, N.; Gouveia, L. and Gouveia, F. </t>
  </si>
  <si>
    <t xml:space="preserve">Fern;es, N.; Gouveia, L. ; Gouveia, F. </t>
  </si>
  <si>
    <t>Abrantes, S. e Gouveia, L. (2009) *Avaliação do uso do m-learning no 
contexto de sala de aula no Ensino Superior*. Relatório Interno 03/2009. 
CEREM - UFP. Centro de Estudos e Recursos Multimediáticos, Universidade 
Fernando Pessoa.
texto [ pdf (374KB) ] | handle</t>
  </si>
  <si>
    <t>Abrantes, S. e Gouveia, L. (2009) *Estudo da percepção e potencial do uso 
de aplicações móveis para ambientes colaborativos*. Relatório Interno 
02/2009. CEREM - UFP. Centro de Estudos e Recursos Multimediáticos, 
Universidade Fernando Pessoa.
texto [ pdf (533KB) ] | handle</t>
  </si>
  <si>
    <t>Abrantes, S. e Gouveia, L. (2009) *Estudo de percepção do uso de 
dispositivos móveis no Ensino Superior*. Relatório Interno 01/2009. CEREM - 
UFP. Centro de Estudos e Recursos Multimediáticos, Maio. Universidade 
Fernando Pessoa.
texto [ pdf(512KB)] | handle</t>
  </si>
  <si>
    <t>Rurato, P.; Gouveia, L. e Gouveia, J. (2005) *As Características dos 
Aprendentes na Educação a Distância: factores de motivação*. Relatório 
Interno 01/2005. CEREM, Centro de Estudos e Recursos Multimediáticos. 
Outubro. Universidade Fernando Pessoa.
texto [ pdf (240KB) ] | handle</t>
  </si>
  <si>
    <t xml:space="preserve">Rurato, P.; Gouveia, L. e Gouveia, J. </t>
  </si>
  <si>
    <t xml:space="preserve"> Gouveia, L. e Gouveia, J. </t>
  </si>
  <si>
    <t>Rurato, P. e Gouveia, L. (2005). *Uma reflexão sobre o perfil dos 
Aprendentes Adultos no Ensino a Distância*. Relatório Interno 02/2005. 
CEREM Centro de Estudos e Recursos Multimediáticos. Abril, Porto. Universidade 
Fernando Pessoa. 
texto [ pdf(296KB) ] | handle</t>
  </si>
  <si>
    <t xml:space="preserve">Rurato, P. e Gouveia, L. </t>
  </si>
  <si>
    <t xml:space="preserve"> *Uma reflexão sobre o perfil dos 
Aprendentes Adultos no Ensino a Distância*. </t>
  </si>
  <si>
    <t>Gouveia, F. and Gouveia, L. (2005). C*ollaborative open-source software: 
the case of e-learning at University Fernando Pessoa*. Working Paper 
01/2005. Multimedia Resource Centre. Porto. University Fernando Pessoa. 
texto [ pdf (121KB) ] | handle</t>
  </si>
  <si>
    <t xml:space="preserve">Gouveia, F. and Gouveia, L. </t>
  </si>
  <si>
    <t xml:space="preserve"> C*ollaborative open-source software: 
the case of e-learning at University Fernando Pessoa*. </t>
  </si>
  <si>
    <t xml:space="preserve">Gouveia, F. ; Gouveia, L. </t>
  </si>
  <si>
    <t>Gouveia, L. (2004). *A brief survey on Cognitive Maps as Humane 
Representations.* Internal report nº1/2004. Multimedia Resource Centre. 
Porto. University Fernando Pessoa. 
paper [ pdf(263KB) ] | handle</t>
  </si>
  <si>
    <t xml:space="preserve"> *A brief survey on Cognitive Maps as Humane 
Representations.*</t>
  </si>
  <si>
    <t>Gouveia, L. and Gouveia, F. (2001). *An evaluation of the Well Path 
elearning platform.* RI CEREM 01/2001. Multimedia Resource Centre. 
Technical Report. July 2001. University Fernando Pessoa. 
paper [ pdf(226KB)] | handle</t>
  </si>
  <si>
    <t xml:space="preserve"> *An evaluation of the Well Path 
elearning platform.*</t>
  </si>
  <si>
    <t>Gouveia, L. et al. (2000). *Proposing a knowledge network to assist 
education, training and learning.* CSEG/2/00. Cooperative System 
Engineering Group. Technical Reports 2000. Lancaster University. 
paper [ pdf(425KB)]</t>
  </si>
  <si>
    <t xml:space="preserve">Gouveia, L. et al. </t>
  </si>
  <si>
    <t xml:space="preserve"> *Proposing a knowledge network to assist 
education, training and learning.*</t>
  </si>
  <si>
    <t>Gouveia, L. et al. (2000). *Informing an information discovery tool for 
using gesture*. CSEG/1/00. Cooperative System Engineering Group. Technical 
Reports 2000. Lancaster University. 
paper [ pdf(12KB)]</t>
  </si>
  <si>
    <t xml:space="preserve"> *Informing an information discovery tool for 
using gesture*. </t>
  </si>
  <si>
    <t>relatórios de trabalho e projectos / work amd project reports</t>
  </si>
  <si>
    <t>Gouveia, L. (2018). Evento de apresentações e partilha de conhecimento PhD 
CC, SiTeGI. Dia do Doutoramento em Ciências da Informação, ramo Tecnologia, 
Sistemas e Gestão da Informação. 20 de Julho. Universidade Fernando Pessoa. 
[ handle ]</t>
  </si>
  <si>
    <t xml:space="preserve"> Evento de apresentações e partilha de conhecimento PhD 
CC, SiTeGI. </t>
  </si>
  <si>
    <t>Gouveia, L. (coord). (2009). *Modelos de Governação na Sociedade da 
Informação e do Conhecimento*. Apresentação de Estudo APDSI. Associação 
para a Promoção e Desenvolvimento da Sociedade da Informação. 
apresentação [ slideshare ]</t>
  </si>
  <si>
    <t>coor</t>
  </si>
  <si>
    <t xml:space="preserve"> (2009). </t>
  </si>
  <si>
    <t>Serrano, A. (redator); Gonçalves, F.; Santos, L.; Amaral, L.; Gouveia, L.; 
Neto, P.; Anunciação, P.; Vidigal, R. e Quaresma, R. (2007). *O Papel da 
Sociedade da Informação no aproximar das Regiões*. Estudo da APDSI. 
Associação Portuguesa para o Desenvolvimento da Sociedade da Informação. 
Setembro.
texto [ pdf (948KB) ]</t>
  </si>
  <si>
    <t xml:space="preserve">Serrano, A. </t>
  </si>
  <si>
    <t>reda</t>
  </si>
  <si>
    <t xml:space="preserve"> *O Papel da 
Sociedade da Informação no aproximar das Regiões*. </t>
  </si>
  <si>
    <t>Gouveia, L. (2006). *O Contributo das Cidades e Regiões Digitais para o 
aproximar das regiões*. Contribuição para o grupo de interesse da APDSI: O 
Papel da Sociedade da Informação no aproximar das Regiões. Associação 
Portuguesa para o Desenvolvimento da Sociedade da Informação.
texto [ pdf (56KB) ]</t>
  </si>
  <si>
    <t xml:space="preserve"> *O Contributo das Cidades e Regiões Digitais para o 
aproximar das regiões*. </t>
  </si>
  <si>
    <t>Gouveia, L. e Gouveia, J. e Amaral, L. e Carvalho, J. (2003). *Workshop 
Cidades Digitais*. Integrado na 4ª Conferência da Associação Portuguesa de 
Sistemas de Informação. UPT, Porto. 15 de Outubro.
e-book [ pdf (108KB) ]</t>
  </si>
  <si>
    <t xml:space="preserve">Gouveia, L. e Gouveia, J. e Amaral, L. e Carvalho, J. </t>
  </si>
  <si>
    <t xml:space="preserve"> *Workshop 
Cidades Digitais*. </t>
  </si>
  <si>
    <t>*Conferências Internacionais* / *International Conferences*</t>
  </si>
  <si>
    <t>comunicações convidadas / invited talks, keynotes</t>
  </si>
  <si>
    <t>Gouveia, L. (2015). *Where is the Wisdom we lost in knowledge: security 
issues and human relationships in social media*. Invited Keynote at ECSM 
2015. 2nd European Conference on Social Media. Porto, Portugal. 9th July 
2015. 
[ handle]</t>
  </si>
  <si>
    <t xml:space="preserve"> *Where is the Wisdom we lost in knowledge: security 
issues and human relationships in social media*. </t>
  </si>
  <si>
    <t>Gouveia, L. (2015). G*estão da Informação em Museus. Uma contribuição para 
o seu estudo*. As Artes e as Ciências em Diálogo. Congresso Internacional 
2015. 23 e 24 de Fevereiro. Ordem dos Médicos. Green Lines Instituto. 
Porto. Portugal. 
[ handle ]</t>
  </si>
  <si>
    <t xml:space="preserve"> G*estão da Informação em Museus. </t>
  </si>
  <si>
    <t>Gouveia, L. (2015). *Cidades Inteligentes: um novo espaço digital para a 
cidade*. Palestra Cidades Inteligentes. Apresentação convidada, keynote. X 
Congresso Mundial de Administração. Auditório da Universidade Fernando 
Pessoa. 19 de Janeiro. 
[ handle ]</t>
  </si>
  <si>
    <t xml:space="preserve"> *Cidades Inteligentes: um novo espaço digital para a 
cidade*. </t>
  </si>
  <si>
    <t>Gouveia, L. (2013). *Informing at the new UFP Hospital playing with 
information and the digital challenge*. Plenary Session and Keynote 
presentation. InSITE 2013: Informing Science + IT Education Conferences. 
3rd July. 
[ keynote ]</t>
  </si>
  <si>
    <t xml:space="preserve"> *Informing at the new UFP Hospital playing with 
information and the digital challenge*. </t>
  </si>
  <si>
    <t>comunicações / papers track</t>
  </si>
  <si>
    <t>Sargo, S.; Gouveia, L. e Reis, P. (2019). A Sala de Aula Invertida num 
Cenário Potencial de Integração com a Wikipédia. International Wiki 
Scientific Conference (IWSC). 12-15 March. Presentation, 12th March. 
Faculty of Arts and Humanities of the University of Porto.
[ handle ]</t>
  </si>
  <si>
    <t xml:space="preserve"> A Sala de Aula Invertida num 
Cenário Potencial de Integração com a Wikipédia. </t>
  </si>
  <si>
    <t>International Wiki 
Scientific Conference (IWSC).</t>
  </si>
  <si>
    <t>Gouveia, L. (2018). Uso e exploração das TIC para melhorar a condição 
humana, no contexto do ensino especial. Painel 2. A Dimensão Tecnológica na 
Educação Especial. VI Congresso Ibérico Educação Especial. Educação e 
Inclusão na Lusofonia. 16 de novembro. Misericórdia do Porto. Porto.
[ handle ]</t>
  </si>
  <si>
    <t xml:space="preserve"> Uso e exploração das TIC para melhorar a condição 
humana, no contexto do ensino especial. </t>
  </si>
  <si>
    <t>Araújo, P. e Gouveia, L. (2018). Educação Especial e a Cultura Digital: 
passos de uma trajetória de desafios e de construção de uma Educação 
Inclusiva. VI Congresso Ibérico Educação Especial. Educação e Inclusão na 
Lusofonia. 16 de novembro. Misericórdia do Porto. Porto.
[ handle ]</t>
  </si>
  <si>
    <t xml:space="preserve"> Educação Especial e a Cultura Digital: 
passos de uma trajetória de desafios e de construção de uma Educação 
Inclusiva. </t>
  </si>
  <si>
    <t>Domingues, F. e Gouveia, L. (2018). Treinar o sono. É possível? VI 
Congresso Ibérico Educação Especial. Educação e Inclusão na Lusofonia. 16 
de novembro. Misericórdia do Porto. Porto.
[ handle ]</t>
  </si>
  <si>
    <t xml:space="preserve">Domingues, F. e Gouveia, L. </t>
  </si>
  <si>
    <t xml:space="preserve"> Treinar o sono. </t>
  </si>
  <si>
    <t>Araújo, P. e Gouveia, L. (2018). Educação Especial na Cidade de Betim – 
Minas Gerais. Poster. VI Congresso Ibérico Educação Especial. Educação e 
Inclusão na Lusofonia. 16 de novembro. Misericórdia do Porto. Porto.
[ handle ]</t>
  </si>
  <si>
    <t xml:space="preserve"> Educação Especial na Cidade de Betim – 
Minas Gerais. </t>
  </si>
  <si>
    <t>Costa, O. e Gouveia, L. (2018). Dropout in distance learning: A reference 
model for an integrated alert system. 9th Euro American Conference on 
Telematics and Information Systems (EATIS 2018). 12-15th November. Poster. 
Fortaleza. Brasil.</t>
  </si>
  <si>
    <t xml:space="preserve">Costa, O. e Gouveia, L. </t>
  </si>
  <si>
    <t xml:space="preserve"> Dropout in distance learning: A reference 
model for an integrated alert system. </t>
  </si>
  <si>
    <t>9th Euro American Conference on 
Telematics and Information Systems (EATIS 2018).</t>
  </si>
  <si>
    <t>Martins, E.; Geraldes, W.; Afonseca, U. e Gouveia, L. (2018). O Uso do 
WhatsApp na Aprendizagem: Uma Experiência no Ensino Superior. 18ª 
Conferência da Associação Portuguesa de Sistemas de Informação (CAPSI 
2018). 12-13 de Outubro. Santarém. Instituto Politécnico de Santarém.
[ handle ]</t>
  </si>
  <si>
    <t xml:space="preserve">Martins, E.; Geraldes, W.; Afonseca, U. e Gouveia, L. </t>
  </si>
  <si>
    <t xml:space="preserve"> O Uso do 
WhatsApp na Aprendizagem: Uma Experiência no Ensino Superior. </t>
  </si>
  <si>
    <t>18ª 
Conferência da Associação Portuguesa de Sistemas de Informação (CAPSI 
2018).</t>
  </si>
  <si>
    <t xml:space="preserve"> Afonseca, U. e Gouveia, L. </t>
  </si>
  <si>
    <t>Martins, E.; Geraldes, W.; Afonseca, U. e Gouveia, L. (2018). Uso do kahoot 
como ferramenta de aprendizagem. 18ª Conferência da Associação Portuguesa 
de Sistemas de Informação (CAPSI 2018). 12-13 de Outubro. Santarém. 
Instituto Politécnico de Santarém.
[ handle ]</t>
  </si>
  <si>
    <t xml:space="preserve"> Uso do kahoot 
como ferramenta de aprendizagem. </t>
  </si>
  <si>
    <t>18ª Conferência da Associação Portuguesa 
de Sistemas de Informação (CAPSI 2018).</t>
  </si>
  <si>
    <t>Martins, E.; Trindade, G.; Geraldes, W.; Afonseca, U. e Gouveia, L. (2018). 
Desenvolvimento de Aplicativo Móvel para Carona Acadêmica. 18ª Conferência 
da Associação Portuguesa de Sistemas de Informação (CAPSI 2018). 12-13 de 
Outubro. Santarém. Instituto Politécnico de Santarém.
[ handle ]</t>
  </si>
  <si>
    <t xml:space="preserve">Martins, E.; Trindade, G.; Geraldes, W.; Afonseca, U. e Gouveia, L. </t>
  </si>
  <si>
    <t xml:space="preserve"> 
Desenvolvimento de Aplicativo Móvel para Carona Acadêmica. </t>
  </si>
  <si>
    <t>18ª Conferência 
da Associação Portuguesa de Sistemas de Informação (CAPSI 2018).</t>
  </si>
  <si>
    <t xml:space="preserve"> Trindade, G.</t>
  </si>
  <si>
    <t>Silva, P. and Gouveia, L. (2018). A Model for Construction of high Quality 
Learning Environments - The relevant facts. EDULEARN18, 10th annual 
International Conference on Education and New Learning Technologies. 
Virtual Presentation. International Academy of Technology, Education and 
Development (IATED). 2-4 July. Palma de Mallorca, Spain. 
[ handle ]</t>
  </si>
  <si>
    <t xml:space="preserve"> A Model for Construction of high Quality 
Learning Environments - The relevant facts. </t>
  </si>
  <si>
    <t>EDULEARN18, 10th annual 
International Conference on Education and New Learning Technologies. 
Virtual Presentation. International Academy of Technology, Education and 
Development (IATED).</t>
  </si>
  <si>
    <t>Silva, P. and Gouveia, L. (2018). The key factors for a learning space - 
time, space and activity. EDULEARN18, 10th annual International Conference 
on Education and New Learning Technologies. Virtual Presentation. 
International Academy of Technology, Education and Development (IATED). 2-4 
July. Palma de Mallorca, Spain. 
[ handle ]</t>
  </si>
  <si>
    <t xml:space="preserve"> The key factors for a learning space - 
time, space and activity. </t>
  </si>
  <si>
    <t>EDULEARN18, 10th annual International Conference 
on Education and New Learning Technologies. Virtual Presentation. 
International Academy of Technology, Education and Development (IATED).</t>
  </si>
  <si>
    <t>Araújo, A. e Gouveia, L. (2018). Tecnologia de Informação e Educação 
aplicada ao Ensino SuperiorPercepções em uma IES em Belém do Pará. 
Seminário de Pesquisa. IV Seminário ForTEC. tecnologias digitais, Redes e 
Educação: perspectivas contemporâneas. 29 e 30 de Mai. Teatro UNEB. 
Salvador. Brasil. Anais do Seminário do ForTEC. Salvador, UNEB, DEDCI, 
PPGEduC. Vol III Formação e Hipertexto, pp 1056-1066. ISSN 2525-7625.
[ handle ]</t>
  </si>
  <si>
    <t xml:space="preserve"> Tecnologia de Informação e Educação 
aplicada ao Ensino SuperiorPercepções em uma IES em Belém do Pará. </t>
  </si>
  <si>
    <t>Gouveia, L. (2018). Geography and its digital dimensions: a cities related 
discussion to join European inheritage. Congresso Internacional da Primeira 
Guerra Mundial. Centenário da Batalha de La Lys. Universidade Fernando 
Pessoa. Porto, Portugal. 9 a 11 de abril. 
[ handle ]</t>
  </si>
  <si>
    <t xml:space="preserve"> Geography and its digital dimensions: a cities related 
discussion to join European inheritage. </t>
  </si>
  <si>
    <t>Sousa, A.; Agante, P.; Abrantes, S. and Gouveia, L. (2018). LIBEROPINION – 
A Web Platform for Public Participation. Paper Session 5: Digital 
Participation, Engagement, and Empowerment. 4th April. 11th International 
Conference on Theory and Practice of Electronic Governance (ICEGOV2018). 
4-6 April. Galway. Ireland. 
[ presentation ]</t>
  </si>
  <si>
    <t xml:space="preserve">Sousa, A.; Agante, P.; Abrantes, S. and Gouveia, L. </t>
  </si>
  <si>
    <t xml:space="preserve"> LIBEROPINION – 
A Web Platform for Public Participation. </t>
  </si>
  <si>
    <t>Paper Session 5: Digital 
Participation, Engagement, and Empowerment. 4th April. 11th International 
Conference on Theory and Practice of Electronic Governance (ICEGOV2018).</t>
  </si>
  <si>
    <t xml:space="preserve">Sousa, A.; Agante, P.; Abrantes, S. ; Gouveia, L. </t>
  </si>
  <si>
    <t xml:space="preserve"> Agante, P.</t>
  </si>
  <si>
    <t xml:space="preserve"> Abrantes, S. </t>
  </si>
  <si>
    <t>Khan, S. and Gouveia, L. (2017). An Empirical Factors that Influences the 
Adoption and Selection of Internet Service. Fourth Information Technology 
Trends (ITT 2017). 25-26 October. Higher Colleges of Technology - Al Ain 
Women’s College (AAWC). United Arabe Emirates (UAE).  
[ handle ]</t>
  </si>
  <si>
    <t xml:space="preserve"> An Empirical Factors that Influences the 
Adoption and Selection of Internet Service. </t>
  </si>
  <si>
    <t>Fourth Information Technology 
Trends (ITT 2017).</t>
  </si>
  <si>
    <t>Araújo, P. e Gouveia, L. (2017). Plataforma Digital: Gestão da Informação e 
do Conhecimento. Esfera Digital Educacional. Apresentação oral do Poster. 
Colóquio Internacional EUTIC 2017. 20 de Outubro. Recife. Brasil.
[ handle ]</t>
  </si>
  <si>
    <t xml:space="preserve"> Plataforma Digital: Gestão da Informação e 
do Conhecimento. </t>
  </si>
  <si>
    <t>Araújo, P. e Gouveia, L. (2017). Cultura Digital: uma discussão para uso e 
transformação no acesso e exploração da informação. Poster. Colóquio 
Internacional EUTIC 2017. Recife. Brasil.
[ handle ]</t>
  </si>
  <si>
    <t xml:space="preserve"> Cultura Digital: uma discussão para uso e 
transformação no acesso e exploração da informação. </t>
  </si>
  <si>
    <t>Salimo, G. e Gouveia, L. (2017). Contributos para o Ensino Superior em 
Moçambique. Os Desafios da Era Digital. Artigo REF nº 6953. 8º Congresso 
Luso-Moçambicano de Engenharia / V Congresso de Engenharia de Moçambique. 
CLME 2017/VCEM. Maputo, Moçambique. 4 a 8 de Setembro. Ed: J. F. Silva 
Gomes et al.; Publ: INEGI/FEUP. 
[ paper ]</t>
  </si>
  <si>
    <t xml:space="preserve"> Contributos para o Ensino Superior em 
Moçambique. </t>
  </si>
  <si>
    <t>Araújo, P. e Gouveia, L. (2017). Governança Digital com o recurso de uma 
plataforma para a gestão da informação do Centro de Referência e Apoio a 
Educação Inclusiva. 14th CONTECSI – International Conference On Information 
Systems and Technology Management. Universidade de São Paulo (USP). Brasil. 
24 a 26 de Maio. pp 5258-5275. ISSN 2448-1041. DOI: 
10.5748/9788599693131-14CONTECSI/DOC-5099
[ paper ]</t>
  </si>
  <si>
    <t xml:space="preserve"> Governança Digital com o recurso de uma 
plataforma para a gestão da informação do Centro de Referência e Apoio a 
Educação Inclusiva. </t>
  </si>
  <si>
    <t>14th CONTECSI – International Conference On Information 
Systems and Technology Management. Universidade de São Paulo (USP).</t>
  </si>
  <si>
    <t>Daradkeh, Y. and Gouveia, L.  (2017). *Keep using day-to-day tools in the 
classroom.*Workshop Perspectives of modern education and use of innovative 
technologies in training. International Scientific and Methodological 
Workshop.  March, 14th. The Faculty of Basic Training of Kazakh university 
of Economics, Finance and International trade. 
[ handle ]</t>
  </si>
  <si>
    <t xml:space="preserve">Daradkeh, Y. and Gouveia, L.  </t>
  </si>
  <si>
    <t xml:space="preserve"> *Keep using day-to-day tools in the 
classroom.*</t>
  </si>
  <si>
    <t xml:space="preserve">Daradkeh, Y. ; Gouveia, L.  </t>
  </si>
  <si>
    <t xml:space="preserve"> Gouveia, L.  </t>
  </si>
  <si>
    <t>Quental, C. and Gouveia, L. (2016). e-consultation as a tool for 
participation in teachers’ unions. The greater the focus, the greater the 
number of visits. Full Paper. 11ª Conferência Ibérica de Sistemas e 
Tecnologias de Informação. 15 a 18 de Junho. Gran Canaria. Canarias. 
Espanha. In Rocha, A. et al. (2016). CISTI Proceedings. Vol I, pp 502-508. 
ISBN 978-989-98434-6-2.</t>
  </si>
  <si>
    <t xml:space="preserve"> e-consultation as a tool for 
participation in teachers’ unions. </t>
  </si>
  <si>
    <t>The greater the focus, the greater the 
number of visits. Full Paper. 11ª Conferência Ibérica de Sistemas e 
Tecnologias de Informação. 15 a 18 de Junho. Gran Canaria. Canarias. 
Espanha. In Rocha, A. et al. (2016).</t>
  </si>
  <si>
    <t>Oliveira, M.; Louzada, M. e Gouveia, L. (2016). Desenvolvimento de um 
algoritmo avançado para mensuração de densidade óssea baseado na 
densitometria radiográfica. Symposium Doctoral Paper. 11ª Conferência 
Ibérica de Sistemas e Tecnologias de Informação. 15 a 18 de Junho. Gran 
Canaria. Canarias. Espanha. In Rocha, A. et al. (2016). CISTI Proceedings. 
Vol II, pp 25-29. ISBN 978-989-98434-6-2.</t>
  </si>
  <si>
    <t xml:space="preserve">Oliveira, M.; Louzada, M. e Gouveia, L. </t>
  </si>
  <si>
    <t xml:space="preserve"> Desenvolvimento de um 
algoritmo avançado para mensuração de densidade óssea baseado na 
densitometria radiográfica. </t>
  </si>
  <si>
    <t>Symposium Doctoral Paper. 11ª Conferência 
Ibérica de Sistemas e Tecnologias de Informação. 15 a 18 de Junho. Gran 
Canaria. Canarias. Espanha. In Rocha, A. et al. (2016).</t>
  </si>
  <si>
    <t xml:space="preserve"> Louzada, M. e Gouveia, L. </t>
  </si>
  <si>
    <t>Daradkeh, Y; Pascal, O. Gouveia, L. (2015). Information Overload: a 
preliminary discussion. III International Scientific and Practical 
Conference Information Technologies. Problems and Solutions. 20-22 May. 
Ufa. Republic of Bashkortostan. Russia.</t>
  </si>
  <si>
    <t xml:space="preserve">Daradkeh, Y; Pascal, O. Gouveia, L. </t>
  </si>
  <si>
    <t xml:space="preserve"> Information Overload: a 
preliminary discussion. </t>
  </si>
  <si>
    <t xml:space="preserve"> Pascal, O. Gouveia, L. </t>
  </si>
  <si>
    <t>Oliveira, M.; Nakamura, E.; Gouveia, L.; Massunari, L. &amp; Louzada, M. 
(2015). *Computational solution "ODR-ATA" to mesurement of bone density 
from radiographic density*. 4th Joint Meeting of ECTS and IBMS. European 
Calcified Tissue Society International Bone &amp; Mineral Society. The 
Netherlands, Rotterdam. 25-28 April. ECTS-IBMS Abstracts (2015), pp 77. 
Poster on proceedings: IBMS BoneKEy 13, Article number: 673 (2015) | 
doi:10.1038/bonekey.2015.40</t>
  </si>
  <si>
    <t xml:space="preserve">Oliveira, M.; Nakamura, E.; Gouveia, L.; Massunari, L. &amp; Louzada, M. 
</t>
  </si>
  <si>
    <t xml:space="preserve"> *Computational solution "ODR-ATA" to mesurement of bone density 
from radiographic density*. </t>
  </si>
  <si>
    <t xml:space="preserve"> Nakamura, E.</t>
  </si>
  <si>
    <t xml:space="preserve"> Gouveia, L.</t>
  </si>
  <si>
    <t xml:space="preserve"> Massunari, L. &amp; Louzada, M. 
</t>
  </si>
  <si>
    <t>Leal, J. e Gouveia, L. (2015). MOOC: Towards a Discourse on Higher 
Education Change. SEMiME. International Conference on Digital Exclusion in 
the Information and Knowledge Society. January 30-31. Lisbon, 
Portugal.ISBN: 9789727352043, pp 60-61.</t>
  </si>
  <si>
    <t xml:space="preserve"> MOOC: Towards a Discourse on Higher 
Education Change. </t>
  </si>
  <si>
    <t>Leal, J. e Gouveia, L. (2014). MOOC: qual o papel na reconceptualização da 
Universidade? X EUTIC, Papel das TIC no Design de Processos Informacionais 
e Cognitivos. 22-24 de Outubro. Universidade Nova de Lisboa. In Tomé, I. 
(2015). Actas da X Conferência Internacional EUTIC 2014, pp 387-394.  ISBN 
978-989-95846-2-4.
[ handle ]</t>
  </si>
  <si>
    <t xml:space="preserve"> MOOC: qual o papel na reconceptualização da 
Universidade? X EUTIC, Papel das TIC no Design de Processos Informacionais 
e Cognitivos. </t>
  </si>
  <si>
    <t>22-24 de Outubro. Universidade Nova de Lisboa. In Tomé, I. 
(2015).</t>
  </si>
  <si>
    <t>Gouveia, L. (2014). Uma reflexão sobre o digital e o impacte no trabalho. 
XVI Congresso Internacional de Formação para o Trabalho Norte de Portugal - 
Galiza. Porto. 16 de Outubro.
[ handle ]</t>
  </si>
  <si>
    <t>Sousa, A.; Agante, P.; Quental, C; Gouveia, L. (2014). *Model of Digital 
Mediation to support Communication between Teachers Unions and the 
Education Community*. International Conference on Electronic Government and 
the Information Systems Perspective (EGOVIS 2014). September 1-3, 2014, 
Munich, Germany. 
[ presentation ]</t>
  </si>
  <si>
    <t xml:space="preserve">Sousa, A.; Agante, P.; Quental, C; Gouveia, L. </t>
  </si>
  <si>
    <t xml:space="preserve"> *Model of Digital 
Mediation to support Communication between Teachers Unions and the 
Education Community*. </t>
  </si>
  <si>
    <t>International Conference on Electronic Government and 
the Information Systems Perspective (EGOVIS 2014).</t>
  </si>
  <si>
    <t xml:space="preserve"> Quental, C</t>
  </si>
  <si>
    <t>Sousa, A.; Agante, P.; Gouveia, L. (2014). *Communication Model for 
Generalist News Media Websites*. International Conference on Future 
Information Engineering (FIE 2014), July 7-8, 2014, Beijing, China). 
[ paper ]</t>
  </si>
  <si>
    <t xml:space="preserve">Sousa, A.; Agante, P.; Gouveia, L. </t>
  </si>
  <si>
    <t xml:space="preserve"> *Communication Model for 
Generalist News Media Websites*. </t>
  </si>
  <si>
    <t>International Conference on Future 
Information Engineering (FIE 2014), July 7-8, 2014, Beijing, China).</t>
  </si>
  <si>
    <t>Salimo, G. e Gouveia, L. (2014). *Estudo preliminar para a adopção de 
práticas de EAD na Unizambeze*. In Gomes; António, C.; Afonso, . e Matos, 
A. (eds). Proceedings CLME2014 - 7º Congresso Luso-Moçambicano de 
Engenharia e IVCEM - 4º Congresso de Engenharia de Moçambique. Livro de 
Atas de Conferência Internacional, pp 17-18. ISBN: 978-989-98832-0-8.
[ handle ]</t>
  </si>
  <si>
    <t xml:space="preserve"> *Estudo preliminar para a adopção de 
práticas de EAD na Unizambeze*. </t>
  </si>
  <si>
    <t>In Gomes; António, C.; Afonso, . e Matos, 
A. (eds).</t>
  </si>
  <si>
    <t>Sousa, A.; Agante, P.; Gouveia, L. (2014). *Proposta de um Modelo Funcional 
para iniciativas de mediação digital em campanhas eleitorais*. Alvaro, R. 
et al. (eds). (2014). Sistemas y Tecnologías de Información. Actas de la 9ª 
Conferencia Ibérica de Sistemas y Tecnologías de Información. Barcelona, 
España. 18 al 21 de Junio de 2014 AISTI | La Salle URL | UPM | UOLS. ISBN: 
978-989-98434-3-1, Vol 1. pp 725-730.</t>
  </si>
  <si>
    <t xml:space="preserve"> *Proposta de um Modelo Funcional 
para iniciativas de mediação digital em campanhas eleitorais*. </t>
  </si>
  <si>
    <t>Alvaro, R. 
et al. (eds).</t>
  </si>
  <si>
    <t>Rurato, P.; Gouveia, L. (2014). *The importance of the learner’s 
characteristics in distance learning environments: a case study*. Alvaro, 
R. et al. (eds). (2014). Sistemas y Tecnologías de Información. Actas de la 
9ª Conferencia Ibérica de Sistemas y Tecnologías de Información. Barcelona, 
España. 18 al 21 de Junio de 2014 AISTI | La Salle URL | UPM | UOLS. ISBN: 
978-989-98434-3-1, Vol 2. pp 247-253. Vol 1. pp 856-861.</t>
  </si>
  <si>
    <t xml:space="preserve">Rurato, P.; Gouveia, L. </t>
  </si>
  <si>
    <t xml:space="preserve"> *The importance of the learner’s 
characteristics in distance learning environments: a case study*. </t>
  </si>
  <si>
    <t>Alvaro, 
R. et al. (eds).</t>
  </si>
  <si>
    <t>Quental, C.; Gouveia, L. (2014). *Participação pública com recurso a meios 
digitais: será que os políticos utilizam novos meios com estratégias 
antigas*. Alvaro, R. et al. (eds). (2014). Sistemas y Tecnologías de 
Información. Actas de la 9ª Conferencia Ibérica de Sistemas y Tecnologías 
de Información. Barcelona, España. 18 al 21 de Junio de 2014 AISTI | La 
Salle URL | UPM | UOLS. ISBN: 978-989-98434-3-1, Vol 2. pp 247-253.</t>
  </si>
  <si>
    <t xml:space="preserve">Quental, C.; Gouveia, L. </t>
  </si>
  <si>
    <t xml:space="preserve"> *Participação pública com recurso a meios 
digitais: será que os políticos utilizam novos meios com estratégias 
antigas*. </t>
  </si>
  <si>
    <t>Alvaro, R. et al. (eds).</t>
  </si>
  <si>
    <t>Leal, J.; Gouveia, L. (2014). *MOOC e reconceptualização do Ensino na 
Universidade*. Alvaro, R. et al. (eds). (2014). Sistemas y Tecnologías de 
Información. Actas de la 9ª Conferencia Ibérica de Sistemas y Tecnologías 
de Información. Barcelona, España. 18 al 21 de Junio de 2014 AISTI | La 
Salle URL | UPM | UOLS. ISBN: 978-989-98434-3-1, Vol 2. pp 226-228.</t>
  </si>
  <si>
    <t xml:space="preserve">Leal, J.; Gouveia, L. </t>
  </si>
  <si>
    <t xml:space="preserve"> *MOOC e reconceptualização do Ensino na 
Universidade*. </t>
  </si>
  <si>
    <t>Sousa, A.; Agante, P.; Gouveia, L. (2014). *Communication Model for Sports 
Media Web Portals*. 2014 AASRI Conference on  Sports Engineering and 
Computer Science (SECS 2014). June 21-22, 2014, London, England. 
[ paper ]</t>
  </si>
  <si>
    <t xml:space="preserve"> *Communication Model for Sports 
Media Web Portals*. </t>
  </si>
  <si>
    <t>2014 AASRI Conference on  Sports Engineering and 
Computer Science (SECS 2014).</t>
  </si>
  <si>
    <t>Martins, S.; Lopes, A.; Gouveia, L. (2014). Issues and specifications on a 
prescription system for controlling patient takes and  drugs usage. 2nd 
IPLeiria International Health Congress: Challenges &amp; Innovation in Health 
(Health@IPLeiria 2014). Instituto Politécnico de Leiria, 9-10 Maio, Leiria, 
Portugal. 
[ presentation ]</t>
  </si>
  <si>
    <t xml:space="preserve">Martins, S.; Lopes, A.; Gouveia, L. </t>
  </si>
  <si>
    <t xml:space="preserve"> Issues and specifications on a 
prescription system for controlling patient takes and  drugs usage. </t>
  </si>
  <si>
    <t>2nd 
IPLeiria International Health Congress: Challenges &amp; Innovation in Health 
(Health@IPLeiria 2014).</t>
  </si>
  <si>
    <t xml:space="preserve"> Lopes, A.</t>
  </si>
  <si>
    <t>Sousa, A.; Agante, P. and Gouveia, L. (2013). Model of Digital Mediation 
for Direct Public Participation in electoral Periods. How important are the 
Media? ICEGOV. 7th International Conference on Theory and Practice of 
Electronic Governance. 22-25 October. Seoul. Korea, pp 303-312. ISBN 
78-1-4503-2456-4. 
[ presentation ]</t>
  </si>
  <si>
    <t xml:space="preserve"> Model of Digital Mediation 
for Direct Public Participation in electoral Periods. </t>
  </si>
  <si>
    <t>Silva, P and Gouveia, L. (2013). The Impact of Digital in Learning Spaces: 
An Analysis on the Perspective of Teachers in Higher Education. Proceedings 
of Informing Science &amp; IT Education Conference (InSiITE). 2013, pp 521-529. 
ISBN 9781932886719. 
[ paper | presentation ]</t>
  </si>
  <si>
    <t xml:space="preserve">Silva, P and Gouveia, L. </t>
  </si>
  <si>
    <t xml:space="preserve"> The Impact of Digital in Learning Spaces: 
An Analysis on the Perspective of Teachers in Higher Education. </t>
  </si>
  <si>
    <t>Proceedings 
of Informing Science &amp; IT Education Conference (InSiITE).</t>
  </si>
  <si>
    <t xml:space="preserve">Silva, P ; Gouveia, L. </t>
  </si>
  <si>
    <t>Robalo, A. e Gouveia, L. (2013). As Tecnologias na Educação: um novo olhar 
pedagógico no ambiente virtual Edmodo. Encuentro por la unidad de los 
educadores. Pedagogia 2013. Palacio de Convenciones de La Habana, del 4 al 
8 de Febrero. Cuba. Actas em CD-ROM. ISBN 978-959-18-0870-3.
[ paper ]</t>
  </si>
  <si>
    <t xml:space="preserve"> As Tecnologias na Educação: um novo olhar 
pedagógico no ambiente virtual Edmodo. </t>
  </si>
  <si>
    <t>Gouveia, L. (2012). The Information Warfare - how it can affect us. 
International Conference Rethinking Warfare. 9-10th November. Universidade 
Fernando Pessoa.
[ slideshare ]</t>
  </si>
  <si>
    <t xml:space="preserve"> The Information Warfare - how it can affect us. </t>
  </si>
  <si>
    <t>Sousa, A. e Gouveia, L. (2012). Proposta de mediação digital para a 
participação pública directa em períodos eleitorais. In Rocha, A. et al. 
(2012). Sistemas y tecnologías de Información. Actas de la 7ª Conferencia 
Ibérica de Sistemas y Tecnologías de Información. Madrid, España. 20 al 23 
de Junio. AISTI, vol I - Artículo, tomo 1, pp 602-606. ISBN: 
978-989-96247-6-4.
[ paper: zip ]</t>
  </si>
  <si>
    <t xml:space="preserve">Sousa, A. e Gouveia, L. </t>
  </si>
  <si>
    <t xml:space="preserve"> Proposta de mediação digital para a 
participação pública directa em períodos eleitorais. </t>
  </si>
  <si>
    <t>In Rocha, A. et al. 
(2012).</t>
  </si>
  <si>
    <t>Fidalgo, F. and Gouveia, L. (2012). Turnover and ICT Contribution in 
Organizational Knowledge Management. The Fourth International Conference on 
Information, Process, and Knowledge Management. eKnow 2012. January 30 - 
February 4. Valencia, Spain. Proceeding of the eKnow 2012 conference. 
IARIA, pp 40-46. ISBN: 978-1-61208-181-6.</t>
  </si>
  <si>
    <t xml:space="preserve">Fidalgo, F. and Gouveia, L. </t>
  </si>
  <si>
    <t xml:space="preserve"> Turnover and ICT Contribution in 
Organizational Knowledge Management. </t>
  </si>
  <si>
    <t xml:space="preserve">Fidalgo, F. ; Gouveia, L. </t>
  </si>
  <si>
    <t>Abrantes, S. e Gouveia, L. (2011). Assessing the use of m-learning support 
in an higher education context - A study approach based in the innovation 
spreading. 6th European Conference on Innovation and Entrepreneurship (ECIE 
2011). 15-16 September. Aberdeen, Scotland. Proceedings of ECIE 2011, pp 
13-23. ISBN: 978-908272.</t>
  </si>
  <si>
    <t xml:space="preserve"> Assessing the use of m-learning support 
in an higher education context - A study approach based in the innovation 
spreading. </t>
  </si>
  <si>
    <t>6th European Conference on Innovation and Entrepreneurship (ECIE 
2011).</t>
  </si>
  <si>
    <t>Peres, P.; Gouveia, L. and Pimenta, P. (2011). Blended-learning Strategies 
in Higher Education. The 3rd annual International Conference on Education 
and New Learning Technologies. EDULERN11. 4-6 July. Barcelon. Spain. 
Edulearn11 Proceedings, pp 1857-1866. ISBN 978-84-615-0441-1.</t>
  </si>
  <si>
    <t xml:space="preserve">Peres, P.; Gouveia, L. and Pimenta, P. </t>
  </si>
  <si>
    <t xml:space="preserve"> Blended-learning Strategies 
in Higher Education. </t>
  </si>
  <si>
    <t xml:space="preserve">Peres, P.; Gouveia, L. ; Pimenta, P. </t>
  </si>
  <si>
    <t xml:space="preserve"> Pimenta, P. </t>
  </si>
  <si>
    <t>Abrantes, S. e Gouveia, L. (2011). Assessing Messaging Activity In An 
Online Discussion Forum Using an Innovation Adoption Approach. Proceedings 
of ICTEL 2011 - International Conference on Technology-enhanced Learning. 
25-27 Julho. Sofia, Bulgária, pp614-623. ISBN 978-3-89958-541-4.</t>
  </si>
  <si>
    <t xml:space="preserve"> Assessing Messaging Activity In An 
Online Discussion Forum Using an Innovation Adoption Approach. </t>
  </si>
  <si>
    <t>Silva, P. e Gouveia, L. (2011). On Learning Spaces in Higher Education: 
Space as an Agent of Change. Proceedings of Informing Science &amp; IT 
Education Conference (InSite) 2011. 18-23 Junho. Novi Sad, Serbia, 
pp537-543. ISSN 1535-07-03.</t>
  </si>
  <si>
    <t xml:space="preserve">Silva, P. e Gouveia, L. </t>
  </si>
  <si>
    <t xml:space="preserve"> On Learning Spaces in Higher Education: 
Space as an Agent of Change. </t>
  </si>
  <si>
    <t>Abrantes, S. e Gouveia, L. (2011). Comparing Google Groups use by 
evaluating flow experience and generated messages in laptop and desktop 
higher education students. Proceedings of Informing Science &amp; IT Education 
Conference (InSite) 2011. 18-23 Junho. Novi Sad, Serbia, pp1-20. ISSN 
1535-07-03.</t>
  </si>
  <si>
    <t xml:space="preserve"> Comparing Google Groups use by 
evaluating flow experience and generated messages in laptop and desktop 
higher education students. </t>
  </si>
  <si>
    <t>Fidalgo, F. e Gouveia, L. (2011). O impacto da rotatividade na Gestão do 
Conhecimento Organizacional. A rotatividade nas actividades imobiliárias em 
Portugal. *Actas da CISTI  2011 - 6ª Conferência Ibérica de Sistemas e 
Tecnologias de Informação*. Vol 1, pp 459-464. ISSN: 978-989-96247-4-0.</t>
  </si>
  <si>
    <t xml:space="preserve">Fidalgo, F. e Gouveia, L. </t>
  </si>
  <si>
    <t xml:space="preserve"> O impacto da rotatividade na Gestão do 
Conhecimento Organizacional. </t>
  </si>
  <si>
    <t>Abrantes, S. e Gouveia, L. (2011). Avaliação do uso do Google Groups com 
desktops ou laptops enquanto ambiente colaborativo: o caso da qualidade das 
mensagens. *CISTI 2011. 15-18 Junho. Chaves, Portugal.* Actas da CISTI  
2011 - 6ª Conferência Ibérica de Sistemas e Tecnologias de Informação. Vol 
2, pp 144-149. ISSN: 978-989-96247-5-7.</t>
  </si>
  <si>
    <t xml:space="preserve"> Avaliação do uso do Google Groups com 
desktops ou laptops enquanto ambiente colaborativo: o caso da qualidade das 
mensagens. </t>
  </si>
  <si>
    <t>Sousa, A. e Gouveia, L. (2011). Governómetro: uma Aplicação Web para 
Monitorizar a Actividade Governativa. *CISTI 2011. 15-18 Junho. Chaves, 
Portugal.* Actas da CISTI  2011 - 6ª Conferência Ibérica de Sistemas e 
Tecnologias de Informação. Vol 2, pp 129-132. ISSN: 978-989-96247-5-7.</t>
  </si>
  <si>
    <t xml:space="preserve"> Governómetro: uma Aplicação Web para 
Monitorizar a Actividade Governativa. </t>
  </si>
  <si>
    <t>Peres, P. e Pimenta, P. e Gouveia, L. (2011). Planeamento pedagógico: 
documentos, mobilidade e reutilização. Um protótipo para gerir a descrição 
de unidades curriculares no contexto do ensino superior. *CISTI 2011. 15-18 
Junho. Chaves, Portugal.* Actas da CISTI  2011 - 6ª Conferência Ibérica de 
Sistemas e Tecnologias de Informação. Vol 2, pp 45-49. ISSN: 
978-989-96247-5-7.</t>
  </si>
  <si>
    <t xml:space="preserve">Peres, P. e Pimenta, P. e Gouveia, L. </t>
  </si>
  <si>
    <t xml:space="preserve"> Planeamento pedagógico: 
documentos, mobilidade e reutilização. </t>
  </si>
  <si>
    <t>Peres, P. e Gouveia, L. (2011). The e-learning in the Portuguese Higher 
Education: past, present and future. INTE 2011. International Conference on 
New Horizons in Education. Instituto Politécnico da Guarda, Portugal, 8-10 
July. In Isman, A and Sousa, C. (2011). INTE 2011 Proceedings Book. pp 
703-712.</t>
  </si>
  <si>
    <t xml:space="preserve"> The e-learning in the Portuguese Higher 
Education: past, present and future. </t>
  </si>
  <si>
    <t>INTE 2011. International Conference on 
New Horizons in Education. Instituto Politécnico da Guarda, Portugal, 8-10 
July. In Isman, A and Sousa, C. (2011).</t>
  </si>
  <si>
    <t>Silva, P. and Gouveia, L. (2011). Learning Spaces Framework Qualitative 
findings. ED-MEDIA 2011, World Conference on Educational Multimedia, 
Hypermedia &amp; Telecommunications, Lisbon, Portugal, June 27-July 1. In 
Bastiaens, T. &amp; Ebner, M. (Eds). Proceedings of World Conference on 
Educational Multimedia, Hypermedia and Telecommunications 2011. Chesapeake, 
VA: AACE, pp2439-2444. ISBN 1-880094-35-X.</t>
  </si>
  <si>
    <t xml:space="preserve"> Learning Spaces Framework Qualitative 
findings. </t>
  </si>
  <si>
    <t>ED-MEDIA 2011, World Conference on Educational Multimedia, 
Hypermedia &amp; Telecommunications, Lisbon, Portugal, June 27-July 1. In 
Bastiaens, T. &amp; Ebner, M. (Eds).</t>
  </si>
  <si>
    <t>Dias, A.; Santos, C.; Costa, C.; Gouveia, L.; Peres, P.; Simões, P. e 
Torrão, S. (2010). Workshop sobre LMS vs PLE: fusão ou choque? TICEduca 
2010. Lisboa, 20 de Novembro.
paper [ slideshare ]</t>
  </si>
  <si>
    <t xml:space="preserve">Dias, A.; Santos, C.; Costa, C.; Gouveia, L.; Peres, P.; Simões, P. e 
Torrão, S. </t>
  </si>
  <si>
    <t xml:space="preserve"> Workshop sobre LMS vs PLE: fusão ou choque? TICEduca 
2010. </t>
  </si>
  <si>
    <t xml:space="preserve"> Santos, C.</t>
  </si>
  <si>
    <t xml:space="preserve"> Costa, C.</t>
  </si>
  <si>
    <t xml:space="preserve"> Peres, P.</t>
  </si>
  <si>
    <t xml:space="preserve"> Simões, P. e 
Torrão, S. </t>
  </si>
  <si>
    <t>Abrantes, S. e Gouveia, L. (2010). A comparison study on early adoption of 
mobile devices and desktops within collaborative environments in higher 
education. 15th IBIMA Conference in Cairo, Egypt 6-7 November 2010. 
Conference proceedings full paper. ISBN: 978-0-9821489-4-5.</t>
  </si>
  <si>
    <t xml:space="preserve"> A comparison study on early adoption of 
mobile devices and desktops within collaborative environments in higher 
education. </t>
  </si>
  <si>
    <t>Sousa, A.; Agante, P. and Gouveia, L. (2010). *Liberopinion: a Web Platform 
for Enhancing e-Democracy*. Cunningham, P. and Cunningham, M. (eds) (2010). 
eChallenges e-2010 Conference Proceedings. IIMC International Information 
Management Corporation. IEEE Xplore Digital Library. ISBN: 
978-1-905824-21-2 
paper [ pdf (292KB)]</t>
  </si>
  <si>
    <t xml:space="preserve"> *Liberopinion: a Web Platform 
for Enhancing e-Democracy*. </t>
  </si>
  <si>
    <t>Cunningham, P. and Cunningham, M. (eds) (2010).</t>
  </si>
  <si>
    <t>Sousa, A.; Agante, P. and Gouveia, L. (2010). Governmeter: monitoring 
government performance. A Web Based Application Proposal. Andersen, K. et 
al. (Eds.): EGOVIS 2010. *Lecture Notes on Computer Science*. 
Springer-Verlag Berlin Heidelberg. LNCS 6267, pp. 158–165.</t>
  </si>
  <si>
    <t xml:space="preserve"> Governmeter: monitoring 
government performance. </t>
  </si>
  <si>
    <t>Sousa, A.; Agante, P. and Gouveia, L. (2010). *Liberopinion: a Web Platform 
for Enhancing e-Democracy*. Cunningham, P. and Cunningham, M. (eds) (2010). 
eChallenges e-2010 Conference Proceedings. IIMC International Information 
Management Corporation. ISBN: 978-1-905824-20 
presentation [ slideshare ]</t>
  </si>
  <si>
    <t>Abrantes, S. e Gouveia, L. (2010). Laptops vs Desktops in a Google Groups 
environment. 13th Interactive Computer Aided Learning (ICL) 2010. 15-17 
September. Hasselt, Belgium. ICL2010 Proceedings on CD ISBN: 978-3-89958 
paper [  pdf (KB)] | apresentação [ slideshare ]</t>
  </si>
  <si>
    <t xml:space="preserve"> Laptops vs Desktops in a Google Groups 
environment. </t>
  </si>
  <si>
    <t>Abrantes, S. e Gouveia, L. (2010). A study on the usage of mobile devices 
in collaborative environments vs desktops. International Conference on 
e-Business (ICE-B) 2010. 26-28 July. Athens, Greece. (poster) 
paper [ ieeeXplore ] | poster [ slideshare ]</t>
  </si>
  <si>
    <t xml:space="preserve"> A study on the usage of mobile devices 
in collaborative environments vs desktops. </t>
  </si>
  <si>
    <t>Sousa, A. e Gouveia, L. (2010). *Liberopinion: uma plataforma para Eleições 
2.0*. Rocha, A. e tal. (2010). Actas da 5º CISTI – Sistemas y Tecnologías 
de Información. AISTI. Santiago de Compostela, Espanã. Vol I – Artículos, 
pp 468-472. ISBN: 978-989-96247-3-3.
paper [ ieeeXplore ] | presentation [ slideshare ]</t>
  </si>
  <si>
    <t xml:space="preserve"> *Liberopinion: uma plataforma para Eleições 
2.0</t>
  </si>
  <si>
    <t>*. Rocha, A. e tal. (2010).</t>
  </si>
  <si>
    <t>Abrantes, S. e Gouveia, L. (2010). Using Google Groups in an m-learning 
environment. International Conference on Education and New Learning 
Technologies EDULEARN10. 5-7 July. Barcelona, Spain. EDULEARN10 Proceedings 
on CD.
ISBN: 978-84-613-9386-2 
paper [ pdf (KB)] | apresentação [ slideshare ]</t>
  </si>
  <si>
    <t xml:space="preserve"> Using Google Groups in an m-learning 
environment. </t>
  </si>
  <si>
    <t>Abrantes, S. e Gouveia, L. (2010). Learning Environments. InSite 2010. 
19-24 Junho. Cassino, Italy. Proceedings of Informing Science &amp; IT 
Education Conference (InSITE) 2010, pp 449-466. ISSN: 1535-07-03. 
paper [  pdf ] | apresentação [ slideshare ]</t>
  </si>
  <si>
    <t xml:space="preserve"> Learning Environments. </t>
  </si>
  <si>
    <t>Sousa, A.; Agante, P. and Gouveia, L. (2010). *Liberopinion as an enabling 
platform for elections 2.0: a case study*. EPMA – European Projects &amp; 
Management. Praha. Czech Republic, 21-23 April. 
Presentation [ slideshare ]</t>
  </si>
  <si>
    <t xml:space="preserve"> *Liberopinion as an enabling 
platform for elections 2.0</t>
  </si>
  <si>
    <t>Silva, P. e Gouveia, L. (2010). A geração digital no novo mundo 
empresarial. XI Conferência Internacional de Educação em Engenharia e 
Tecnologia INTERTECH’ 2010. Ilhéus. Baia. Brasil, 7-10 de Março. ISBN: 
978858912075-3.
apresentação [ slideshare ]</t>
  </si>
  <si>
    <t xml:space="preserve"> A geração digital no novo mundo 
empresarial. </t>
  </si>
  <si>
    <t>Gouveia, L. (2009). *O Conceito de Rede no Digital face aos Media Sociais.* 
XI Forum «Communiquer et Entreprendre». 26/27 Novembre. RCMFM et Université 
Fernando Pessoa. Porto, Portugal.
paper [ pdf (496KB)] | apresentação [ slideshare ]</t>
  </si>
  <si>
    <t xml:space="preserve"> *O Conceito de Rede no Digital face aos Media Sociais.*</t>
  </si>
  <si>
    <t>Gouveia, L. e Gouveia, F. (2009). *Sakai as a Collaborative Open-source 
learning platform for use at University Fernando Pessoa.* IBIMA Conference. 
13th IBIMA Conference on Knowledge Management and Innovation in Advancing 
Economies. 9-10 November 2009. Marrakech, Morocco. 
paper [ pdf (48KB)]</t>
  </si>
  <si>
    <t xml:space="preserve">Gouveia, L. e Gouveia, F. </t>
  </si>
  <si>
    <t xml:space="preserve"> *Sakai as a Collaborative Open-source 
learning platform for use at University Fernando Pessoa.*</t>
  </si>
  <si>
    <t>Gouveia, L. e Gouveia, F. (2009). *Sakai experience from a real setting. 
(Our) Current ideas on how to explore the Digital Opportunity.* EDEN 
Conference. The Seventh Open Classroom Conference Incubating Creativity and 
the Capacity for Innovation: open content, social networking tools and 
creative learning for all. 15-17 October 2009. Porto, Portugal. 
presentation [ slideshare ]</t>
  </si>
  <si>
    <t xml:space="preserve"> *Sakai experience from a real setting. </t>
  </si>
  <si>
    <t>*Simões, L. e Gouveia, L . (2009)* Schools and Social Software Appropriation. 
VI Conferência Internacional de TIC na Educação - Challenges 2009. Universidade 
do Minho. 14 e 15 de Maio, Braga. 
presentation [ pdf(88KB) ]</t>
  </si>
  <si>
    <t xml:space="preserve">*Simões, L. e Gouveia, L . </t>
  </si>
  <si>
    <t>Gaio, S.; Gouveia, L. and Gouveia, J. (2008). *Netorwork Based Branding: a 
collaborative model for the development of place brands*. International 
Conference Marketing Cities: Place Branding in Perspective. 4-6th December. 
Berlin, City Hall. 
presentation [ pdf(209KB) ]</t>
  </si>
  <si>
    <t xml:space="preserve">Gaio, S.; Gouveia, L. and Gouveia, J. </t>
  </si>
  <si>
    <t xml:space="preserve"> *Netorwork Based Branding: a 
collaborative model for the development of place brands*. </t>
  </si>
  <si>
    <t xml:space="preserve">Gaio, S.; Gouveia, L. ; Gouveia, J. </t>
  </si>
  <si>
    <t>Silva, P. e Gouveia, L. (2008). *Learning space*. World Conference on 
Educational Multimedia, Hypermedia &amp; Telecommunications. ED-MEDIA 08. 
Vienna University of Technology. Vienna, Austria. June 30 - July 4. 
paper [ pdf 108KB) ] | presentation [ pdf(536KB) ]</t>
  </si>
  <si>
    <t xml:space="preserve"> *Learning space*. </t>
  </si>
  <si>
    <t>Simões, L. e Gouveia, L. (2008). *Web 2.0 and Higher Education: Pedagogical 
Implications*. Higher Education: New Challenges and Emerging Roles for 
Human and Social Development. 4th International Barcelona Conference on 
Higher Education Technical University of Catalonia (UPC). 31 March, 1-2 
April. Proceedings of the 4th International Barcelona Conference on Higher 
Education, Vol. 2. Knowledge technologies for social transformation. 
Barcelona: GUNI. Available at http://www.guni-rmies.net. 
paper [ pdf (82KB) ] | presentation [ pdf(1001KB) ]</t>
  </si>
  <si>
    <t xml:space="preserve"> *Web 2.0</t>
  </si>
  <si>
    <t xml:space="preserve"> and Higher Education: Pedagogical 
Implications*. Higher Education: New Challenges and Emerging Roles for 
Human and Social Development. 4th International Barcelona Conference on 
Higher Education Technical University of Catalonia (UPC).</t>
  </si>
  <si>
    <t>Gouveia, J.  e Gouveia, L. (2007). *Resultados de uma abordagem de cidade 
digital para a administração local*. 12ª CLAD. Painel As autarquias na era 
da informação: o governo electrónico local. Santo Domingo. Républica 
Dominicana. 26-30 de Outubro.
artigo [ pdf (126KB] ] | apresentação [ pdf (41KB] ]</t>
  </si>
  <si>
    <t xml:space="preserve">Gouveia, J.  e Gouveia, L. </t>
  </si>
  <si>
    <t>2007</t>
  </si>
  <si>
    <t xml:space="preserve"> *Resultados de uma abordagem de cidade 
digital para a administração local*. </t>
  </si>
  <si>
    <t>Gouveia, J.  e Gouveia, L. (2007). *Uma perspectiva orientada ao território 
para o local e-government*. 12ª CLAD. Painel As autarquias na era da 
informação: o governo electrónico local. Santo Domingo. Républica 
Dominicana. 26-30 de Outubro.
artigo [ pdf (138KB] ] | apresentação [ pdf (165KB] ]</t>
  </si>
  <si>
    <t xml:space="preserve"> *Uma perspectiva orientada ao território 
para o local e-government*. </t>
  </si>
  <si>
    <t>Abrantes, S. and Gouveia, L. (2007). *An approach to teaching with computer 
games by applying the flow experience*. Learning by Games conference. LG 
2007. 25th September. France. 
presentation [ pdf(240KB] ]</t>
  </si>
  <si>
    <t xml:space="preserve"> *An approach to teaching with computer 
games by applying the flow experience*. </t>
  </si>
  <si>
    <t>Constantino, J. e Gouveia, L. (2007). *Towards an e-participation engine: 
where people tak place*. Digital Cities Summit 07. 24-25th September, ISCP 
- Instituti Superior de Ciências Sociais e Políticas, UTL. Lisbon. 
presentation [ pdf(184KB] ]</t>
  </si>
  <si>
    <t xml:space="preserve">Constantino, J. e Gouveia, L. </t>
  </si>
  <si>
    <t xml:space="preserve"> *Towards an e-participation engine: 
where people tak place*. </t>
  </si>
  <si>
    <t>Gouveia, L. (2007). *A digital approach to our time-space living*. Digital 
Cities Summit 07. 24-25th September, ISCP - Instituto Superior de Ciências 
Sociais e Políticas, UTL. Lisbon. 
presentation [ pdf(461KB] ]</t>
  </si>
  <si>
    <t xml:space="preserve"> *A digital approach to our time-space living*. </t>
  </si>
  <si>
    <t>Gouveia, L. and Reis, P. (2007). *Language learning using the Sakai 
collaborative learning environment: current experience*. Conference: ICT 
for Language Learning. Florence, Italy. 20-21 September. 
paper [ pdf(35KB) ]</t>
  </si>
  <si>
    <t xml:space="preserve">Gouveia, L. and Reis, P. </t>
  </si>
  <si>
    <t xml:space="preserve"> *Language learning using the Sakai 
collaborative learning environment: current experience*. </t>
  </si>
  <si>
    <t xml:space="preserve">Gouveia, L. ; Reis, P. </t>
  </si>
  <si>
    <t xml:space="preserve"> Reis, P. </t>
  </si>
  <si>
    <t>Trigo, M.; Gouveia, L.; Quoniam, L. e Riccio, E. (2007). *Using Competitive 
Intelligence as a Strategic Tool in a Higher Education Context*. 
Proceedings of The 8th European Conference on Knowledge Management. CEIB, 
Barcelona, Spain.  6-7 September. Vol II, pp 1017-1023. 
paper [ pdf( 110KB] ]</t>
  </si>
  <si>
    <t xml:space="preserve">Trigo, M.; Gouveia, L.; Quoniam, L. e Riccio, E. </t>
  </si>
  <si>
    <t xml:space="preserve"> *Using Competitive 
Intelligence as a Strategic Tool in a Higher Education Context*. </t>
  </si>
  <si>
    <t xml:space="preserve"> Quoniam, L. e Riccio, E. </t>
  </si>
  <si>
    <t>Clara, P. e Gouveia, L. (2007). *Recurso a computadores por utilizadores 
com deficiência: um caso real.* 2ª Conferência Ibérica de Sistemas e 
Tecnologias de Informação. CISTI 2007. UFP. Porto, 21 a 23 de Junho. In 
Rocha, A. et al. (2007) Novas perspectivas em Sistemas e Tecnologias de 
Informação. Actas da CISTI 2007, Vol II, pp 409-414. ISBN: 
978-972-8830-88-5.
artigo [ pdf (108KB) ]</t>
  </si>
  <si>
    <t xml:space="preserve">Clara, P. e Gouveia, L. </t>
  </si>
  <si>
    <t xml:space="preserve"> *Recurso a computadores por utilizadores 
com deficiência: um caso real.*</t>
  </si>
  <si>
    <t>Trigo, M. e Gouveia, L. (2007). *A Universidade Corporativa: reflexão sobre 
a motivação, benefícios e implicações do conceito.* 2ª Conferência Ibérica 
de Sistemas e Tecnologias de Informação. CISTI 2007. UFP. Porto, 21 a 23 de 
Junho. In Rocha, A. et al. (2007) Novas perspectivas em Sistemas e 
Tecnologias de Informação. Actas da CISTI 2007, Vol I, pp 275-283. ISBN: 
978-972-8830-88-5.
artigo [ pdf (80KB) ] | apresentação [ pdf (196KB) ]</t>
  </si>
  <si>
    <t xml:space="preserve">Trigo, M. e Gouveia, L. </t>
  </si>
  <si>
    <t xml:space="preserve"> *A Universidade Corporativa: reflexão sobre 
a motivação, benefícios e implicações do conceito.*</t>
  </si>
  <si>
    <t>Gouveia, L. e Gouveia, F. (2006). Using Sakai as a collaborative learning 
environment to support higher education activity. Leading Innovation in 
Global Education &amp; Training 13th Annual EDiNEB Conference June 14-16, 2006, 
Lisbon, Portugal.
apresentação [ pdf (338KB) ]</t>
  </si>
  <si>
    <t xml:space="preserve"> Using Sakai as a collaborative learning 
environment to support higher education activity. </t>
  </si>
  <si>
    <t>Gaio, S.; Gouveia, J. e Gouveia, L. (2006). *O Branding e a Dimensão 
digital da cidade:* *Dinâmicas e Contributos para a competitividade*. 
Conferência Ibérica de Marketing das Cidades. IPAM / IDIM. 29 de Março. 
Edifício da Alfândega. Porto.
apresentação [ pdf (155KB)] | artigo [ pdf (156KB)]</t>
  </si>
  <si>
    <t xml:space="preserve">Gaio, S.; Gouveia, J. e Gouveia, L. </t>
  </si>
  <si>
    <t xml:space="preserve"> *O Branding e a Dimensão 
digital da cidade:* *Dinâmicas e Contributos para a competitividade*. </t>
  </si>
  <si>
    <t xml:space="preserve"> Gouveia, J. e Gouveia, L. </t>
  </si>
  <si>
    <t>Gaio, S.; Gouveia, J. e Gouveia, L. (2006). *Do Território Esperado ao 
Território Experimentado: A Identidade Como Factor Nuclear no Processo de 
Branding*. 2º Congreso de Marketing de Ciudades - Citymarketing Elche´06. 
24-26 Maio. Elche. Espanha.
apresentação [ pdf (224KB)]</t>
  </si>
  <si>
    <t xml:space="preserve"> *Do Território Esperado ao 
Território Experimentado: A Identidade Como Factor Nuclear no Processo de 
Branding*. </t>
  </si>
  <si>
    <t>Gouveia, L. (2005). *O e-learning como suporte ao ensino superior 
universitário*. 4ª SOPCOM, 4ª Congresso da Associação Portuguesa de 
Ciências da Comunicação. Repensar os media: novos contextos da comunicação 
e da informação. 20 e 21 de Outubro. Livro de actas. Universidade de 
Aveiro. ISBN 972-789-163-2, pp 1559-1571.
artigo [ pdf (148KB) ] | apresentação [ pdf (316KB) ]</t>
  </si>
  <si>
    <t xml:space="preserve"> *O e-learning como suporte ao ensino superior 
universitário*. </t>
  </si>
  <si>
    <t>Gouveia, L. (2005). *A Sociedade da Informação e do Conhecimento e as novas 
competências*. Congresso Internacional Educação e Trabalho. Representações 
Sociais, Competências e Trajectórias Profissionais. Departamento de 
Ciências da Educação. Universidade de Aveiro. 2 a 4 de Maio. Aveiro, 
Portugal. In Resumos das comunicações. ISBN 972-789-153-5, pp 83.
apresentação [ pdf (48KB) ]</t>
  </si>
  <si>
    <t xml:space="preserve"> *A Sociedade da Informação e do Conhecimento e as novas 
competências*. </t>
  </si>
  <si>
    <t>Gouveia, L. e Gomes, F. (2004). *O e-learning como etapa da universidade 
para o virtual*. Conferência eLES '04, eLearning no Ensino Superior. 
Universidade de Aveiro, 27 a 30 de Outubro, Aveiro.
paper [ pdf (13KB) ] | apresentação [ pdf (109KB) ]</t>
  </si>
  <si>
    <t xml:space="preserve">Gouveia, L. e Gomes, F. </t>
  </si>
  <si>
    <t xml:space="preserve"> *O e-learning como etapa da universidade 
para o virtual*. </t>
  </si>
  <si>
    <t>Gouveia, L. (2004). *O digital e as novas formas de, e para, aprender.* 
Conferência eLES '04, eLearning no Ensino Superior. Universidade de Aveiro, 
27 a 30 de Outubro, Aveiro.
paper [ pdf (13KB) ] | apresentação [ pdf (181KB) ]</t>
  </si>
  <si>
    <t xml:space="preserve"> *O digital e as novas formas de, e para, aprender.*</t>
  </si>
  <si>
    <t>Rurato, P.; Gouveia, L. e Gouveia, J. (2004). *Características Essenciais 
do Ensino a Distância.* Conferência eLES '04, eLearning no Ensino Superior. 
Universidade de Aveiro, 27 a 30 de Outubro, Aveiro.
paper [ pdf (37KB) ] | apresentação [ pdf (565KB) ]</t>
  </si>
  <si>
    <t xml:space="preserve"> *Características Essenciais 
do Ensino a Distância.*</t>
  </si>
  <si>
    <t>Marques, M. e Gouveia, L. (2004). Bibliotecas digitais: a importância do 
serviço de referência. IADIS WWW/Internet 2004, Actas da Conferência Ibero 
Americana, Madrid, Espanha, 7-8 de Outubro, pp 425-428.
artigo [ pdf (19KB)] | apresentação [ pdf (26KB) ]</t>
  </si>
  <si>
    <t xml:space="preserve">Marques, M. e Gouveia, L. </t>
  </si>
  <si>
    <t xml:space="preserve"> Bibliotecas digitais: a importância do 
serviço de referência. </t>
  </si>
  <si>
    <t>Xavier, J. e Gouveia, L. (2004). O relacionamento com o cidadão: a 
importância do território. IADIS WWW/Internet 2004, Actas da Conferência 
Ibero Americana, Madrid, Espanha, 7-8 de Outubro, pp 445-448.
artigo [ pdf (27KB)] | apresentação [ pdf (28KB) ]</t>
  </si>
  <si>
    <t xml:space="preserve">Xavier, J. e Gouveia, L. </t>
  </si>
  <si>
    <t xml:space="preserve"> O relacionamento com o cidadão: a 
importância do território. </t>
  </si>
  <si>
    <t>Gouveia, L.; Xavier, J. and Gouveia, J. (2004). People and Digital Cities: 
Promote innovation and information use. 15th Biennial Conference ITS 2004. 
International Telecommunications Society. Berlin Germany. September 4-7.</t>
  </si>
  <si>
    <t xml:space="preserve">Gouveia, L.; Xavier, J. and Gouveia, J. </t>
  </si>
  <si>
    <t xml:space="preserve"> People and Digital Cities: 
Promote innovation and information use. </t>
  </si>
  <si>
    <t xml:space="preserve">Gouveia, L.; Xavier, J. ; Gouveia, J. </t>
  </si>
  <si>
    <t>Gouveia, L. (2004). Information Overload: the case for e-learning within 
Gaia Digital. 3rd Global Conference. The Idea of Education. CERGE-EI. 
Prague, Czech Republic. August 9-11.</t>
  </si>
  <si>
    <t xml:space="preserve"> Information Overload: the case for e-learning within 
Gaia Digital. </t>
  </si>
  <si>
    <t>Gouveia, L. (2004). *Using visuals to convey information*. 6th 
International Conference on Enterprise Information Systems. Universidade 
Portucalense, Porto - Portugal 14-17, April 2004</t>
  </si>
  <si>
    <t xml:space="preserve"> *Using visuals to convey information*. </t>
  </si>
  <si>
    <t>Azevedo, M. e Gouveia, L. (2003). Repensar a missão da biblioteca pública 
na Gestão das TIC. Full paper at Conferência Ibero-Americana WWW/Internet 
2003. Algarve, Portugal. 8 e 9 Novembro.</t>
  </si>
  <si>
    <t xml:space="preserve">Azevedo, M. e Gouveia, L. </t>
  </si>
  <si>
    <t xml:space="preserve"> Repensar a missão da biblioteca pública 
na Gestão das TIC. </t>
  </si>
  <si>
    <t>Xavier, J. e Gouveia, L. e Gouveia, J. (2003). A Gestão do Relacionamento 
com o Cidadão em Cidades e Regiões Digitais. Full paper at Conferência 
Ibero-Americana WWW/Internet 2003. Algarve, Portugal. 8 e 9 Novembro.</t>
  </si>
  <si>
    <t xml:space="preserve"> A Gestão do Relacionamento 
com o Cidadão em Cidades e Regiões Digitais. </t>
  </si>
  <si>
    <t>Gomes, F. and Gouveia, L. (2003). A Web Application To Support Higher 
Education Teaching Administrative Work. Short paper at IADIS International 
Conference WWW/Internet 2003. Algarve, Portugal. 5-8 November.</t>
  </si>
  <si>
    <t xml:space="preserve">Gomes, F. and Gouveia, L. </t>
  </si>
  <si>
    <t xml:space="preserve"> A Web Application To Support Higher 
Education Teaching Administrative Work. </t>
  </si>
  <si>
    <t xml:space="preserve">Gomes, F. ; Gouveia, L. </t>
  </si>
  <si>
    <t>Gouveia, L. (2003). Connecting The Real And The Virtual World: How To 
Measure Digital Cities Impact. Short paper at IADIS International 
Conference WWW/Internet 2003. Algarve, Portugal. 5-8 November.</t>
  </si>
  <si>
    <t xml:space="preserve"> Connecting The Real And The Virtual World: How To 
Measure Digital Cities Impact. </t>
  </si>
  <si>
    <t>Gouveia, L. and Gouveia, J. (2003). Local e-government: how useful is a 
digital cities rationale. Paper at eChallenges e-2003 IST International 
Conference. 22-24 October 2003. Palazzo Re Enzo. Bologna, Italy.</t>
  </si>
  <si>
    <t xml:space="preserve"> Local e-government: how useful is a 
digital cities rationale. </t>
  </si>
  <si>
    <t>Sacau, A.; Gouveia, L.; Ribeiro, N.; Gouveia, F. and Biocca, F. (2003). *Presence 
in Computer-Mediated Environments: a Short Review of the main concepts, 
theories, and trends.* IADIS International Conference e-Society 2003. 
Lisbon, Portugal. 3-6 June 2003.</t>
  </si>
  <si>
    <t xml:space="preserve">Sacau, A.; Gouveia, L.; Ribeiro, N.; Gouveia, F. and Biocca, F. </t>
  </si>
  <si>
    <t xml:space="preserve"> *Presence 
in Computer-Mediated Environments: a Short Review of the main concepts, 
theories, and trends.*</t>
  </si>
  <si>
    <t xml:space="preserve">Sacau, A.; Gouveia, L.; Ribeiro, N.; Gouveia, F. ; Biocca, F. </t>
  </si>
  <si>
    <t xml:space="preserve"> Ribeiro, N.</t>
  </si>
  <si>
    <t xml:space="preserve"> Biocca, F. </t>
  </si>
  <si>
    <t>Gouveia, F. and Gouveia, L. (2003). *Assuming a roadmap strategy for 
e-business.* 5th International Conference on Enterprise Information 
Systems. École Supérieure d' Électronique de l' Ouest. Angers, France. 
23-26, April 2003.</t>
  </si>
  <si>
    <t xml:space="preserve"> *Assuming a roadmap strategy for 
e-business.*</t>
  </si>
  <si>
    <t>Gouveia, L. and Gouveia, J. (2003). *Taking advantage of digital benefits 
for digital outcomes.* International Conference Teaching and Learning in 
Higher Education: New Trends and Innovations. ICHEd. 13-17 April. 
University of Aveiro, Portugal.  
paper [ pdf (32KB)]</t>
  </si>
  <si>
    <t xml:space="preserve"> *Taking advantage of digital benefits 
for digital outcomes.*</t>
  </si>
  <si>
    <t>Gouveia, L. and Gouveia, J. (2003). *E-learning: an opportunity to support 
the individual, the group and the community.* International Conference 
Teaching and Learning in Higher Education: New Trends and Innovations. 
ICHEd. 13-17 April. University of Aveiro, Portugal.</t>
  </si>
  <si>
    <t xml:space="preserve"> *E-learning: an opportunity to support 
the individual, the group and the community.*</t>
  </si>
  <si>
    <t>Rurato, P.; Gouveia, L. and Gouveia, J. (2002). *A Study on Adult Education 
and Distance Learning*. International Conference on Information and 
Communication Technologies in Education. Badajoz, Spain, 13-16 November. 
Poster. 
paper [ pdf(22KB)]</t>
  </si>
  <si>
    <t>Gouveia, L. (2002). *A Proposal to Support Collaborative Learning: using a 
structure to share context*. International Conference on Information and 
Communication Technologies in Education. Badajoz, Spain, 13-16 November. 
Full paper. 
paper [ pdf (34KB)] | presentation [ pdf(14KB)]</t>
  </si>
  <si>
    <t>Xavier, J.; Gouveia, L. e Gouveia, J. (2002). *Reflexão sobre o uso de 
sistemas CRM e SIG para suporte ao conceito de cidade digital. 3ª* 
Conferência da Associação Portuguesa de Sistemas de Informação. 20-22 
Novembro, Universidade de Coimbra. Coimbra, Portugal. Actas em CD-ROM ISBN 
972-97548-7-X.
paper [ pdf (38KB)] | presentation [ pdf (392KB)]</t>
  </si>
  <si>
    <t xml:space="preserve">Xavier, J.; Gouveia, L. e Gouveia, J. </t>
  </si>
  <si>
    <t xml:space="preserve"> *Reflexão sobre o uso de 
sistemas CRM e SIG para suporte ao conceito de cidade digital. </t>
  </si>
  <si>
    <t>Gouveia, L. e Gouveia, J. (2002). *Using a content management approach to 
support Web-based learning. 3ª* Conferência da Associação Portuguesa de 
Sistemas de Informação. 20-22 November, Universidade de Coimbra. Coimbra, 
Portugal. Actas em CD-ROM ISBN 972-97548-7-X. 
paper [ pdf (33KB)] | presentation [ pdf(180KB)]</t>
  </si>
  <si>
    <t xml:space="preserve"> *Using a content management approach to 
support Web-based learning. </t>
  </si>
  <si>
    <t>Gouveia, L. and Gouveia, J. (2002). *Digital cities: the Gaia Digital 
approach*. IADIS International Conference WWW/Internet 2002. Lisbon, 
Portugal, 13-15 November. 
paper [ pdf(82KB)]</t>
  </si>
  <si>
    <t xml:space="preserve"> *Digital cities: the Gaia Digital 
approach*. </t>
  </si>
  <si>
    <t>Gouveia, L. and Gouveia, J. (2002). *A Proposal for using Visualisation to 
Support Collaborative Learning.* E-Learn 2002 World Conference on 
e-learning in Corporate, Government, and Healthcare &amp; Higher Education. 
Montreal, Canada, October 15-19. ISBN 1-880094-46-0, pp 1210-1213. 
paper [ pdf (21KB)] | presentation [ pdf(14KB)]</t>
  </si>
  <si>
    <t xml:space="preserve"> *A Proposal for using Visualisation to 
Support Collaborative Learning.*</t>
  </si>
  <si>
    <t>Gouveia, L. and Gouveia, F. (2002). *Evaluative Etnography and Systems 
Design: can it also be used to assess presence?* Proceedings of the Fifth 
Annual International Workshop. PRESENCE 2002. Universidade Fernando Pessoa, 
Porto, Portugal, October 9-11, pp 213-222. ISBN 972-8184-88-3. 
paper [ pdf (29KB)] | presentation [ pdf(27KB)]</t>
  </si>
  <si>
    <t xml:space="preserve"> *Evaluative Etnography and Systems 
Design: can it also be used to assess presence?* Proceedings of the Fifth 
Annual International Workshop. </t>
  </si>
  <si>
    <t>Gouveia, L. (2002). *Emergent skills in higher education: from know-how to 
know-where, know-who, know-what, know-when and know-why*. Virtual Learning 
&amp; Higher Education. 1st International Conference. Mainsfield College. 
Oxford, England, 10-11 September. 
paper [ pdf (25KB)] | presentation [ pdf(29KB)]</t>
  </si>
  <si>
    <t xml:space="preserve"> *Emergent skills in higher education: from know-how to 
know-where, know-who, know-what, know-when and know-why*. </t>
  </si>
  <si>
    <t>Gouveia, L. and Gouveia, J. (2002). *Towards a social approah to Digital 
Cities*. New Work 2002. International conference on Sustainibility in the 
New Economy. Badajoz, Spain, 3-5. 
paper [ pdf(33KB)]</t>
  </si>
  <si>
    <t xml:space="preserve"> *Towards a social approah to Digital 
Cities*. </t>
  </si>
  <si>
    <t>Gouveia, L. (2002). Assessing a case of Web use for face to face teaching 
support. TIEC 2002, II European Conference on Information Technologies for 
Education. Barcelona, Spain, 26-28 June. Actas em CD-ROM. 
paper [ pdf (32KB)] presentation [ pdf (46KB)]</t>
  </si>
  <si>
    <t xml:space="preserve"> Assessing a case of Web use for face to face teaching 
support. </t>
  </si>
  <si>
    <t>Gouveia, L. and Gouveia, J. (2002). *Proposing a semantic approach to 
Content Management for Education, Learning and Training.* Proceedings of 
EUNIS 2002, The 8th International Conference of European University 
Information Systems. Porto, Portugal, 19-22 June 2002. pp 378-381. ISBN 
972-752-051-0 
paper [ pdf (32KB)] presentation [ pdf(96KB)]</t>
  </si>
  <si>
    <t xml:space="preserve"> *Proposing a semantic approach to 
Content Management for Education, Learning and Training.*</t>
  </si>
  <si>
    <t>Rurato, P. e Gouveia, L. (2002). Estudo dos factores de sucesso em 
ambientes de ensino à distância. Virtual Educa 2002, Conferência 
Internacional sobre Educação, Formação e Novas Tecnologias. Valência, 
Espanha, 12-14 de Junho.
paper [ pdf (40KB)]</t>
  </si>
  <si>
    <t xml:space="preserve"> Estudo dos factores de sucesso em 
ambientes de ensino à distância. </t>
  </si>
  <si>
    <t>Gouveia, L. and Gouveia, J. (2002). *EFTWeb: providing context sharing for 
 Web-Based Learning*. IRMA 2002 - Information resources Management 
Association International Conference.May 19-22. Renaissance Madison Hotel. 
Seattle. US. Khosrowpour, Mehdi (ed.) (2002). Issues and Trends of 
Information Technology Management in Contemporary Organizations, pp 
340-343. ISBN 1-930708-39-4. 
paper [ pdf (64KB)] presentation [ pdf(108KB)]</t>
  </si>
  <si>
    <t xml:space="preserve"> *EFTWeb: providing context sharing for 
 Web-Based Learning*. </t>
  </si>
  <si>
    <t>IRMA 2002 - Information resources Management 
Association International Conference.May 19-22. Renaissance Madison Hotel. 
Seattle. US. Khosrowpour, Mehdi (ed.) (2002).</t>
  </si>
  <si>
    <t>Gouveia, L. (2001). *Supporting knowledge sharing within an organisation*. 
2ª Conferência da Associação Portuguesa de Sistemas de Informação. 
Universidade de Évora, Évora, 21-23 Novembro. 
paper [ pdf (99KB)] | presentation [ pdf(332KB)]</t>
  </si>
  <si>
    <t xml:space="preserve"> *Supporting knowledge sharing within an organisation*. </t>
  </si>
  <si>
    <t>Gouveia, L. (2001). *Limites ao uso da World Wide Web como complemento ao 
ensino presencial*. 3º Simpósio Internacional de Informática Educativa. 
Viseu, Portugal, 26-28 de Setembro.Actas em CD-ROM, 3º SIIE, ISBN: 
972-98523-4-0.
paper [ pdf (58KB)]  | apresentação [ pdf (49KB)]</t>
  </si>
  <si>
    <t xml:space="preserve"> *Limites ao uso da World Wide Web como complemento ao 
ensino presencial*. </t>
  </si>
  <si>
    <t>Gouveia, J. and Gouveia, L. (2001). *EFTWeb: an environment to support 
context sharing for education settings*. e-business &amp; e-work 2001 
conference. Venice, Italy, 17-19 October.
(accepted but not presented)
paper [ pdf (30KB)]</t>
  </si>
  <si>
    <t xml:space="preserve">Gouveia, J. and Gouveia, L. </t>
  </si>
  <si>
    <t xml:space="preserve"> *EFTWeb: an environment to support 
context sharing for education settings*. </t>
  </si>
  <si>
    <t xml:space="preserve">Gouveia, J. ; Gouveia, L. </t>
  </si>
  <si>
    <t>Gouveia, L. and Gouveia, F. (2001). *Evaluation of a visualisation design 
for knowledge sharing and information discovery.* ICEIS 2001, 3th 
International Conference on Enterprise Information Systems. Setúbal, 
Portugal, July 7-10. 
paper [ pdf (139KB)] presentation [ pdf(276KB)]</t>
  </si>
  <si>
    <t xml:space="preserve"> *Evaluation of a visualisation design 
for knowledge sharing and information discovery.*</t>
  </si>
  <si>
    <t>Gouveia, L. and Gouveia, J. (2001). *Proposing a knowledge policy based on 
the EFTWeb model*. The 6th Asia-Pacific Regional Conference of 
International Telecommunications Society. Hong Kong, 5-7 July. 
paper [ pdf(36KB)]</t>
  </si>
  <si>
    <t xml:space="preserve"> *Proposing a knowledge policy based on 
the EFTWeb model*. </t>
  </si>
  <si>
    <t>Gouveia, L. and Gouveia, F. (2001). *A visualisation proposal to assist 
knowledge sharing*. International Conference on New Technologies in Science 
Education. Aveiro University, July 4-6. 
paper [ pdf (99KB)] presentation [ pdf(408KB)]</t>
  </si>
  <si>
    <t xml:space="preserve"> *A visualisation proposal to assist 
knowledge sharing*. </t>
  </si>
  <si>
    <t>Gouveia, J.; Gouveia, L. and Restivo, F. (2001). *EFTWeb: towards a content 
management system.* EUROMA European Operations Management Association, 8th 
International Annual Conference. Bath, UK, June 3-5, pp807-815. ISBN 1 
85790 088X. 
paper [ pdf(30KB)]</t>
  </si>
  <si>
    <t xml:space="preserve">Gouveia, J.; Gouveia, L. and Restivo, F. </t>
  </si>
  <si>
    <t xml:space="preserve"> *EFTWeb: towards a content 
management system.*</t>
  </si>
  <si>
    <t xml:space="preserve">Gouveia, J.; Gouveia, L. ; Restivo, F. </t>
  </si>
  <si>
    <t>Gouveia, J.; Gouveia, L. and Restivo, F. (2001). *Using the Web to support 
an education, learning and training service centre.* EIASM - 1st 
International Workshop on Management and Innovation of Services. 
Maastricht, The Netherlands 5-6 April. 
paper [ pdf(38KB)]</t>
  </si>
  <si>
    <t xml:space="preserve"> *Using the Web to support 
an education, learning and training service centre.*</t>
  </si>
  <si>
    <t>Gouveia, L. (2000). *Visualisation and Direct Manipulation: issues for 
human systems development.* In Amaral, L. and Carvalho, J. (eds.) 
proceedings of 1ª CAPSI, SI2000. APSI e Universidade do Minho. 25 - 27 
October. Guimarães. ISBN 972-95246-1-0 (CD-ROM). 
paper [ pdf  (162KB)] presentation [ pdf(35KB)]</t>
  </si>
  <si>
    <t xml:space="preserve"> *Visualisation and Direct Manipulation: issues for 
human systems development.*</t>
  </si>
  <si>
    <t xml:space="preserve"> In Amaral, L. and Carvalho, J. (eds.) 
proceedings of 1ª CAPSI, SI2000. APSI e Universidade do Minho. 25 - 27 
October. Guimarães. ISBN 972-95246-1-0 (CD-ROM).</t>
  </si>
  <si>
    <t>Gouveia, L.; Gouveia, J. and Restivo, F. (2000). *EFTWeb: Towards a service 
centre for Education, Learning and Training.* Towards the E-learning 
Community: Challenges for Business and Education International Conference. 
Bolton Institute. 19 - 20 October. Bolton, UK. 
paper [ pdf (32KB)] presentation [ pdf(225KB)]</t>
  </si>
  <si>
    <t xml:space="preserve"> *EFTWeb: Towards a service 
centre for Education, Learning and Training.*</t>
  </si>
  <si>
    <t>Gouveia, L.; Gouveia, J. and Restivo, F. (2000). *EFTWeb: an application to 
support skills trading within education, learning and training 
environments.* First World Conference on Production and Operations 
Management POM Sevilla 2000. 26 - 30 August. Sevilla, Spain. 
paper [ pdf (38KB)] presentation [ pdf(535KB)]</t>
  </si>
  <si>
    <t xml:space="preserve"> *EFTWeb: an application to 
support skills trading within education, learning and training 
environments.*</t>
  </si>
  <si>
    <t>Gouveia, J.; Gouveia, L. and Restivo, F. (2000). *Proposing a knowledge 
network to assist education, training and learning.* ITS'2000 XIII Biennial 
Conference. 2-5 July. Buenos Aires, Argentina. 
paper [ pdf (425KB)] presentation [ pdf(448KB)]</t>
  </si>
  <si>
    <t xml:space="preserve"> *Proposing a knowledge 
network to assist education, training and learning.*</t>
  </si>
  <si>
    <t>Gouveia, J.; Gouveia, L. and Restivo, F. (2000). *EFTWeb: a learning 
environment that supports presence and distance education.* Poster 
accepted. Proceedings of the European Conference on Web-Based Learning 
Environments - WBLE'2000. FEUP pp 159-160. ISBN 972-752-035-9. June 5-6. 
Porto, Portugal 
paper [ pdf (12KB)] poster [ gif(408KB)]</t>
  </si>
  <si>
    <t xml:space="preserve"> *EFTWeb: a learning 
environment that supports presence and distance education.*</t>
  </si>
  <si>
    <t>Gouveia, L. and Gouveia, F. (2000). *Informing a information discovery tool 
for using gesture.* Conference on Gestures: Meaning and Use. 1-5 April, 
UFP, Porto, Portugal. 
paper [ pdf (12KB)] presentation [ pdf(370KB)]</t>
  </si>
  <si>
    <t xml:space="preserve"> *Informing a information discovery tool 
for using gesture.*</t>
  </si>
  <si>
    <t>Gouveia, L.; Gouveia, F. and Lamas, D. (1999). *Innovation in Business 
Processes.* Conferência Especializada Sistemas e Tecnologias de Informação. 
Universidade Católica Portuguesa. CEPI'99, 4 e 5 de Outubro.  Lisboa. 
Portugal. 
paper [ pdf (36KB) ] presentation [ pdf(21KB], in Portuguese]</t>
  </si>
  <si>
    <t xml:space="preserve"> *Innovation in Business 
Processes.*</t>
  </si>
  <si>
    <t>Gouveia, L.; Gouveia, J. and Restivo, F. (1999). *EFTWeb: a working model 
proposal to support Education, Learning and Training.* Conferência 
Especializada Sistemas e Tecnologias de Informação. Universidade Católica 
Portuguesa. CEPI´99, 4 e 5 de Outubro.  Lisboa. Portugal. 
paper [ pdf (26KB) ] presentation [ pdf(221KB], in Portuguese]</t>
  </si>
  <si>
    <t xml:space="preserve"> *EFTWeb: a working model 
proposal to support Education, Learning and Training.*</t>
  </si>
  <si>
    <t>Gouveia, L. (1999). *Shared Visualisation and Virtual Environments for 
Co-operative Learning*. Doctoral Colloquium. ECSCW'99. 12-16 September 
Scandic Copenhagen Hotel. Copenhagen, Denmark. Conference supplement 
proceedings, pp 70-72. 
paper [ pdf (11KB)] presentation [ pdf(141KB)]</t>
  </si>
  <si>
    <t xml:space="preserve"> *Shared Visualisation and Virtual Environments for 
Co-operative Learning*. </t>
  </si>
  <si>
    <t>Gouveia, L. (1999). *Is there any space for presence teaching in a digital 
world? A proposed framework for Web usage.* In proceedings of Challenges'99 
International Conference ICT in Education. 12-14 May. Universidade do 
Minho. Portugal. pp 91-98. ISBN 972-98456-0-3. 
paper: [ pdf (23KB) ] presentation: [ pdf(39KB) ]</t>
  </si>
  <si>
    <t xml:space="preserve"> *Is there any space for presence teaching in a digital 
world? A proposed framework for Web usage.*</t>
  </si>
  <si>
    <t>Gouveia, L. (1998). *A technological related discussion on the potential of 
change in education, learning and training*. Euroconference - New 
Technologies for Higher Education. Univ. de Aveiro. Aveiro. Portugal, 16 - 
19 September. 
paper:  [ pdf (42KB) ] presentation: [ pdf ( 96KB) ]
poster: [ pdf(80KB) ]</t>
  </si>
  <si>
    <t xml:space="preserve"> *A technological related discussion on the potential of 
change in education, learning and training*. </t>
  </si>
  <si>
    <t>Gouveia, L. (1998). *Feasibility discussion of a Collaborative Virtual 
Environment, finding alternative ways for university members interaction*. 
Twelfth biennial conference ITS´98 - beyond convergence, communiation into 
the next millennium. Stockholm, Sweden, June 21-24. 
paper: [ pdf (61KB) ] presentation: [ zipped postscript(143KB) ]</t>
  </si>
  <si>
    <t xml:space="preserve"> *Feasibility discussion of a Collaborative Virtual 
Environment, finding alternative ways for university members interaction*. </t>
  </si>
  <si>
    <t>Gouveia, L. (1998). *Digital support for teachers teaching. Current 
experience on using Internet facilities in virtual university environments*. 
ITET'98, International Conference. May 20-22. Macau, Portugal. (full paper 
accepted, but not presented) 
abstract: [ HTML]</t>
  </si>
  <si>
    <t xml:space="preserve"> *Digital support for teachers teaching. </t>
  </si>
  <si>
    <t>Gouveia, L. (1998). *The NetLab experience, moving the action to electronic 
learning environments*. Proceedings of BITE'98, International Conference, 
pp 395-405. Maastricht, The Netherlands, March 25-27. 
text: [ pdf (52KB)] presentation: [ HTML]</t>
  </si>
  <si>
    <t xml:space="preserve"> *The NetLab experience, moving the action to electronic 
learning environments*. </t>
  </si>
  <si>
    <t>Gouveia, L. (1996). *Sociedade Digital: que oportunidades?* Congresso 
Internacional Pós-Colonialismo e Identidade, UFP. Porto.
texto: [ pdf (22KB)] transparências: [ pdf (154KB)]</t>
  </si>
  <si>
    <t>1996</t>
  </si>
  <si>
    <t xml:space="preserve"> *Sociedade Digital: que oportunidades?* Congresso 
Internacional Pós-Colonialismo e Identidade, UFP. </t>
  </si>
  <si>
    <t>Conferências*Nacionais* / *National Conferences*</t>
  </si>
  <si>
    <t>Gouveia, L. (2015). Explorar e interagir também no digital: um desafio para 
os mais crescidos. Seminário Tecnologias de Informação e Comunicação no 
Processo de ensino/aprendizagem das Línguas no 1º Ciclo do Ensino Básico. 
Aula Magna da Faculdade de Filosofia e Ciências Sociais (FFCS) da 
Universidade Católica Portuguesa em Braga. 6 de Junho.
[ handle ]</t>
  </si>
  <si>
    <t xml:space="preserve"> Explorar e interagir também no digital: um desafio para 
os mais crescidos. </t>
  </si>
  <si>
    <t>Gouveia, L. (2015).  *Informação digital e segurança. Gerir informação num 
contexto digital, uma reflexão sobre as questões de segurança e defesa*. 
Ciclo de Conferências sobre Segurança e Cidadania. Academia da Guarda - 
Guarda Nacional Republicana. Lisboa, 11 de Março.
[ handle ]</t>
  </si>
  <si>
    <t xml:space="preserve">  *Informação digital e segurança. </t>
  </si>
  <si>
    <t>Gouveia, L. (2015). *O digital, a mobilidade e a economia da privacidade*. 
Conferência Privacidade, Inovação e Internet. APDSI - Associação para a 
Promoção e Desenvolvimento da Sociedade da Informação. 30 de Janeiro. 
Culturgest. Lisboa.
[ handle ]</t>
  </si>
  <si>
    <t xml:space="preserve"> *O digital, a mobilidade e a economia da privacidade*. </t>
  </si>
  <si>
    <t>Gouveia, L. (2015). *Cidades Inteligentes: a exploração do digital*. Ciclo 
de Conferências Ordem na Informática. O Papel do Engenheiro Informático na 
Construção das Cidades Inteligentes. Conselho Nacional de Colégio de 
Engenharia Informática em parceria com o Conselho Regional Norte do Colégio 
de Engenharia Informática da Ordem dos Engenheiros. Auditório da Ordem dos 
Engenheiros, Região Norte. 28 de Janeiro. Porto.
[ handle ]</t>
  </si>
  <si>
    <t xml:space="preserve"> *Cidades Inteligentes: a exploração do digital*. </t>
  </si>
  <si>
    <t>Gouveia, L. (2014). Negócio e Redes Sociais: fusão ou confusão. Painel 
"Internet, Negócio e Redes Sociais: inovar". 3ª Conferência Internet, 
Negócio e Redes Sociais "Confiança e Compromisso nos Canais Digitais". 
Associação Portuguesa para o Desenvolvimento da Sociedade da 
Informação(APDSI). 29 de Setembro. Biblioteca Municipal Almeida Garrett, 
Porto.
[ handle ]</t>
  </si>
  <si>
    <t xml:space="preserve"> Negócio e Redes Sociais: fusão ou confusão. </t>
  </si>
  <si>
    <t>Painel 
"Internet, Negócio e Redes Sociais: inovar". 3ª Conferência Internet, 
Negócio e Redes Sociais "Confiança e Compromisso nos Canais Digitais". 
Associação Portuguesa para o Desenvolvimento da Sociedade da 
Informação(APDSI).</t>
  </si>
  <si>
    <t>Gouveia, L. (2014). Do local ao global: a tecnologia digital ao serviço do 
conhecimento. Do Artesanal ao Digital. O contributo das Universidades. 
Universidade Fernando Pessoa. Ponte de Lima, 5 de Abril.
[ apresentação ]</t>
  </si>
  <si>
    <t xml:space="preserve"> Do local ao global: a tecnologia digital ao serviço do 
conhecimento. </t>
  </si>
  <si>
    <t>Gouveia, L. (2014). A Informática e o mercado de trabalho: notas avulsas. 
Comemorações dos 15 anos da ANPRI – Associação Nacional de Professores de 
Informática. 8 de Março. Universidade Portucalense.
[ apresentação ]</t>
  </si>
  <si>
    <t xml:space="preserve"> A Informática e o mercado de trabalho: notas avulsas. </t>
  </si>
  <si>
    <t>Gouveia, L.; Sousa, A. and Agante, P. (2012). Digital Mediation for Public 
Participation. Poster and interactive project demonstration. International 
e-Planning workshop - Citizens, Cities and Technology and Faculty of 
Sciences. University of Lisbon. April 23. Lisbon, Portugal.  
apresentação [ slideshare ]</t>
  </si>
  <si>
    <t xml:space="preserve">Gouveia, L.; Sousa, A. and Agante, P. </t>
  </si>
  <si>
    <t xml:space="preserve"> Digital Mediation for Public 
Participation. </t>
  </si>
  <si>
    <t xml:space="preserve">Gouveia, L.; Sousa, A. ; Agante, P. </t>
  </si>
  <si>
    <t xml:space="preserve"> Sousa, A. </t>
  </si>
  <si>
    <t>Gouveia, L. (2003). *Cidades Digitais, promessas e preocupações*. in 
Gouveia, L. e Borges Gouveia, J. e Amaral, L. e Carvalho, J. (2003). 
Workshop Cidades Digitais. Integrado na 4ª Conferência da Associação 
Portuguesa de Sistemas de Informação. Universidade Portucalense (UPT). 15 
de Outubro, pp 15-18.  Porto, Portugal.</t>
  </si>
  <si>
    <t xml:space="preserve"> *Cidades Digitais, promessas e preocupações*. </t>
  </si>
  <si>
    <t>in 
Gouveia, L. e Borges Gouveia, J. e Amaral, L. e Carvalho, J. (2003).</t>
  </si>
  <si>
    <t>comunicações / presentation track</t>
  </si>
  <si>
    <t>*3*8</t>
  </si>
  <si>
    <t>Martins, E. e Gouveia, L. (2018). Kahoot na Sala de Aula do Ensino Médio. 
7º Congresso Brasileiro de Tecnologia Educacional da ABT. 10 a 12 de 
Dezembro. Poster. Belo Horizonte, MG. Brasil.
[ paper ]</t>
  </si>
  <si>
    <t xml:space="preserve"> Kahoot na Sala de Aula do Ensino Médio. </t>
  </si>
  <si>
    <t>*3*7</t>
  </si>
  <si>
    <t>Martins, E. e Gouveia, L. (2018). Uso do Google Drive no Apoio a 
Aprendizagem Colaborativa. 7º Congresso Brasileiro de Tecnologia 
Educacional da ABT. Sessão de Comunicação Oral - Eixo temático: cultura 
digital e comunicação. 10 a 12 de Dezembro. Belo Horizonte, MG. Brasil.
[ paper ]</t>
  </si>
  <si>
    <t xml:space="preserve"> Uso do Google Drive no Apoio a 
Aprendizagem Colaborativa. </t>
  </si>
  <si>
    <t>*3*6</t>
  </si>
  <si>
    <t>Gouveia, L. e Martins, E. (2018). Uso do WhatsApp em Atividades Educativas 
Extraclasse. 7º Congresso Brasileiro de Tecnologia Educacional da ABT. 10 a 
12 Dezembro. Poster. Belo Horizonte, MG. Brasil.
[ paper ]</t>
  </si>
  <si>
    <t xml:space="preserve">Gouveia, L. e Martins, E. </t>
  </si>
  <si>
    <t xml:space="preserve"> Uso do WhatsApp em Atividades Educativas 
Extraclasse. </t>
  </si>
  <si>
    <t>*35*</t>
  </si>
  <si>
    <t>Martins, E. e Gouveia, L. (2018). O Uso da Rede Social Educativa Edmodo em 
Atividades Extraclasse. In: 15° CONPEEX - Congresso de Ensino, Pesquisa e 
Extensão, 2018, Goiânia. I Encontro das Instituições de Ensino Superior 
Públicas e Filantrópicas Externas à UFG, v. 1. p. 8-9.
[ paper ]</t>
  </si>
  <si>
    <t xml:space="preserve"> O Uso da Rede Social Educativa Edmodo em 
Atividades Extraclasse. </t>
  </si>
  <si>
    <t>*3*4</t>
  </si>
  <si>
    <t>Martins, E. e Gouveia, L. (2018). Facebook como Ferramenta de Apoio ao 
Ensino Superior. Artigo Resumido. 10º Congresso Acadêmico de tecnologia e 
Informática CATI2018 e ERIMT 2018. 5-9 de Novembro. Mato Grosso. Brasil. Anais 
do 10º Congresso Acadêmico de Tecnologia e Informática (CATI 2018). Ciência 
da Computação – UNEMAT – Barra do Bugres – ISSN 2448-119X, pp 86-89.
[ paper ]</t>
  </si>
  <si>
    <t xml:space="preserve"> Facebook como Ferramenta de Apoio ao 
Ensino Superior. </t>
  </si>
  <si>
    <t>Artigo Resumido. 10º Congresso Acadêmico de tecnologia e 
Informática CATI2018 e ERIMT 2018. 5-9 de Novembro. Mato Grosso. Brasil. Anais 
do 10º Congresso Acadêmico de Tecnologia e Informática (CATI 2018).</t>
  </si>
  <si>
    <t>*3*3</t>
  </si>
  <si>
    <t>Martins , E. e Gouveia, L. (2018). WhatsApp como Apoio a Aprendizagem no 
Ensino Médio. Artigo Resumido. 10º Congresso Acadêmico de tecnologia e 
Informática CAT2018 e ERIMT 2018. 5-9 de Novembro. Mato Grosso. Brasil. Anais 
da IX Escola Regional de Informática de Mato Grosso (ERI-MT 2018). SBC – 
UNEMAT – Barra do Bugres – ISSN 2447-5386, pp 143-146.
[ paper ]</t>
  </si>
  <si>
    <t xml:space="preserve">Martins , E. e Gouveia, L. </t>
  </si>
  <si>
    <t xml:space="preserve"> WhatsApp como Apoio a Aprendizagem no 
Ensino Médio. </t>
  </si>
  <si>
    <t>Artigo Resumido. 10º Congresso Acadêmico de tecnologia e 
Informática CAT2018 e ERIMT 2018. 5-9 de Novembro. Mato Grosso. Brasil. Anais 
da IX Escola Regional de Informática de Mato Grosso (ERI-MT 2018).</t>
  </si>
  <si>
    <t>*3*2</t>
  </si>
  <si>
    <t>Martins, E. e Gouveia, L. (2018). Uso da Ferramenta Kahoot Transformando a 
Aula do Ensino Médio em um Game de Conhecimento. Artigo Resumido. 10º 
Congresso Acadêmico de tecnologia e Informática CAT2018 e ERIMT 2018. 5-9 
de Novembro. Mato Grosso. Brasil. Anais da IX Escola Regional de 
Informática de Mato Grosso (ERI-MT 2018). SBC – UNEMAT – Barra do Bugres – 
ISSN 2447-5386, pp 155-158.
[ paper ]</t>
  </si>
  <si>
    <t xml:space="preserve"> Uso da Ferramenta Kahoot Transformando a 
Aula do Ensino Médio em um Game de Conhecimento. </t>
  </si>
  <si>
    <t>Artigo Resumido. 10º 
Congresso Acadêmico de tecnologia e Informática CAT2018 e ERIMT 2018. 5-9 
de Novembro. Mato Grosso. Brasil. Anais da IX Escola Regional de 
Informática de Mato Grosso (ERI-MT 2018).</t>
  </si>
  <si>
    <t>*31*</t>
  </si>
  <si>
    <t>Martins, E. e Gouveia, L. (2018). Tecnologias Móveis em cursos da 
Universidade Aberta. IV Congresso de Ciência e Tecnologia da PUC Goiás. 
Ciência para a redução das desigualdades. 16 a 20 de Outubro.</t>
  </si>
  <si>
    <t xml:space="preserve"> Tecnologias Móveis em cursos da 
Universidade Aberta. </t>
  </si>
  <si>
    <t>*30*</t>
  </si>
  <si>
    <t>Oliveira, M. e Gouveia, L. (2018). Uma metodologia para a medição da 
densidade óssea pela técnica de densitometria de raios-X. 8° Congresso da 
Faculdade de Odontologia de Araçatuba – 23 a 26 de maio. Universidade 
Estadual Paulista “Júlio de Mesquita Filho” UNESP.</t>
  </si>
  <si>
    <t xml:space="preserve"> Uma metodologia para a medição da 
densidade óssea pela técnica de densitometria de raios-X. </t>
  </si>
  <si>
    <t>*29*</t>
  </si>
  <si>
    <t>Oliveira, M. e Gouveia, L. (2018). Uma técnica para medir a densidade óssea 
usando uma imagem radiográfica. 8° Congresso da Faculdade de Odontologia de 
Araçatuba – 23 a 26 de maio. Universidade Estadual Paulista “Júlio de 
Mesquita Filho” UNESP.</t>
  </si>
  <si>
    <t xml:space="preserve"> Uma técnica para medir a densidade óssea 
usando uma imagem radiográfica. </t>
  </si>
  <si>
    <t>Araújo, A. e Gouveia, L. (2018). O Digital nas Instituições de Ensino 
Superior: um diagnóstico sobre a percepção docente em uma instituição de 
ensino superior. Eixo temático: Tecnologias de Informação e Comunicação 
aplicadas à Educação. 2º Congresso Nacional de Educação. 8 e 9 de Junho. 
Poço de Caldas. Minas Gerais. Brasil.
[ paper ]</t>
  </si>
  <si>
    <t xml:space="preserve"> O Digital nas Instituições de Ensino 
Superior: um diagnóstico sobre a percepção docente em uma instituição de 
ensino superior. </t>
  </si>
  <si>
    <t>*2**7*</t>
  </si>
  <si>
    <t>Alfredo, P. e Gouveia, L. (2017). *Crescimento económico de Angola e as 
TIC: os últimos 12 anos*. In GICD, UAN (2017). Livro de Resumos da 
Conferência Ciêntífica da universidade Agostinho Neto (CCUAN2017). pp 76. 
ISBN: 978-989-761-137-7.</t>
  </si>
  <si>
    <t xml:space="preserve"> *Crescimento económico de Angola e as 
TIC: os últimos 12 anos*. </t>
  </si>
  <si>
    <t>In GICD, UAN (2017).</t>
  </si>
  <si>
    <t>*26*</t>
  </si>
  <si>
    <t>Alfredo, P. e Gouveia, L. (2017). *Crescimento Económico de Angola: os 
últimos 12 anos.* Comunicação Oral. Conferência Científica Universidade 
Agostinho Neto (UAN). 27 a 29 de Setembro. Hotel Victória Garden. Luanda 
Angola.  
[ handle ]</t>
  </si>
  <si>
    <t xml:space="preserve"> *Crescimento Económico de Angola: os 
últimos 12 anos.*</t>
  </si>
  <si>
    <t xml:space="preserve"> Comunicação Oral. Conferência Científica Universidade 
Agostinho Neto (UAN).</t>
  </si>
  <si>
    <t>*2**5*</t>
  </si>
  <si>
    <t>Gouveia, L. e Couto, P. (2017). *A importância crescente do Capital Humano, 
Intelectual, Social e Territorial e a sua associação ao conhecimento.* Atlântico 
Business Summit. Edificio Heliântia, Valadares. Vila Nova de Gaia. 28 de 
Setembro.
[ handle ]</t>
  </si>
  <si>
    <t xml:space="preserve">Gouveia, L. e Couto, P. </t>
  </si>
  <si>
    <t xml:space="preserve"> *A importância crescente do Capital Humano, 
Intelectual, Social e Territorial e a sua associação ao conhecimento.*</t>
  </si>
  <si>
    <t>*2**4*</t>
  </si>
  <si>
    <t>Gouveia, L. e Morgado, R. (2017). *A importância das Ciberarmas no Contexto 
da Ciberdefesa de um Pequeno Estado.* Atlântico Business Summit. Edificio 
Heliântia, Valadares. Vila Nova de Gaia. 28 de Setembro.  
[ handle ]</t>
  </si>
  <si>
    <t xml:space="preserve"> *A importância das Ciberarmas no Contexto 
da Ciberdefesa de um Pequeno Estado.*</t>
  </si>
  <si>
    <t>*2**3*</t>
  </si>
  <si>
    <t>Gouveia, L. e Pinto, C. (2017).*Contributo para a discussão sobre a 
contabilização do Conhecimento e do Capital Humano nas Organizações.* 
Atlântico Business Summit. Edificio Heliântia, Valadares. Vila Nova de 
Gaia. 28 de Setembro.  
[ handle ]</t>
  </si>
  <si>
    <t xml:space="preserve">Gouveia, L. e Pinto, C. </t>
  </si>
  <si>
    <t>*Contributo para a discussão sobre a 
contabilização do Conhecimento e do Capital Humano nas Organizações.*</t>
  </si>
  <si>
    <t>*2**2*</t>
  </si>
  <si>
    <t>Martins, O. e Gouveia, L. (2015). A promoção da infoliteracia como 
estratégia de autonomia numa biblioteca do ensino superior. 12º Congresso 
Nacional BAD Bibliotecários, Arquivistas e Documentalistas. 21 a 23 de 
Outubro. Évora.
[ apresentação | paper ]</t>
  </si>
  <si>
    <t xml:space="preserve"> A promoção da infoliteracia como 
estratégia de autonomia numa biblioteca do ensino superior. </t>
  </si>
  <si>
    <t>Leal, J. e Gouveia, L. (2015). MOOC: Qual o papel na reconceptualização da 
Universidade. 2º Congresso Internacional de Psicologia, Educação e Cultura. 
IspGaya, Vila Nova de Gaia. 18 de Julho. In Almeida, L.; Araújo, A. Cruz, 
J.; Morais, J. e Simões, M. (org.) (2015). Atas do 2º Congresso 
Internacional “Psicologia, Educação e Cultura”. Vila Nova de Gaia: Edições 
ISPGaya. ISBN 978-972-8182-17-5, pp 197-206.
[ presentation | paper ]</t>
  </si>
  <si>
    <t xml:space="preserve"> MOOC: Qual o papel na reconceptualização da 
Universidade. </t>
  </si>
  <si>
    <t>2º Congresso Internacional de Psicologia, Educação e Cultura. 
IspGaya, Vila Nova de Gaia. 18 de Julho. In Almeida, L.; Araújo, A. Cruz, 
J.; Morais, J. e Simões, M. (org.) (2015).</t>
  </si>
  <si>
    <t>Robalo, A. e Gouveia, L. (2014). O contributo das plataformas educativas no 
ensino e formação de professores em Angola: Experiência piloto no ISCED - 
Huambo. Colóquio “Qualidade de Ensino e a formação de professores em 
Angola”. ISCED. 4 e 5 Novembro. Huambo, Angola.
[ handle ]</t>
  </si>
  <si>
    <t xml:space="preserve"> O contributo das plataformas educativas no 
ensino e formação de professores em Angola: Experiência piloto no ISCED - 
Huambo. </t>
  </si>
  <si>
    <t>Gouveia, L. (2014). O Excesso de Informação e as suas implicações para 
indivíduos e organizações. 10º Congresso Nacional de Psicologia da Saúde. 
Universidade Fernando Pessoa. 6 a 8 de Fevereiro.
[ apresentação ]</t>
  </si>
  <si>
    <t xml:space="preserve"> O Excesso de Informação e as suas implicações para 
indivíduos e organizações. </t>
  </si>
  <si>
    <t>Cardoso, T. e Gouveia, L. (2012). As redes sociais e a Web 2.0 nas 
Bibliotecas Públicas do Distrito de Aveiro. X Congresso da LUSOCOM - 
Comunicação , Cultura e Desenvolvimento. Instituto Superior de Ciências 
Sociais e Políticas. 27-29 de Setembro de 2012. Lisboa, Portugal.
[ slideshare ]</t>
  </si>
  <si>
    <t xml:space="preserve">Cardoso, T. e Gouveia, L. </t>
  </si>
  <si>
    <t xml:space="preserve"> As redes sociais e a Web 2.0</t>
  </si>
  <si>
    <t>Gouveia, L. (2010). O digital e as redes como mecanismos de inovação na 
participação pública. De Re Publica. Colóquio evocativo dos 100 anos de 
República em Portugal. Universidade Fernando Pessoa. 3 de Novembro. Porto, 
Portugal.
apresentação [ slideshare ]</t>
  </si>
  <si>
    <t xml:space="preserve"> O digital e as redes como mecanismos de inovação na 
participação pública. </t>
  </si>
  <si>
    <t>Gaio, S.; Gouveia, L. e Gouveia, J. (2010). *A gestão da marca territorial 
sob uma abordagem colaborativa: notas sobre os casos de Cascais, Guimarães, 
Paços de Ferreira e Ponte de Lima*. V Workshop da APDR. Casos de 
Desenvolvimento Regional. Faculdade de Economia da Universidade de Coimbra. 
8 de Fevereiro. Coimbra, Portugal.
apresentação [ slideshare ]</t>
  </si>
  <si>
    <t xml:space="preserve">Gaio, S.; Gouveia, L. e Gouveia, J. </t>
  </si>
  <si>
    <t xml:space="preserve"> *A gestão da marca territorial 
sob uma abordagem colaborativa: notas sobre os casos de Cascais, Guimarães, 
Paços de Ferreira e Ponte de Lima*. </t>
  </si>
  <si>
    <t>Gaio, S.; Gouveia, L. e Gouveia, J. (2008). *Network Based Branding: Um 
Modelo Colaborativo para a Edificação de Marcas Territoriais. 14º* 
Congresso da APDR. Desenvolvimento, Administração e Governança Local. 
Instituto Politécnico de Tomar. 4 e 5 de Julho de 2008. Tomar, Portugal. 
artigo [ pdf(188KB) ]</t>
  </si>
  <si>
    <t xml:space="preserve"> *Network Based Branding: Um 
Modelo Colaborativo para a Edificação de Marcas Territoriais. </t>
  </si>
  <si>
    <t>Gouveia, L. e Gouveia, J. (2008). *Território e oportunidades de 
desenvolvimento com recurso a práticas de local e-government. 14º* 
Congresso da APDR. Desenvolvimento, Administração e Governança Local. 
Instituto Politécnico de Tomar. 4 e 5 de Julho de 2008. Tomar, portugal.
artigo [ pdf (67KB) ]</t>
  </si>
  <si>
    <t xml:space="preserve"> *Território e oportunidades de 
desenvolvimento com recurso a práticas de local e-government. </t>
  </si>
  <si>
    <t>Simões, L. e Gouveia, L. (2008). *Consumer Behaviour of the Millennial 
Generation.* III Jornadas de Publicidade e Comunicação. A Publicidade para 
o consumidor do Séc. XXI. Universidade Fernando Pessoa. 10 de Abril. Porto, 
Portugal. 
paper [ pdf (526KB) ] | presentation [ pdf(422KB) ]</t>
  </si>
  <si>
    <t xml:space="preserve"> *Consumer Behaviour of the Millennial 
Generation.*</t>
  </si>
  <si>
    <t>Gouveia, L. (2004). *A administração pública local de base electrónica: 
questões e desafios*. 2ª Conferência do Instituto Nacional de 
Administração. INA. 4-5 de Novembro. Lisboa, Portugal.
paper: [ pdf (31KB)]</t>
  </si>
  <si>
    <t xml:space="preserve"> *A administração pública local de base electrónica: 
questões e desafios*. </t>
  </si>
  <si>
    <t>Xavier, J.; e Gouveia, L. e Gouveia, J. (2003). *Contribuição para a 
definição de Cidade e Região Digital*. 4ª Conferência da Associação 
Portuguesa de Sistemas de Informação. Universidade Portucalense (UPT). 15 
de Outubro. Porto, Portugal. Actas em CD-ROM.</t>
  </si>
  <si>
    <t xml:space="preserve">Xavier, J.; e Gouveia, L. e Gouveia, J. </t>
  </si>
  <si>
    <t xml:space="preserve"> *Contribuição para a 
definição de Cidade e Região Digital*. </t>
  </si>
  <si>
    <t>4ª Conferência da Associação 
Portuguesa de Sistemas de Informação. Universidade Portucalense (UPT).</t>
  </si>
  <si>
    <t xml:space="preserve"> e Gouveia, L. e Gouveia, J. </t>
  </si>
  <si>
    <t>Gouveia, L. e Gouveia, J. (2002). *Connecting the Real and the Virtual 
World: a discussion on measuring Digital Cities impact.* Workshop sobre 
Abordagens Sócio-Técnicas em SI. *3ª* Conferência da Associação Portuguesa 
de Sistemas de Informação. Universidade de Coimbra.  20-22 Novembro. 
Coimbra, Portugal. Actas em CD-ROM ISBN 972-97548-7-X. 
paper [ pdf(17KB)]</t>
  </si>
  <si>
    <t xml:space="preserve"> *Connecting the Real and the Virtual 
World: a discussion on measuring Digital Cities impact.*</t>
  </si>
  <si>
    <t>Gouveia, L. (2001). *Virtual Environments and Knowledge Sharing.* 1ª 
Congresso Nacional de Comércio Electrónico - E-Portugal. IST, Taguspark. 11 
e 12 de Outubro. Oeiras, Portugal. 
apresentação [ pdf(295KB)]</t>
  </si>
  <si>
    <t xml:space="preserve"> *Virtual Environments and Knowledge Sharing.*</t>
  </si>
  <si>
    <t>Gouveia, F. e Gouveia, L. (2001). *O património cultural como um activo.* 
1ª Congresso Nacional de Comércio Electrónico - E-Portugal. IST, Taguspark. 
11 e 12 de Outubro. Oeiras, Portugal.
apresentação [ pdf(59KB)]</t>
  </si>
  <si>
    <t xml:space="preserve">Gouveia, F. e Gouveia, L. </t>
  </si>
  <si>
    <t xml:space="preserve"> *O património cultural como um activo.*</t>
  </si>
  <si>
    <t>Gouveia, L. e Gouveia, J. (2001). *E-learning: uma perspectiva sobre o 
ensino, formação e treino mediado por computador*. 1ª Congresso Nacional de 
Comércio Electrónico - E-Portugal. IST, Taguspark. 11 e 12 de Outubro. 
Oeiras, Portugal.
apresentação [ pdf(20KB)]</t>
  </si>
  <si>
    <t xml:space="preserve"> *E-learning: uma perspectiva sobre o 
ensino, formação e treino mediado por computador*. </t>
  </si>
  <si>
    <t>Gouveia, J.; Restivo, F. e Gouveia, L. (1999). *Integração e Convergência 
no Ensino, Formação e Treino. Uma proposta para a criação de redes de 
competência.* 2ª Conferência sobre Redes de Computadores. CRC'99. 
Universidade de Évora. 18 - 19 de Outubro. Évora, Portugal.
paper [ pdf (54KB)]</t>
  </si>
  <si>
    <t xml:space="preserve">Gouveia, J.; Restivo, F. e Gouveia, L. </t>
  </si>
  <si>
    <t xml:space="preserve"> *Integração e Convergência 
no Ensino, Formação e Treino. </t>
  </si>
  <si>
    <t xml:space="preserve"> Restivo, F. e Gouveia, L. </t>
  </si>
  <si>
    <t>Lamas, D.; Gouveia, F. e Gouveia, L. (1999). *O Símbolo e a Interactividade 
no uso de computadores*. Congresso Internacional Literatura, Cinema e 
Outras Artes. Universidade Fernando Pessoa. 31 de Maio - 2 de Junho. Porto, 
Portugal.
paper [ pdf (26KB) ]</t>
  </si>
  <si>
    <t>Gouveia, L. (1998). *Uma proposta para a avaliação e diagnóstico mediada 
por computador.* 1ª Conferência sobre redes de Computadores - CRC'98. 
Universidade de Coimbra. Coimbra, 9 - 10 de Novembro. Porto, Portugal. Actas 
em CD ROM.
texto: [ pdf (60KB) ] transparências: [ pdf (124KB) ]</t>
  </si>
  <si>
    <t xml:space="preserve"> *Uma proposta para a avaliação e diagnóstico mediada 
por computador.*</t>
  </si>
  <si>
    <t>Camacho, L. e Gouveia, L. (1998). *Criação de espaços de informação 
interactivos. Ambiente de aprendizagem para a cadeira de Sistemas de 
Informação*. 3º Simpósio de I&amp;D de Software Educativo, Universidade de 
Évora. Évora, 3 - 5 de Setembro. Porto, Portugal. Actas em CD ROM.
texto: [ pdf (11KB) ] transparências: [ pdf (118KB) ]
versão elaborada: [ pdf (19KB) ]</t>
  </si>
  <si>
    <t xml:space="preserve">Camacho, L. e Gouveia, L. </t>
  </si>
  <si>
    <t xml:space="preserve"> *Criação de espaços de informação 
interactivos. </t>
  </si>
  <si>
    <t>Gouveia, L. (1998). *Será a Internet/Intranet uma plataforma viável para a 
sala de aula? Lições retiradas do uso de computadores portáteis e da web em 
sala de aula*. 3º Simpósio de I&amp;D de Software Educativo, Universidade de 
Évora. Évora, 3 - 5 de Setembro.Actas em CD ROM.
texto: [ pdf (58KB) ] transparências: [ pdf (114KB) ]</t>
  </si>
  <si>
    <t xml:space="preserve"> *Será a Internet/Intranet uma plataforma viável para a 
sala de aula? Lições retiradas do uso de computadores portáteis e da web em 
sala de aula*. </t>
  </si>
  <si>
    <t>Gouveia, L. (1996). *Utilização de Computadores Portáteis em ambiente 
universitário: reflexão inicial e perspectivas*. 1º Simpósio de I&amp;D de 
Software Educativo, Universidade Nova de Lisboa, 7-9 de Outubro. Costa da 
Caparica.Actas em CD ROM.
texto: [ pdf (22KB)] transparências: [ pdf (252KB)]</t>
  </si>
  <si>
    <t xml:space="preserve"> *Utilização de Computadores Portáteis em ambiente 
universitário: reflexão inicial e perspectivas*. </t>
  </si>
  <si>
    <t>*Eventos Internacionais* / *International meetings*</t>
  </si>
  <si>
    <t>comunicações / talks</t>
  </si>
  <si>
    <t>Daradkeh, Y. and Gouveia, L. (2018). Getting Mobile: a critical challenge 
for the higher education classroom. The VI International Congress 
TELECOMTREND. Mobile and Wireless Technologies Trends and Prospects. 
October 31.
[ handle ]</t>
  </si>
  <si>
    <t xml:space="preserve">Daradkeh, Y. and Gouveia, L. </t>
  </si>
  <si>
    <t xml:space="preserve"> Getting Mobile: a critical challenge 
for the higher education classroom. </t>
  </si>
  <si>
    <t xml:space="preserve">Daradkeh, Y. ; Gouveia, L. </t>
  </si>
  <si>
    <t>Gouveia, L. (2018). *Open access and social media: challenges and 
opportunities for information management*. UFP Erasmus Librarian Week. 27 
Junho. Universidade Fernando Pessoa. 
[ handle ]</t>
  </si>
  <si>
    <t xml:space="preserve"> *Open access and social media: challenges and 
opportunities for information management*. </t>
  </si>
  <si>
    <t>Gouveia, L. (2017). *Challenges in Higher Education as a Transformative 
Ecosystem for Students and Professors*. Presentation at Kazakh University 
of Economics, Finance and International Trade, Astana, Kazakhstan. 11th 
October. 
[ handle ]</t>
  </si>
  <si>
    <t xml:space="preserve"> *Challenges in Higher Education as a Transformative 
Ecosystem for Students and Professors*. </t>
  </si>
  <si>
    <t>Gouveia, L. (2017). *Going Open in University &amp; Libraries: challenges and 
applications. UFP's Erasmus Staff Week for Librarians*. 7th June. 
University Fernando Pessoa. 
[ handle ]</t>
  </si>
  <si>
    <t xml:space="preserve"> *Going Open in University &amp; Libraries: challenges and 
applications. </t>
  </si>
  <si>
    <t>Gouveia, L. (2016). *Higher Education in the XXI century: challenging 
everything and also the library role.* Erasmus Librarians Week. University 
Fernando Pessoa. 29th June. 
[ handle ]</t>
  </si>
  <si>
    <t xml:space="preserve"> *Higher Education in the XXI century: challenging 
everything and also the library role.*</t>
  </si>
  <si>
    <t>Gouveia, L. (2015). *The  Library and Higher Education: where and how to 
rethink relationships*. 3rd Erasmus Staff Week for Librarians. Workshop on 
5th May. University Fernando Pessoa 
[ handle ]</t>
  </si>
  <si>
    <t xml:space="preserve"> *The  Library and Higher Education: where and how to 
rethink relationships*. </t>
  </si>
  <si>
    <t>Gouveia, L. (2014). *O caso do Gaia Global (2000-2005) um testemunho da 
exploração do digital para benefício do território*. Propor projetos que 
gerem valor. ADRAT - Associação para o Desenvolvimento do Alto Tâmega, 5 de 
Novembro. Chaves.
[ handle ]</t>
  </si>
  <si>
    <t xml:space="preserve"> *O caso do Gaia Global (2000-2005) um testemunho da 
exploração do digital para benefício do território*. </t>
  </si>
  <si>
    <t>Gouveia, L. (2013). *Adoção e Inovação em Tecnologias de Informação. Uma 
contribuição para a avaliação de tecnologia com exemplo da computação em 
nuvem*. Apresentação no âmbito da disciplina de Gestão de sistemas de 
Informação. Mestrado em Engenharia Informática, Universidade de Vigo. 
Ourense. Espanha. 17 de Dezembro.
[ apresentação ]</t>
  </si>
  <si>
    <t xml:space="preserve"> *Adoção e Inovação em Tecnologias de Informação. </t>
  </si>
  <si>
    <t>Gouveia, L. (2014). *Digital Libraries and the quest for information 
curation*. UFP’s Erasmus Staff Week for Librarians. University Fernando 
Pessoa. Workshop on 8th April. 
[ presentation ]</t>
  </si>
  <si>
    <t xml:space="preserve"> *Digital Libraries and the quest for information 
curation*. </t>
  </si>
  <si>
    <t>Gouveia, L. (2013). *Some issues on Bibliometrics: the way I would like to 
be helped as a University Professor*. Eramus Librarian Week. University 
Fernando Pessoa. 4th December. 
[ presentation ]</t>
  </si>
  <si>
    <t xml:space="preserve"> *Some issues on Bibliometrics: the way I would like to 
be helped as a University Professor*. </t>
  </si>
  <si>
    <t>Gouveia, L. (2010). *Digital Paradox: why place matters, putting place in 
its place!* Switch conference. Polo II University of Coimbra. Coimbra, 16th 
May. 
presentation [ slideshare ] [ vídeo ]</t>
  </si>
  <si>
    <t xml:space="preserve"> *Digital Paradox: why place matters, putting place in 
its place!* Switch conference. </t>
  </si>
  <si>
    <t>Fernandes, N.; Gouveia, F.; Gouveia, L. and Martinez, D. (2010). *Site 
Stats: the power of event tracking at a single click in Sakai*. European 
Sakai Conference. Valencia. 1-3 March. 
presentation [ slideshare ]</t>
  </si>
  <si>
    <t xml:space="preserve">Fernandes, N.; Gouveia, F.; Gouveia, L. and Martinez, D. </t>
  </si>
  <si>
    <t xml:space="preserve"> *Site 
Stats: the power of event tracking at a single click in Sakai*. </t>
  </si>
  <si>
    <t xml:space="preserve">Fern;es, N.; Gouveia, F.; Gouveia, L. ; Martinez, D. </t>
  </si>
  <si>
    <t xml:space="preserve"> Gouveia, F.</t>
  </si>
  <si>
    <t xml:space="preserve"> Martinez, D. </t>
  </si>
  <si>
    <t>Gouveia, F.; Gouveia, L. and Fernandes, N. (2010). *My students and shared 
resources: design of a supervision tool*. European Sakai Conference. 
Valencia. 1-3 March. 
presentation [ slideshare ]</t>
  </si>
  <si>
    <t xml:space="preserve">Gouveia, F.; Gouveia, L. and Fernandes, N. </t>
  </si>
  <si>
    <t xml:space="preserve"> *My students and shared 
resources: design of a supervision tool*. </t>
  </si>
  <si>
    <t xml:space="preserve">Gouveia, F.; Gouveia, L. ; Fern;es, N. </t>
  </si>
  <si>
    <t xml:space="preserve"> Fern</t>
  </si>
  <si>
    <t xml:space="preserve">es, N. </t>
  </si>
  <si>
    <t>Simões, L. e Gouveia, L. (2008). *Targeting the Millennial Generation.* III 
Jornadas de Publicidade e Comunicação. A Publicidade para o consumidor do 
Séc. XXI. UFP. Porto. 10 de Abril. 
paper [ pdf (1709KB) ] | presentation [ pdf(179KB) ]</t>
  </si>
  <si>
    <t xml:space="preserve"> *Targeting the Millennial Generation.*</t>
  </si>
  <si>
    <t>Simões, L. and Gouveia, L. (2008). *The University and the Social Web 
challenge*. Global University Network for Innovation. GUNI Newsletter, 
Issue 40 December 30. Available at 
*http://web.guni2005.upc.es/news/detail.php?chlang=en&amp;id=1289*. 
paper [ pdf(28KB) ]</t>
  </si>
  <si>
    <t xml:space="preserve">Simões, L. and Gouveia, L. </t>
  </si>
  <si>
    <t xml:space="preserve"> *The University and the Social Web 
challenge*. </t>
  </si>
  <si>
    <t xml:space="preserve">Simões, L. ; Gouveia, L. </t>
  </si>
  <si>
    <t>Gouveia, L. (2008). *Intelligent cities: from digital to social analogic.* 
Contemporary Architectural Challenges, CAC 08. 22-24 September, FAUP. Porto. 
presentation [ pdf(716KB) ]</t>
  </si>
  <si>
    <t xml:space="preserve"> *Intelligent cities: from digital to social analogic.*</t>
  </si>
  <si>
    <t>Gouveia, L. and Gouveia, F. (2008). *Distance Learning with Sakai.* 9th 
Sakai Conference Universite et Pierre Marie Curie. Paris, France, 1-3 July 
2008. 
presentation [ pdf(732KB) ]</t>
  </si>
  <si>
    <t xml:space="preserve"> *Distance Learning with Sakai.*</t>
  </si>
  <si>
    <t>Gouveia, F.; Gouveia, L. and Fernandes, N. (2008). *UFPUV contribution for 
the Deployment Sakai panel: an implementation Panel: the Sakai journey Part 
II.* 9th Sakai Conference Universite et Pierre Marie Curie. Paris, France, 
1-3 July 2008. 
presentation [ pdf( 83KB) ]</t>
  </si>
  <si>
    <t xml:space="preserve"> *UFPUV contribution for 
the Deployment Sakai panel: an implementation Panel: the Sakai journey Part 
II.*</t>
  </si>
  <si>
    <t>Gouveia, L. (2007). *The use of Sakai to deploy the UFP Virtual University 
Initiative*. GUIDE thematic workshop European area. 21th March. Krakow. 
Poland.
presentation [ pdf (384MB) ]</t>
  </si>
  <si>
    <t xml:space="preserve"> *The use of Sakai to deploy the UFP Virtual University 
Initiative*. </t>
  </si>
  <si>
    <t>Gouveia, F. e Gouveia, L. (2006). *Sakay in practice at an European 
University: UFP*. 1st European Sakai Day, 6-7 September 2006, Lüebeck. 
Germany.
apresentação [ pdf (732KB) ]</t>
  </si>
  <si>
    <t xml:space="preserve"> *Sakay in practice at an European 
University: UFP*. </t>
  </si>
  <si>
    <t>Gouveia, L. (2004).  *Cidades Digitais, o digital e implicações para o 
território*. Seminário Internacional Novas Tecnologias e Desenvolvimento 
Regional e Local Centro de Estudos Euro-Regionais Galiza-Norte de Portugal 
(CEER). 20 de Dezembro de 2004.
apresentação [ pdf (2540KB) ]</t>
  </si>
  <si>
    <t xml:space="preserve">  *Cidades Digitais, o digital e implicações para o 
território*. </t>
  </si>
  <si>
    <t>Seminário Internacional Novas Tecnologias e Desenvolvimento 
Regional e Local Centro de Estudos Euro-Regionais Galiza-Norte de Portugal 
(CEER).</t>
  </si>
  <si>
    <t>Gouveia, L. (2003). *Identidade para quê? Desafios ao território na 
Sociedade da Informação*. Workshop Sociedade da Informação: balanço e 
implicações. Universidade Fernando Pessoa. 11 e 12 de Dezembro.</t>
  </si>
  <si>
    <t xml:space="preserve"> *Identidade para quê? Desafios ao território na 
Sociedade da Informação*. </t>
  </si>
  <si>
    <t>Gouveia, L. (2003). *Agregar o Digital, o Virtual e o Real: reinventar o 
espaço e o tempo*. ExperimentaDesign 2003 – Bienal de Lisboa. 1000 
Plateaux. MULTIPLE SCALES PLUG IN – Escala Infinito / Desenho do Espaço 
Cibernético. Cinema São Jorge, Lisboa. 21 de Setembro.
texto [ pdf (16KB) ]</t>
  </si>
  <si>
    <t xml:space="preserve"> *Agregar o Digital, o Virtual e o Real: reinventar o 
espaço e o tempo*. </t>
  </si>
  <si>
    <t>Gouveia, J. and Gouveia, L. (2001). *EFTWeb: an environment to support 
context sharing for education settings*. e-business and e-work virtual 
conference. NEWEMMSEC. At 
*http://www.cheshirehenbury.com/ebew/virtconf.html*. 
edited paper [ pdf(29KB) ]</t>
  </si>
  <si>
    <t>Gouveia, L. (2001). *Divulgar conteúdos e partilhar experiências usando a 
World Wide Web*. I Seminário sobre o Estado da Sociedade da Informação em 
Portugal e Espanha. FEUP. Porto, 24 e 25 de Setembro.
paper [ pdf (10KB) ] | apresentação [ pdf (26KB) ]</t>
  </si>
  <si>
    <t xml:space="preserve"> *Divulgar conteúdos e partilhar experiências usando a 
World Wide Web*. </t>
  </si>
  <si>
    <t>Gouveia, L. (2001).*Is a virtual environment feasible to support knowledge 
sharing?* SSGRR 2001 International Conference on Advances in Infrastructure 
for Electronic Business, Science, and Education on the Internet, Scuola 
Superiore Guglielmo Reiss Romoli, L'Aquila, Italy, August, 6-12. ISBN: 
88-85280-61-7 
paper [ pdf (140KB)] | presentation [ pdf (492KB)] Also, invited for a 
plenary session pdf(459KB)</t>
  </si>
  <si>
    <t xml:space="preserve">*Is a virtual environment feasible to support knowledge 
sharing?* SSGRR 2001 International Conference on Advances in Infrastructure 
for Electronic Business, Science, and Education on the Internet, Scuola 
Superiore Guglielmo Reiss Romoli, L'Aquila, Italy, August, 6-12. </t>
  </si>
  <si>
    <t>Gouveia, L. (1999). *Beyond the NetLab: how to involve the community 
producers*. International Workshop on Distance Learning and Training (DLT) 
Porto, Portugal. 25 - 26 February. 
presentation: [ pdf(27KB) ]</t>
  </si>
  <si>
    <t xml:space="preserve"> *Beyond the NetLab: how to involve the community 
producers*. </t>
  </si>
  <si>
    <t>Gouveia, L. (1998). *The Role of Teachers in Rich Technological 
Environments.* 1st Workshop on Current Advances/Practice on 
Internet/Intranet Based ODL Porto, Portugal. 26th June. Proceedings in CD 
ROM edited by UNED IPP. 
paper: [ pdf (15KB) ] presentation: [ zipped postscript (20KB) ]</t>
  </si>
  <si>
    <t xml:space="preserve"> *The Role of Teachers in Rich Technological 
Environments.*</t>
  </si>
  <si>
    <t>paineis e mesas redondas / panels and roundtables</t>
  </si>
  <si>
    <t>Mascaranhas, R. et al. (2016). *Privacidade, cibersegurança e 
regulamentação económica*. Fórum da Arrábida: repensar o futuro da 
Sociedade da Informação. 15ª edição. APDSI. Convento da Arrábida. 7 de 
Outubro. 
[ documento ]</t>
  </si>
  <si>
    <t xml:space="preserve">Mascaranhas, R. et al. </t>
  </si>
  <si>
    <t xml:space="preserve"> *Privacidade, cibersegurança e 
regulamentação económica*. </t>
  </si>
  <si>
    <t>Gouveia, L. (2016).  Grupo de reflexão Privacidade e Cibersegurança 
(apresentação e moderação do grupo). Fórum da Arrábida: repensar o futuro 
da Sociedade da Informação. 15ª edição. APDSI. Convento da Arrábida. 7 de 
Outubro. 
[ apresentação ]</t>
  </si>
  <si>
    <t xml:space="preserve">  Grupo de reflexão Privacidade e Cibersegurança 
(apresentação e moderação do grupo). </t>
  </si>
  <si>
    <t>Gouveia, L. et al. (2016). Ciclo de Debates Arquivos, Bibliotecas e Museus: 
acesso à Informação. Arquivo Distrital do Porto. Associação Portuguesa de 
Bibliotecários, Arquivistas e Documentalistas e a Acesso Cultura. 21 de 
Junho. Porto. Participação como moderador.</t>
  </si>
  <si>
    <t xml:space="preserve"> Ciclo de Debates Arquivos, Bibliotecas e Museus: 
acesso à Informação. </t>
  </si>
  <si>
    <t>Mascaranhas, R. et al. (2015). *Mercado único digital europeu: 
transformações económicas, competências e empregabilidade*. Fórum da 
Arrábida: repensar o futuro da Sociedade da Informação. 14ª edição. APDSI. 
Convento da Arrábida. 16 de Outubro. 
[ documento ]</t>
  </si>
  <si>
    <t xml:space="preserve"> *Mercado único digital europeu: 
transformações económicas, competências e empregabilidade*. </t>
  </si>
  <si>
    <t>Gouveia, L. (2015). Grupo de reflexão eSkills (apresentação e moderação do 
grupo). Fórum da Arrábida: repensar o futuro da Sociedade da Informação. 
14ª edição. APDSI. Convento da Arrábida. 16 de Outubro. 
[ apresentação ]</t>
  </si>
  <si>
    <t xml:space="preserve"> Grupo de reflexão eSkills (apresentação e moderação do 
grupo). </t>
  </si>
  <si>
    <t>Gouveia, L. (2015). Ponto prévio ao grupo de reflexão eSkills 
(apresentação). Fórum da Arrábida: repensar o futuro da Sociedade da 
Informação. 14ª edição. APDSI. Convento da Arrábida. 16 de Outubro. 
[ apresentação ]</t>
  </si>
  <si>
    <t xml:space="preserve"> Ponto prévio ao grupo de reflexão eSkills 
(apresentação). </t>
  </si>
  <si>
    <t>Amaral, L.; Neves, A.; Gouveia, L.; Nascimento, J. e Leal, D. (2010). *Workshop 
sobre Participação*. Integrado no evento Portugal 2.0. Museu do Oriente. 
Lisboa. 23 de Novembro.
paper [ slideshare ]</t>
  </si>
  <si>
    <t xml:space="preserve">Amaral, L.; Neves, A.; Gouveia, L.; Nascimento, J. e Leal, D. </t>
  </si>
  <si>
    <t xml:space="preserve"> *Workshop 
sobre Participação*. </t>
  </si>
  <si>
    <t xml:space="preserve"> Neves, A.</t>
  </si>
  <si>
    <t xml:space="preserve"> Nascimento, J. e Leal, D. </t>
  </si>
  <si>
    <t>Gouveia, L. (coord.) (2009). *Competência na Sociedade da Informação para 
Superar a Crise.* Fórum da Arrábida. Repensar o futuro da Sociedade da 
Informação. O papel da Sociedade da Informação na superação da Crise. 9 e 
10 de Outubro. Arrábida.
apresentação [ slideshare | vídeo ]</t>
  </si>
  <si>
    <t xml:space="preserve"> *Competência na Sociedade da Informação para 
Superar a Crise.*</t>
  </si>
  <si>
    <t>Gouveia, L. (2007). *Painel Virtual Universities. EATIS 2007*. Universidade 
do Algarve. 15 de Maio. Faro.
apresentação [ pdf (24KB) ]</t>
  </si>
  <si>
    <t xml:space="preserve"> *Painel Virtual Universities. </t>
  </si>
  <si>
    <t>Gouveia, L. and Gouveia, J. (2005). *Gaia Global: a digital cities project*. 
IANIS Newsletter, nº 33, June 2005, pp 15-16.
texto [ pdf (76KB) ]</t>
  </si>
  <si>
    <t xml:space="preserve"> *Gaia Global: a digital cities project*. </t>
  </si>
  <si>
    <t>Vorderer, P. et al. (2003). *MEC‘s Two-Level Model of “Spatial Presence”.* 
FET Special meetings at PRESENCE 2003 conference. Aalborg. University. 
Denmark. 6-8 October. 
presentation [ pdf(268KB) ]</t>
  </si>
  <si>
    <t xml:space="preserve">Vorderer, P. et al. </t>
  </si>
  <si>
    <t xml:space="preserve"> *MEC‘s Two-Level Model of “Spatial Presence”.*</t>
  </si>
  <si>
    <t>Eventos Nacionais / National Meetings</t>
  </si>
  <si>
    <t>Gouveia, L. (2018). As questões associadas com a proteção do espaço 
digital. Model NATO 2018. Núcleo de Estudantes de Relações Internacionais 
da Universidade do Porto. (NERI-UP). Apresentação, 2 de Novembro. Faculdade 
de Letras da Universidade do Porto.
[ handle ]</t>
  </si>
  <si>
    <t xml:space="preserve"> As questões associadas com a proteção do espaço 
digital. </t>
  </si>
  <si>
    <t>Model NATO 2018. Núcleo de Estudantes de Relações Internacionais 
da Universidade do Porto. (NERI-UP).</t>
  </si>
  <si>
    <t>Gouveia, L. (2018). Plataformas digitais de serviço público e a prova 
digital. Conferencia Prova Digital. Ordem dos Advogados. Conselho Regional 
de Lisboa. Auditório António Domuingues de Azevedo. Lisboa. 29 de Outubro.
[ handle ]</t>
  </si>
  <si>
    <t xml:space="preserve"> Plataformas digitais de serviço público e a prova 
digital. </t>
  </si>
  <si>
    <t>Oliveira, M. e Gouveia, L. (2018). Um algoritmo de seleção polinomial para 
mensuração de densidade radiográfica. Dia do Doutoramento em Ciências da 
Informação, ramo Tecnologia, Sistemas e Gestão da Informação. 20 de Julho. 
Universidade Fernando Pessoa.  
[ handle ]</t>
  </si>
  <si>
    <t xml:space="preserve"> Um algoritmo de seleção polinomial para 
mensuração de densidade radiográfica. </t>
  </si>
  <si>
    <t>Carvalho, M. e Gouveia, L. (2018). Fluxo Informacionais: Interligações de 
Processos de Informação e Conhecimento. Dia do Doutoramento em Ciências da 
Informação, ramo Tecnologia, Sistemas e Gestão da Informação. 20 de Julho. 
Universidade Fernando Pessoa. 
[ handle ]</t>
  </si>
  <si>
    <t xml:space="preserve">Carvalho, M. e Gouveia, L. </t>
  </si>
  <si>
    <t xml:space="preserve"> Fluxo Informacionais: Interligações de 
Processos de Informação e Conhecimento. </t>
  </si>
  <si>
    <t>Araújo, A. e Gouveia, L. (2018). Tecnologia de Informação e Educação 
Aplicada ao Ensino Superior: Percepções em uma IES em Belém do Pará. Dia do 
Doutoramento em Ciências da Informação, ramo Tecnologia, Sistemas e Gestão 
da Informação. 20 de Julho. Universidade Fernando Pessoa. 
[ handle ]</t>
  </si>
  <si>
    <t xml:space="preserve"> Tecnologia de Informação e Educação 
Aplicada ao Ensino Superior: Percepções em uma IES em Belém do Pará. </t>
  </si>
  <si>
    <t>Correia, A. e Gouveia, L. (2018). Cidades Inteligentes e poder. Dia do 
Doutoramento em Ciências da Informação, ramo Tecnologia, Sistemas e Gestão 
da Informação. 20 de Julho. Universidade Fernando Pessoa. 
[ handle ]</t>
  </si>
  <si>
    <t xml:space="preserve"> Cidades Inteligentes e poder. </t>
  </si>
  <si>
    <t>Pinho, N. e Gouveia, L. (2018). O uso do governo digital pelo controle 
social no combate à corrupção pública no Ceará. Dia do Doutoramento em 
Ciências da Informação, ramo Tecnologia, Sistemas e Gestão da Informação. 
20 de Julho. Universidade Fernando Pessoa. 
[ handle ]</t>
  </si>
  <si>
    <t xml:space="preserve">Pinho, N. e Gouveia, L. </t>
  </si>
  <si>
    <t xml:space="preserve"> O uso do governo digital pelo controle 
social no combate à corrupção pública no Ceará. </t>
  </si>
  <si>
    <t>Araújo, P.; Gouveia, L. e Toldy, T. (2018). Sistema Esfera Pública Digital: 
uma plataforma digital para gestão da informação da Educação Especial. Dia 
do Doutoramento em Ciências da Informação, ramo Tecnologia, Sistemas e 
Gestão da Informação. 20 de Julho. Universidade Fernando Pessoa. 
[ handle ]</t>
  </si>
  <si>
    <t xml:space="preserve"> Sistema Esfera Pública Digital: 
uma plataforma digital para gestão da informação da Educação Especial. </t>
  </si>
  <si>
    <t>Gouveia, L. (2017). O Digital e as pessoas no contexto ciber. Cidadania, 
Democracia e Governação Eletrónica. Curso de Cibersegurança e Gestão de 
Crises no Ciberespaço. 5ª edição. 3 de Abril. Instituto Nacional de Defesa 
(IDN). Lisboa.
[ handle ]</t>
  </si>
  <si>
    <t xml:space="preserve"> O Digital e as pessoas no contexto ciber. </t>
  </si>
  <si>
    <t>Cidadania, 
Democracia e Governação Eletrónica. Curso de Cibersegurança e Gestão de 
Crises no Ciberespaço. 5ª edição. 3 de Abril. Instituto Nacional de Defesa 
(IDN).</t>
  </si>
  <si>
    <t>Gouveia, L. (2017). Da transmissão à partilha e do desempenho à interação. 
Tecnologias de ensino no “Saber Fazer”. Seminário Tecnologias no Ensino / 
formação Saber Fazer. 9 de Novembro de 2017, Auditório do Citeforma, Lisboa.
[ handle ]</t>
  </si>
  <si>
    <t xml:space="preserve"> Da transmissão à partilha e do desempenho à interação. </t>
  </si>
  <si>
    <t>(2017). Gouveia, L. (2017). O Digital e a Universidade uma reflexão para um 
tempo novo. Aula de Abertura do Mestrado em Comunicação Digital. 7 de 
Novembro de 2017, Universidade Católica Portuguesa, Braga.
[ handle ]</t>
  </si>
  <si>
    <t/>
  </si>
  <si>
    <t>(2017).</t>
  </si>
  <si>
    <t>Gouveia, L. (2017). Desafios e certezas para o Capital Humano e Intelectual 
na Administração Pública. Keynote do painel 3, Capacitação para as novas 
tecnologias. Conferência egovernment 2017. A transformação digital do 
Estado e o desenvolvimento da Sociedade. APDSI. Auditório da Torre do 
Tombo. Lisboa. 4 de Outubro.
[ handle ]</t>
  </si>
  <si>
    <t xml:space="preserve"> Desafios e certezas para o Capital Humano e Intelectual 
na Administração Pública. </t>
  </si>
  <si>
    <t>Menezes, N. e Gouveia, L. (2017). O recurso a tecnologias de informação e 
comunicação para suporte da atividade em sala de aula: uma proposta de 
modelo. Universidade Fernando Pessoa. Dias da Investigação na UFP. 11 a 14 
de Julho. Universidade Fernando Pessoa.
[ handle ]</t>
  </si>
  <si>
    <t>Alvre, P.; Gouveia, L. e Sousa, S. (2017). A study on using interface 
animations in online shopping sites. Dias da Investigação na UFP. 11 a 14 
de Julho. Universidade Fernando Pessoa. Dias da Investigação na UFP. 11 a 
14 de Julho. Universidade Fernando Pessoa. 
[ handle ]</t>
  </si>
  <si>
    <t xml:space="preserve">Alvre, P.; Gouveia, L. e Sousa, S. </t>
  </si>
  <si>
    <t xml:space="preserve"> A study on using interface 
animations in online shopping sites. </t>
  </si>
  <si>
    <t xml:space="preserve"> Gouveia, L. e Sousa, S. </t>
  </si>
  <si>
    <t>Oliveira, M. e Gouveia, L. (2017). Estudo da viabilidade da técnica de 
densidade radiográfica para mensuração de densidade óssea. Dias da 
Investigação na UFP. 11 a 14 de Julho. Universidade Fernando Pessoa.
[ handle ]</t>
  </si>
  <si>
    <t>Correia, A. e Gouveia, L. (2017). Cidades Digitais: uma perspetiva 
diferenciada dos espaços na cidade. Dias da Investigação na UFP. 11 a 14 de 
Julho. Universidade Fernando Pessoa.
[ handle ]</t>
  </si>
  <si>
    <t>Morgado, R. e Gouveia, L. (2017). A importância da proteção do ciberespaço. 
Dias da Investigação na UFP. 11 a 14 de Julho. Universidade Fernando Pessoa.
[ handle ]</t>
  </si>
  <si>
    <t>Khan, S. e Gouveia, L. (2017). Requirement for a MSL (Minimum Service 
Level) model for cloud providers and users. Dias da Investigação na UFP. 11 
a 14 de Julho. Universidade Fernando Pessoa. 
[ handle ]</t>
  </si>
  <si>
    <t xml:space="preserve">Khan, S. e Gouveia, L. </t>
  </si>
  <si>
    <t xml:space="preserve"> Requirement for a MSL (Minimum Service 
Level) model for cloud providers and users. </t>
  </si>
  <si>
    <t>Araújo, P.; Gouveia, L. e Toldy, T. (2017). Gestão de uma construção que 
possui uma dupla estrutura performativa: construtores e usuários como 
autores de uma plataforma digital. Dias da Investigação na UFP. 11 a 14 de 
Julho. Universidade Fernando Pessoa.
[ handle ]</t>
  </si>
  <si>
    <t xml:space="preserve"> Gestão de uma construção que 
possui uma dupla estrutura performativa: construtores e usuários como 
autores de uma plataforma digital. </t>
  </si>
  <si>
    <t>Erdem, M. e Gouveia, L. (2017). The concept of tourism security and 
importance of ICT usage in Portugal. Dias da Investigação na UFP. 11 a 14 
de Julho. Universidade Fernando Pessoa. 
[ handle ]</t>
  </si>
  <si>
    <t xml:space="preserve">Erdem, M. e Gouveia, L. </t>
  </si>
  <si>
    <t xml:space="preserve"> The concept of tourism security and 
importance of ICT usage in Portugal. </t>
  </si>
  <si>
    <t>Quental, C. e Gouveia, L. (2017). Mediação digital para participação 
pública: experiências de utilização em organizações sindicais. Dias da 
Investigação na UFP. 11 a 14 de Julho. Universidade Fernando Pessoa.
[ handle ]</t>
  </si>
  <si>
    <t>Alfredo, P. e Gouveia, L. (2017). Discussão de um modelo conceptual de 
Governo Eletrónico Local para Angola. Dias da Investigação na UFP. 11 a 14 
de Julho. Universidade Fernando Pessoa.
[ handle ]</t>
  </si>
  <si>
    <t xml:space="preserve"> Discussão de um modelo conceptual de 
Governo Eletrónico Local para Angola. </t>
  </si>
  <si>
    <t>Santos, F. e Gouveia, L. (2017). Estudo de fatores importantes da gestão do 
conhecimento para desenvolvimento no contexto do ensino superior. Dias da 
Investigação na UFP. 11 a 14 de Julho. Universidade Fernando Pessoa.
[ handle ]</t>
  </si>
  <si>
    <t xml:space="preserve"> Estudo de fatores importantes da gestão do 
conhecimento para desenvolvimento no contexto do ensino superior. </t>
  </si>
  <si>
    <t>Rocha, L. e Gouveia, L. (2017). A economia partilhada e os fatores que a 
influenciam. Dias da Investigação na UFP. 11 a 14 de Julho. Universidade 
Fernando Pessoa. Dias da Investigação na UFP. 11 a 14 de Julho. 
Universidade Fernando Pessoa.
[ handle ]</t>
  </si>
  <si>
    <t xml:space="preserve"> A economia partilhada e os fatores que a 
influenciam. </t>
  </si>
  <si>
    <t>Cordeiro, I.; Gouveia, L. e Cardoso, P. (2017). A atração dos consumidores 
para o comércio tradicional num contexto digital: requisitos e expetativas. 
Dias da Investigação na UFP. 11 a 14 de Julho. Universidade Fernando Pessoa.
[ handle ]</t>
  </si>
  <si>
    <t xml:space="preserve"> A atração dos consumidores 
para o comércio tradicional num contexto digital: requisitos e expetativas. </t>
  </si>
  <si>
    <t>Ramada, O. e Gouveia, L. (2017). Proposta de uma abordagem para a 
(re)qualificação dinâmica do capital intelectual. Dias da Investigação na 
UFP. 11 a 14 de Julho. Universidade Fernando Pessoa.
[ handle ]</t>
  </si>
  <si>
    <t xml:space="preserve">Ramada, O. e Gouveia, L. </t>
  </si>
  <si>
    <t xml:space="preserve"> Proposta de uma abordagem para a 
(re)qualificação dinâmica do capital intelectual. </t>
  </si>
  <si>
    <t>Biltes, N. e Gouveia, L. (2017). Comportamento organizacional: proposta de 
um questionário para estudo do impacto dos incentivos comunitários às 
empresas. O caso das microempresas. Dias da Investigação na UFP. 11 a 14 de 
Julho. Universidade Fernando Pessoa.
[ handle ]</t>
  </si>
  <si>
    <t xml:space="preserve">Biltes, N. e Gouveia, L. </t>
  </si>
  <si>
    <t xml:space="preserve"> Comportamento organizacional: proposta de 
um questionário para estudo do impacto dos incentivos comunitários às 
empresas. </t>
  </si>
  <si>
    <t>Silva, C. e Gouveia, L. (2017). Transparência, ‘e-government’ e segurança 
da informação: uma contribuição para a sua discussão no contexto do poder 
público. Dias da Investigação na UFP. 11 a 14 de Julho. Universidade 
Fernando Pessoa.
[ handle ]</t>
  </si>
  <si>
    <t>Salimo, G. e Gouveia, L. (2017). Dados preliminares sobre o nível de 
utilização e importâncias das TIC no ensino superior em Moçambique para o 
grupo alunos. Dias da Investigação na UFP. 11 a 14 de Julho. Universidade 
Fernando Pessoa.
[ handle ]</t>
  </si>
  <si>
    <t xml:space="preserve"> Dados preliminares sobre o nível de 
utilização e importâncias das TIC no ensino superior em Moçambique para o 
grupo alunos. </t>
  </si>
  <si>
    <t>Nogueira, D. e Gouveia, L. (2017). Estudo preliminar sobre competências nas 
redes digitais como estratégia de fortalecimento da Rede Nacional de 
Escolas de Governo do Brasil. Dias da Investigação na UFP. 11 a 14 de 
Julho. Universidade Fernando Pessoa.
[ handle ]</t>
  </si>
  <si>
    <t>Albuquerque, R. e Gouveia, L. (2017). Uso de modelos matemáticos 
interpretados em plataforma digital como estratégia para o ensino e 
aprendizagem da matemática. Dias da Investigação na UFP. 11 a 14 de Julho. 
Universidade Fernando Pessoa.
[ handle ]</t>
  </si>
  <si>
    <t xml:space="preserve">Albuquerque, R. e Gouveia, L. </t>
  </si>
  <si>
    <t xml:space="preserve"> Uso de modelos matemáticos 
interpretados em plataforma digital como estratégia para o ensino e 
aprendizagem da matemática. </t>
  </si>
  <si>
    <t>Robalo, A. e Gouveia, L. (2017). A introdução das TIC em sala de aula no 
ensino primário: formação de professores na província do Huambo para o 
projeto «Meu Kamba. Dias da Investigação na UFP. 11 a 14 de Julho. 
Universidade Fernando Pessoa.
[ handle ]</t>
  </si>
  <si>
    <t xml:space="preserve"> A introdução das TIC em sala de aula no 
ensino primário: formação de professores na província do Huambo para o 
projeto «Meu Kamba. </t>
  </si>
  <si>
    <t>Araújo, A. e Gouveia, L. (2017). O digital nas instituições de ensino 
superior: um diagnóstico sobre a perceção dos gestores e da comunidade 
académica do CESUPA. Dias da Investigação na UFP. 11 a 14 de Julho. 
Universidade Fernando Pessoa.
[ handle ]</t>
  </si>
  <si>
    <t xml:space="preserve"> O digital nas instituições de ensino 
superior: um diagnóstico sobre a perceção dos gestores e da comunidade 
académica do CESUPA. </t>
  </si>
  <si>
    <t>Lourenço, M.; Rurato, P. e Gouveia, L. (2017). Reaprendizagem do professor 
do ensino superior face ao triângulo educação, tecnologia e aprendizagem 
EaD. Dias da Investigação na UFP. 11 a 14 de Julho. Universidade Fernando 
Pessoa.
[ handle ]</t>
  </si>
  <si>
    <t xml:space="preserve"> Reaprendizagem do professor 
do ensino superior face ao triângulo educação, tecnologia e aprendizagem 
EaD. </t>
  </si>
  <si>
    <t>Cavalcante, A. e Gouveia, L. (2017). A influência do digital para a imagem 
do turismo no nordeste brasileiro. Dias da Investigação na UFP. 11 a 14 de 
Julho. Universidade Fernando Pessoa.
[ handle ]</t>
  </si>
  <si>
    <t>Gouveia, L. (2017). *Cultura Digital: usar e explorar dados e informação em 
2017.* I Encontro Formativo. Diretores, Pedagogos, Professores, Secretários 
e Técnicos. Auditório da Prefeitura. Betim, Minas Gerais, Brasil. 17 de 
Maio.
[ handle ]</t>
  </si>
  <si>
    <t xml:space="preserve"> *Cultura Digital: usar e explorar dados e informação em 
2017.*</t>
  </si>
  <si>
    <t>Gouveia, L. (2017). *A linguagem R: um ambiente para explorar dados e 
aprender com eles*. Hello World Conference. 3 de Maio. Universidade 
Fernando Pessoa.
[ handle ]</t>
  </si>
  <si>
    <t xml:space="preserve"> *A linguagem R: um ambiente para explorar dados e 
aprender com eles*. </t>
  </si>
  <si>
    <t>Gouveia, L. (2017). Digital para que te quero... Turismo e Património 
Cultural: Inovação e Tecnologia. Estado da Arte. Casa das Artes. Porto. 30 
de Março. PPorto.pt e VerdeNovo.  
[ handle ]</t>
  </si>
  <si>
    <t xml:space="preserve"> Digital para que te quero..</t>
  </si>
  <si>
    <t>Gouveia, L. (2017).  O Digital e as Pessoas como Nova Tecnologia. Painel 
Cidadania, Democracia e Governação Eletrónica. Curso de Cibersegurança e 
Gestão de Crises do Ciberespaço. (4ª edição). IDN, Instituto de Defesa 
Nacional. 20 de Março. Lisboa. 
[ handle ]</t>
  </si>
  <si>
    <t xml:space="preserve">  O Digital e as Pessoas como Nova Tecnologia. </t>
  </si>
  <si>
    <t>Painel 
Cidadania, Democracia e Governação Eletrónica. Curso de Cibersegurança e 
Gestão de Crises do Ciberespaço. (4ª edição).</t>
  </si>
  <si>
    <t>Gouveia, L.  (2017). *Cooperar no contexto do digital das redes e do 
território.* Workshop Cooperar para Ganhar. Rede Colaborativa +Turismo 
+Sabor. ACISAT e ADRAT. 13 de Março. Hotel Casino. Chaves.  
[ handle ]</t>
  </si>
  <si>
    <t xml:space="preserve">Gouveia, L.  </t>
  </si>
  <si>
    <t xml:space="preserve"> *Cooperar no contexto do digital das redes e do 
território.*</t>
  </si>
  <si>
    <t>Gouveia, L. (2016).  R: a alternativa ao SPSS e ao NVivo em software livre. 
*TRS Talk. University Fernando Pessoa. 7 Dezembro. 
[ handle ]</t>
  </si>
  <si>
    <t xml:space="preserve">  R: a alternativa ao SPSS e ao NVivo em software livre. </t>
  </si>
  <si>
    <t>Gouveia, L. (2016).  Holacracy as an alternative to organisations 
governance. *TRS Talk. Fernando Pessoa Hall. University Fernando Pessoa. 16 
November. 
[ handle ]</t>
  </si>
  <si>
    <t xml:space="preserve">  Holacracy as an alternative to organisations 
governance. </t>
  </si>
  <si>
    <t>Gouveia, L. (2016).  O digital, a sustentabilidade e a viagem do open 
source ao open data. II Jornadas de Sistemas Open Source. Associação 
Portuguesa de Bibliotecários, Arquivistas e Documentalistas (BAD). 
Universidade de Aveiro. 17 de Outubro. 
[ apresentação ]</t>
  </si>
  <si>
    <t xml:space="preserve">  O digital, a sustentabilidade e a viagem do open 
source ao open data. </t>
  </si>
  <si>
    <t>II Jornadas de Sistemas Open Source. Associação 
Portuguesa de Bibliotecários, Arquivistas e Documentalistas (BAD).</t>
  </si>
  <si>
    <t>Gouveia, L. (2016). Desafios da segurança da informação: da sua cultura e 
aplicação à confidencialidade. Ciclo de Conferências Entre Arquivos. Minas 
de Sal Gema. 9 de Junho. Dia Nacional de Arquivos. Loulé.
[ handle ]</t>
  </si>
  <si>
    <t xml:space="preserve"> Desafios da segurança da informação: da sua cultura e 
aplicação à confidencialidade. </t>
  </si>
  <si>
    <t>Gouveia, L. (2016). Uma discussão do impacte do digital (dos computadores 
aos fluxos de informação em rede). Aula Aberta. Pós Graduação em Jornalismo 
Especializado, UFP/LUSA. Auditório A1 da Universidade Fernando Pessoa. 23 
de Abril.
[ handle ]</t>
  </si>
  <si>
    <t xml:space="preserve"> Uma discussão do impacte do digital (dos computadores 
aos fluxos de informação em rede). </t>
  </si>
  <si>
    <t>Lourenço, M.; Rurato, P. e Gouveia, L. (2016). Educação, tecnologia, 
aprendizagem – exaltação à negação: a busca da relevância. Dias de 
Investigação na UFP. 9 a 11 de Março. Universidade Fernando Pessoa. Porto.
[ handle ]</t>
  </si>
  <si>
    <t xml:space="preserve"> Educação, tecnologia, 
aprendizagem – exaltação à negação: a busca da relevância. </t>
  </si>
  <si>
    <t>Araújo, P.; Gouveia, L. e Toldy, T. (2016). Esfera Pública Digital. Dias de 
Investigação na UFP. 9 a 11 de Março. Universidade Fernando Pessoa. Porto.
[ handle ]</t>
  </si>
  <si>
    <t xml:space="preserve"> Esfera Pública Digital. </t>
  </si>
  <si>
    <t>Lopes, S.; Gouveia, L. e Reis, P. (2016). O modelo de ensino da flipped 
classroom (sala de aula invertida) no âmbito do ensino superior. Dias de 
Investigação na UFP. 9 a 11 de Março. Universidade Fernando Pessoa. Porto.
[ handle ]</t>
  </si>
  <si>
    <t xml:space="preserve"> O modelo de ensino da flipped 
classroom (sala de aula invertida) no âmbito do ensino superior. </t>
  </si>
  <si>
    <t>Araújo, A. e Gouveia, L. (2016). As TICs aplicadas no ensino superior: um 
estudo de caso no contexto de uma IES particular na cidade de Belém do 
Pará. Dias de Investigação na UFP. 9 a 11 de Março. Universidade Fernando 
Pessoa. Porto.
[ handle ]</t>
  </si>
  <si>
    <t xml:space="preserve"> As TICs aplicadas no ensino superior: um 
estudo de caso no contexto de uma IES particular na cidade de Belém do 
Pará. </t>
  </si>
  <si>
    <t>Morgado, R. e Gouveia, L. (2016). O recurso e a contribuição potencial da 
inteligência artificial para a cibersegurança em ambientes digitais. Dias 
de Investigação na UFP. 9 a 11 de Março. Universidade Fernando Pessoa. 
Porto.
[ handle ]</t>
  </si>
  <si>
    <t>Correia, A. e Gouveia, L. (2016). Região Norte NUT II – como valor 
acrescentado no desenvolvimento digital da região. Dias de Investigação na 
UFP. 9 a 11 de Março. Universidade Fernando Pessoa. Porto.
[ handle ]</t>
  </si>
  <si>
    <t xml:space="preserve"> Região Norte NUT II – como valor 
acrescentado no desenvolvimento digital da região. </t>
  </si>
  <si>
    <t>Menezes, N. e Gouveia, L. (2016). O recurso a tecnologias de informação e 
comunicação para suporte da atividade em sala de aula de professores e 
formadores. Dias de Investigação na UFP. 9 a 11 de Março. Universidade 
Fernando Pessoa. Porto.
[ handle ]</t>
  </si>
  <si>
    <t xml:space="preserve"> O recurso a tecnologias de informação e 
comunicação para suporte da atividade em sala de aula de professores e 
formadores. </t>
  </si>
  <si>
    <t>Robalo, A. e Gouveia, L. (2016). A promoção da cultura digital nos 
professores do 1º e 2º ciclo do ensino secundário, Município do Huambo: A 
Mediateca como agente na promoção da Cultura Digital. Apresentação de 
resultados do projecto de doutoramento. 8 de Março. *TRS. Universidade 
Fernando Pessoa. Porto.
[ handle ]</t>
  </si>
  <si>
    <t xml:space="preserve"> A promoção da cultura digital nos 
professores do 1º e 2º ciclo do ensino secundário, Município do Huambo: A 
Mediateca como agente na promoção da Cultura Digital. </t>
  </si>
  <si>
    <t>Peres, P. e Gouveia, L. (2015). *Planeamento e Gestão da Mudança nos 
Processos de Implementação de Sistemas dee/b-learning*. Dias da 
Investigação UFP. 11-13 Março. Universidade Fernando Pessoa. Porto.</t>
  </si>
  <si>
    <t>Leal, J. e Gouveia, L. (2015). MOOC: qual o papel na reconceptualização da 
Universidade? Dias da Investigação UFP. 11-13 Março. Universidade Fernando 
Pessoa. Porto.</t>
  </si>
  <si>
    <t xml:space="preserve"> MOOC: qual o papel na reconceptualização da 
Universidade? Dias da Investigação UFP. </t>
  </si>
  <si>
    <t>Robalo, A. e Gouveia, L. (2015). O contributo da Mediateca do Huambo na 
promoção de competências TIC para professores. Dias da Investigação UFP. 
11-13 Março. Universidade Fernando Pessoa. Porto.</t>
  </si>
  <si>
    <t xml:space="preserve"> O contributo da Mediateca do Huambo na 
promoção de competências TIC para professores. </t>
  </si>
  <si>
    <t>Martins, O. e Gouveia, L. (2015). Bibliotecas académicas, lugar ou ponto de 
acesso? Dias da Investigação UFP. 11-13 Março. Universidade Fernando 
Pessoa. Porto.</t>
  </si>
  <si>
    <t xml:space="preserve"> Bibliotecas académicas, lugar ou ponto de 
acesso? Dias da Investigação UFP. </t>
  </si>
  <si>
    <t>Alfredo, P. e Gouveia, L. (2015). Contribuições para a discussão de um 
modelo de governo electrónico local para Angola. Dias da Investigação UFP. 
11-13 Março. Universidade Fernando Pessoa. Porto.</t>
  </si>
  <si>
    <t xml:space="preserve"> Contribuições para a discussão de um 
modelo de governo electrónico local para Angola. </t>
  </si>
  <si>
    <t>Abrantes, S. e Gouveia, L. (2015). Um estudo empírico sobre a adopção de 
meios digitais para suporte à aprendizagem colaborativa. Dias da 
Investigação UFP. 11-13 Março. Universidade Fernando Pessoa. Porto.</t>
  </si>
  <si>
    <t xml:space="preserve"> Um estudo empírico sobre a adopção de 
meios digitais para suporte à aprendizagem colaborativa. </t>
  </si>
  <si>
    <t>Silva, P. and Gouveia, L. (2015). The impact of digital in learning spaces: 
an analysis on the perspective of teachers in higher education. Research 
Days at UFP. 11th to 13th March. University Fernando Pessoa. Porto.</t>
  </si>
  <si>
    <t xml:space="preserve"> The impact of digital in learning spaces: 
an analysis on the perspective of teachers in higher education. </t>
  </si>
  <si>
    <t>Ferreira, A. e Gouveia, L. (2015). O ensino e os novos sistemas de 
computação. Dias da Investigação UFP. 11-13 Março. Universidade Fernando 
Pessoa. Porto.</t>
  </si>
  <si>
    <t xml:space="preserve"> O ensino e os novos sistemas de 
computação. </t>
  </si>
  <si>
    <t>Gouveia, L. (2015). Cidades Inteligentes: a exploração do digital para um 
territóriio melhor. Jornadas de Gestão. Cidades Inteligentes e Inclusivas. 
Universidade Lusófona, 14 de Abril. Porto.
[ handle ]</t>
  </si>
  <si>
    <t xml:space="preserve"> Cidades Inteligentes: a exploração do digital para um 
territóriio melhor. </t>
  </si>
  <si>
    <t>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
[ handle ]</t>
  </si>
  <si>
    <t xml:space="preserve"> Desafios e oportunidades da Sociedade em Rede para o 
ensino e a aprendizagem. </t>
  </si>
  <si>
    <t>Gouveia, L. (2014). Segurança Informática: contexto, conceitos e desafios. 
Rotary Club Vizela. 18 de Junho. Vizela.
[ apresentação ]</t>
  </si>
  <si>
    <t xml:space="preserve"> Segurança Informática: contexto, conceitos e desafios. </t>
  </si>
  <si>
    <t>Gouveia, L. (2013). *Sociedade da Informação. Uma quase teologia da 
revolução*. Mestrado em Sistemas de Informação. Universidade do Minho, 
Guimarães. 20 de Dezembro.
[ presentation ]</t>
  </si>
  <si>
    <t xml:space="preserve"> *Sociedade da Informação. </t>
  </si>
  <si>
    <t>Gouveia, L. (2013). Encontro sobre Investigação, Desenvolvimento e 
Inovação. Apresentação no Encontro sobre Investigação, Desenvolvimento e 
Inovação. Bureau Veritas e Qtel. Pavilhão do Conhecimento, Lisboa, 7 de 
Outubro.
[ apresentação ]</t>
  </si>
  <si>
    <t xml:space="preserve"> Encontro sobre Investigação, Desenvolvimento e 
Inovação. </t>
  </si>
  <si>
    <t>Gouveia, L. (2013). Mobilidade Digital. Debate do tema Mobilidade. Debate 
no âmbito da candidatura independente ao município de Vila Nova de Gaia. 25 
de Julho. Vila Nova de Gaia.
[ apresentação ]</t>
  </si>
  <si>
    <t xml:space="preserve"> Mobilidade Digital. </t>
  </si>
  <si>
    <t>Gouveia, L. (2013). Reunião de trabalho e integração de atividade. Grupo 
*TRS. 24 de Julho. Instituto Politécnico de Viseu, Viseu.
[ apresentação ]</t>
  </si>
  <si>
    <t xml:space="preserve"> Reunião de trabalho e integração de atividade. </t>
  </si>
  <si>
    <t>Gouveia, L. (2013). *Redes e Território*. Seminário, Mestrado de 
Administração Pública. Instituto Politécnico da Guarda. 17 de Maio.
[ apresentação ]</t>
  </si>
  <si>
    <t xml:space="preserve"> *Redes e Território*. </t>
  </si>
  <si>
    <t>Gouveia, L. e Neves, J. (2013). *Grupo *TRS: T – Tecnologia, R – Redes, S – 
Sociedade. Enquadramento e apresentação*. Universidade Fernando Pessoa. 13 
de Maio.
[ apresentação ]</t>
  </si>
  <si>
    <t xml:space="preserve">Gouveia, L. e Neves, J. </t>
  </si>
  <si>
    <t xml:space="preserve"> *Grupo *TRS: T – Tecnologia, R – Redes, S – 
Sociedade. </t>
  </si>
  <si>
    <t>Gouveia, L. (2013). *The Library, the digital and the quest for open 
access.* UFP's Erasmus Staff Week for Librarians. Workshop. Universidade 
Fernando Pessoa. 20th March.
[ slideshare ]</t>
  </si>
  <si>
    <t xml:space="preserve"> *The Library, the digital and the quest for open 
access.*</t>
  </si>
  <si>
    <t>Gouveia, L. (2012). Tudo mudou e o trabalho também. trabalhar no Séc. XXI. 
IGNITE Portugal, Desemprego e trabalhador. Galarias de Paris. Porto. 14 de 
Novembro.
[ slideshare ]</t>
  </si>
  <si>
    <t xml:space="preserve"> Tudo mudou e o trabalho também. </t>
  </si>
  <si>
    <t>Gouveia, L. (2012). Apresentação da 14ª Tomada de Posição do GAN. Cultura e 
Arte na SI - Indústrias Criativas. APDSI - GAN. Guimarães: auditório da 
Plataforma das Artes. 29 de Setembro.
[ slideshare ]</t>
  </si>
  <si>
    <t xml:space="preserve"> Apresentação da 14ª Tomada de Posição do GAN. </t>
  </si>
  <si>
    <t>Gouveia, L. (2012). O uso de dispositivos móveis no ensino superior 
tradicional: do fluxo de informação à organização de espaços. Workshop 2 
anos do e-learning Lab da UL. Salão Nobre da Reitoria da Universidade de 
Lisboa. Universidade de Lisboa, 3 de Junho.
[ slideshare ]</t>
  </si>
  <si>
    <t xml:space="preserve"> O uso de dispositivos móveis no ensino superior 
tradicional: do fluxo de informação à organização de espaços. </t>
  </si>
  <si>
    <t>Gouveia, L. (2012). Educação Sustentável e Redes de Aprendizagem. Social 
Media Day. Mashable. Convento Corpus Christi. Vila Nova de Gaia, Portugal.
[ slideshare ]</t>
  </si>
  <si>
    <t xml:space="preserve"> Educação Sustentável e Redes de Aprendizagem. </t>
  </si>
  <si>
    <t>Gouveia, L. (2012). A Universidade e a Sociedade do Conhecimento 
(manifesto). 21º IGNITE Portugal. Galerias de Paris. 11 de Abril. Porto.
apresentação [ slideshare ] video [ youtube ]</t>
  </si>
  <si>
    <t xml:space="preserve"> A Universidade e a Sociedade do Conhecimento 
(manifesto). </t>
  </si>
  <si>
    <t>Gouveia, L. (2012). Participar na e descobrir informação: o digital e o 
papel da biblioteca. II Encontro Bibliotecas Escolares. Biblioteca 
Municipal de Barcelos. 9 de Março. Barcelos.
apresentação [ slideshare ]</t>
  </si>
  <si>
    <t xml:space="preserve"> Participar na e descobrir informação: o digital e o 
papel da biblioteca. </t>
  </si>
  <si>
    <t>Gouveia, L. (2011). As oportunidades e desafios do digital para o 
território: do e-government ao e-governance. Sistemas de Informação na 
Administração Pública. Mestrado em Gestão, do ramo de Administração 
Pública. Escola Superior de Gestão. Instituto Politécnico da Guarda. 
Guarda, 14 de Outubro.
apresentação [ slideshare ]</t>
  </si>
  <si>
    <t xml:space="preserve"> As oportunidades e desafios do digital para o 
território: do e-government ao e-governance. </t>
  </si>
  <si>
    <t>Gouveia, L. (2011). Participação no Dia Mundial de Redes. Exponor. 30 de 
Junho.</t>
  </si>
  <si>
    <t xml:space="preserve"> Participação no Dia Mundial de Redes. </t>
  </si>
  <si>
    <t>Gouveia, L. (2011). A Governação Digital na Autarquia e o tempo das redes. 
Palestra de Negócio e Governo Electrónico na Pós-Graduação em Informação 
Empresarial. Escola Superior de Estudos Industriais e de Gestão 
(Politécnico do Porto). Vila do Conde. 5 de Março.
apresentação [ slideshare ]</t>
  </si>
  <si>
    <t xml:space="preserve"> A Governação Digital na Autarquia e o tempo das redes. </t>
  </si>
  <si>
    <t xml:space="preserve">
Palestra de Negócio e Governo Electrónico na Pós-Graduação em Informação 
Empresarial. Escola Superior de Estudos Industriais e de Gestão 
(Politécnico do Porto).</t>
  </si>
  <si>
    <t>Gouveia, L. (2010). Gerir conhecimento, com o território e com as pessoas. 
Palestra convidada no Seminário Emprego e Formação na Administração Local. 
Universidade do Minho, Braga, 3 de Dezembro.
apresentação [ slideshare ]</t>
  </si>
  <si>
    <t xml:space="preserve"> Gerir conhecimento, com o território e com as pessoas. </t>
  </si>
  <si>
    <t>Gouveia, L. (2010). *Dinamizar, aproximar e projectar o território com o 
digital*. Conferência Cidades pela Retoma. 20-21 de Outubro. Clube 
Literário do Porto. Porto, 21 de Outubro.
apresentação [ slideshare ]</t>
  </si>
  <si>
    <t xml:space="preserve"> *Dinamizar, aproximar e projectar o território com o 
digital*. </t>
  </si>
  <si>
    <t>Gouveia, L. (2010). *Opensource e a Sociedade da Informação: uma crítica 
sobre os custos associados*. Semana do Acesso Livre da Universidade 
Fernando Pessoa. Porto, 19 de Outubro.
apresentação [ slideshare ]</t>
  </si>
  <si>
    <t xml:space="preserve"> *Opensource e a Sociedade da Informação: uma crítica 
sobre os custos associados*. </t>
  </si>
  <si>
    <t>Gouveia, L. (2010). *Democracy for a New Age*. World e.gov Forum. 
Presentation at the European e-democracy Awards. Hotel de Ville d’ 
Issy-les-Moulineaux. Paris. 14th October. 
apresentação [ slideshare ]</t>
  </si>
  <si>
    <t xml:space="preserve"> *Democracy for a New Age*. </t>
  </si>
  <si>
    <t>Gouveia, L. (2010). *Beyond digital cities: a territorial concern on how to 
cope with globilisation*. Research Seminar. University East London (UEL). 
London, 15th September. 
presentation [ slideshare ]</t>
  </si>
  <si>
    <t xml:space="preserve"> *Beyond digital cities: a territorial concern on how to 
cope with globilisation*. </t>
  </si>
  <si>
    <t>Research Seminar. University East London (UEL).</t>
  </si>
  <si>
    <t>Gouveia, L. (2010). Uma reflexão crítica sobre a soberania da escola e do 
professor face às TIC. Seminário no Mestrado TIC na Educação. Universidade 
Portucalense. Porto, 11 de Setembro de 2010.
apresentação [ slideshare ]</t>
  </si>
  <si>
    <t xml:space="preserve"> Uma reflexão crítica sobre a soberania da escola e do 
professor face às TIC. </t>
  </si>
  <si>
    <t>Gouveia, L. (2010). O tempo das redes. Apresentação no 7º Ignite Portugal. 
IGNITE. The Hub. Porto, 14 de Julho.
apresentação [ slideshare ]</t>
  </si>
  <si>
    <t xml:space="preserve"> O tempo das redes. </t>
  </si>
  <si>
    <t>Gouveia, L. (2010). Uma reflexão crítica sobre a Web Social e o seu uso no 
ensino superior. LEA – Workshop sobre meios não convencionais de 
comunicação com estudantes. Faculdade de Engenharia da Universidade do 
Porto. Porto, 7 de Julho.
apresentação [ slideshare ]</t>
  </si>
  <si>
    <t xml:space="preserve"> Uma reflexão crítica sobre a Web Social e o seu uso no 
ensino superior. </t>
  </si>
  <si>
    <t>Gouveia, L. (2010). Ousar e fazer nas (e com) redes sociais! Portugal 
Social Media Day. UPTEC – Parque de Ciência e Tecnologia da Universidade do 
Porto. Porto, 30 de Junho.
apresentação [ slideshare ]</t>
  </si>
  <si>
    <t xml:space="preserve"> Ousar e fazer nas (e com) redes sociais! Portugal 
Social Media Day. </t>
  </si>
  <si>
    <t>Gouveia, L. (2010). Local e-government. A governação digital na autarquia. 
Palestra no Mestrado em Gestão, do ramo de Administração Pública. Escola 
Superior de Gestão do Instituto Politécnico da Guarda. Guarda, 25 de Junho.
apresentação [ slideshare ]</t>
  </si>
  <si>
    <t xml:space="preserve"> Local e-government. </t>
  </si>
  <si>
    <t>Gouveia, L. (2010). Tecnologia e Educação – como? Seminário Educar Hoje. O 
futuro da educação começa hoje. Escola Secundária/3 de Carregal do Sal, 
Carregal do Sal, 5 de Junho.
apresentação [ slideshare ]</t>
  </si>
  <si>
    <t xml:space="preserve"> Tecnologia e Educação – como? Seminário Educar Hoje. </t>
  </si>
  <si>
    <t>Gouveia, L. (2010). Governação dos Sistemas e Tecnologias de Informação na 
Administração Pública. Audioconferência: Instituto Nacional de 
Administração. Lisboa, 14 de Maio.
presentation [ slideshare ]</t>
  </si>
  <si>
    <t xml:space="preserve"> Governação dos Sistemas e Tecnologias de Informação na 
Administração Pública. </t>
  </si>
  <si>
    <t>Gouveia, L. (2010). Informação e conhecimento – o lado social da 
tecnologia. 1º Workshop de Ciências da Informação. Universidade Fernando 
Pessoa. Porto, 7 de Maio.
apresentação [ slideshare ]</t>
  </si>
  <si>
    <t xml:space="preserve"> Informação e conhecimento – o lado social da 
tecnologia. </t>
  </si>
  <si>
    <t>Gouveia, L. (2010). *A escola e os novos desafios - A escola, o digital e o 
professor – um triângulo amoroso*. Think 2010. Agrupamento de Escolas 
Fajões. Fajões, 26 de Abril.
apresentação [ slideshare ]</t>
  </si>
  <si>
    <t xml:space="preserve"> *A escola e os novos desafios - A escola, o digital e o 
professor – um triângulo amoroso*. </t>
  </si>
  <si>
    <t>Gouveia, L. (2010). *What’s up with the physical dimension in the digital 
world?* Global Ignite week. IGNITE. Escola Superior de Gestão do Porto. 
Porto, 4 de Março. 
presentation [ slideshare ]</t>
  </si>
  <si>
    <t xml:space="preserve"> *What’s up with the physical dimension in the digital 
world?* Global Ignite week. </t>
  </si>
  <si>
    <t>Gouveia, L. (2010). Revisitar o estudo APDSI. Modelos de Governação. FESI, 
Jantar Executivo. Ordem dos Engenheiros. Lisboa, 27 de Janeiro.
apresentação [ slideshare ]</t>
  </si>
  <si>
    <t xml:space="preserve"> Revisitar o estudo APDSI. </t>
  </si>
  <si>
    <t>Gouveia, L. (2009). Viver o digital com novas competências. Ignite 
Portugal. IGNITE #1. 15 de Outubro. Lisboa.
apresentação [ slideshare | video ]</t>
  </si>
  <si>
    <t xml:space="preserve"> Viver o digital com novas competências. </t>
  </si>
  <si>
    <t>Gouveia, L. (2009). *UFP ongoing experience with Sakai. The last three 
years*. Learning Management Systems (LMS) usage in Higher Education 
Institutions´ Meeting. ISCAP, Porto 28th May.</t>
  </si>
  <si>
    <t xml:space="preserve"> *UFP ongoing experience with Sakai. </t>
  </si>
  <si>
    <t>Gouveia, L. (2009). *Evolução da Internet &amp; Web.* Apresentação na 
Universidade Fernando Pessoa. 19 e 21 de Maio.
apresentação [ pdf (1340KB)]</t>
  </si>
  <si>
    <t xml:space="preserve"> *Evolução da Internet &amp; Web.*</t>
  </si>
  <si>
    <t>Gouveia, L. (2008). *Novas abordagens para a Gestão do Conhecimento*. 
Palestra sobre Gestão do Conhecimento. ISLA. Porto, 23 de Maio.
apresentação [ pdf (1187KB)]</t>
  </si>
  <si>
    <t xml:space="preserve"> *Novas abordagens para a Gestão do Conhecimento*. </t>
  </si>
  <si>
    <t>Gouveia, L. (2009). *Modelos de Governação na Sociedade da Informação e do 
Conhecimento*. Apresentação de Estudo APDSI. Associação para a Promoção e 
Desenvolvimento da Sociedade da Informação. Calouste Gulbenkian. Lisboa. 21 
de Abril.
Apresentação [ pdf (660KB)]</t>
  </si>
  <si>
    <t xml:space="preserve"> *Modelos de Governação na Sociedade da Informação e do 
Conhecimento*. </t>
  </si>
  <si>
    <t>Gouveia, L. (2008). *Uma perspectiva sobre o Negócio Electrónico.* 
Seminário sobre Negócio Electrónico. ISCAP. Porto, 21 de Maio.
apresentação [ pdf (490KB)]</t>
  </si>
  <si>
    <t xml:space="preserve"> *Uma perspectiva sobre o Negócio Electrónico.*</t>
  </si>
  <si>
    <t>Gouveia, L. (2008). *As Tecnologias e as Pessoas: um testemunho próprio da 
Sociedade da Informação.* X Jornadas do Departamento de Sociologia. O mundo 
em mudança. Universidade de Évora. Évora, 15 de Maio.
apresentação [ pdf (807KB)]</t>
  </si>
  <si>
    <t xml:space="preserve"> *As Tecnologias e as Pessoas: um testemunho próprio da 
Sociedade da Informação.*</t>
  </si>
  <si>
    <t>Gouveia, L. (2008). *Território: implicações do digital.* Seminário 
Governação na era digital. Tâmega Digital. Amarante. 27 de Fevereiro.
apresentação [ pdf ( 401KB) ]</t>
  </si>
  <si>
    <t xml:space="preserve"> *Território: implicações do digital.*</t>
  </si>
  <si>
    <t>Gouveia, L. (2007). *Web 2.0: finalmente a Web somos nós.* Feira das 
Carreiras. Colégio Luso Internacional do Porto (CLIP). 2 de Março.
apresentação [ pdf (2,29MB) ]</t>
  </si>
  <si>
    <t>: finalmente a Web somos nós.* Feira das 
Carreiras. Colégio Luso Internacional do Porto (CLIP).</t>
  </si>
  <si>
    <t>Gouveia, L. (2007). *Apresentação do Projecto Comunidade Digital de 
Professores*. Auditório do Centro de Formação da Escola Secundária com 3º 
Ciclo Dr. Joaquim Gomes Ferreira Alves. 7 de Fevereiro.
apresentação [ pdf (183KB) ]</t>
  </si>
  <si>
    <t xml:space="preserve"> *Apresentação do Projecto Comunidade Digital de 
Professores*. </t>
  </si>
  <si>
    <t>Gouveia, L. (2006). *A Sociedade da Informação e do Conhecimento: Ensaio 
sobre a exploração e oportunidades no contexto da Sociedade da Informação*. 
Semana dos Sistemas de Informação – Seminários de Informática de Gestão. 
Escola Superior de Gestão – Instituto Politécnico de Santarém. 18 de 
Novembro de 2006.
apresentação [ pdf (660KB)]</t>
  </si>
  <si>
    <t xml:space="preserve"> *A Sociedade da Informação e do Conhecimento: Ensaio 
sobre a exploração e oportunidades no contexto da Sociedade da Informação*. </t>
  </si>
  <si>
    <t>Gouveia, L. (2006). *Viver numa Sociedade da Informação e do Conhecimento. 
Desafios de hoje e amanhã*. Dia Internacional dos Sistemas de Informação 
Geográfica “GIS DAY”. Faculdade de Engenharia de Recursos Naturais – 
Universidade do Algarve. 15 de Novembro de 2006.
apresentação [ pdf (616KB)]</t>
  </si>
  <si>
    <t xml:space="preserve"> *Viver numa Sociedade da Informação e do Conhecimento. </t>
  </si>
  <si>
    <t>Gouveia, L. (2006). *Flexibilidade do trabalho, produtividade e gestão 
empresarial: uma visão tecnológica.* Seminário Modalidade Flexíveis de 
Trabalho AEP – 21 de Setembro de 2006.
apresentação [ pdf (852KB)]</t>
  </si>
  <si>
    <t xml:space="preserve"> *Flexibilidade do trabalho, produtividade e gestão 
empresarial: uma visão tecnológica.*</t>
  </si>
  <si>
    <t>Gouveia, L. e Gouveia, F. (2006). *UFP-UV: plano de acção do terceiro ano 
de actividade*. Anfiteatro da Saúde. Porto, 9 de Junho.
apresentação [ pdf (480KB)]</t>
  </si>
  <si>
    <t xml:space="preserve"> *UFP-UV: plano de acção do terceiro ano 
de actividade*. </t>
  </si>
  <si>
    <t>Gouveia, L. (2006). Gestão da Informação: oportunidade ou necessidade. 
Apresentação no IESF. Vila Nova de  Gaia, 12 de Abril.
apresentação [ pdf (462KB)]</t>
  </si>
  <si>
    <t xml:space="preserve"> Gestão da Informação: oportunidade ou necessidade. </t>
  </si>
  <si>
    <t>Gouveia, L. (2006). *IT Governance - uma janela de oportunidades*. 14º ERSI 
- A Governança dos SI/TI na Administração Pública: O quê, como, onde e 
porquê? Hotel do Vimeiro, 22 de Março.
apresentação [ pdf (357KB)]</t>
  </si>
  <si>
    <t xml:space="preserve"> *IT Governance - uma janela de oportunidades*. </t>
  </si>
  <si>
    <t>Gouveia, L. (2006). *Gestão de Projectos Multimédia*. Aula convidada na Pós 
Graduação de Sistemas de Informação. Escola de Ciência e Tecnologia. 
Instituto Politécnico de Castelo Branco. 23 de Fevereiro.
apresentação [ pdf (450KB) ]</t>
  </si>
  <si>
    <t xml:space="preserve"> *Gestão de Projectos Multimédia*. </t>
  </si>
  <si>
    <t>Gouveia, L. (2005). *Uma oportunidade para reinventar o território*. 
Cidades e Regiões Digitais: o que falta fazer. Algébrica. Hotel dos 
Templários. Tomar. 23 de Novembro.
apresentação [ pdf (708KB)]</t>
  </si>
  <si>
    <t xml:space="preserve"> *Uma oportunidade para reinventar o território*. </t>
  </si>
  <si>
    <t>Gouveia, F. e Gouveia, L. (2005). *Apresentação da Plataforma de e-learning 
da UFP*. Comemorações do Dia da Faculdade de Ciências da Saúde. 
Universidade Fernando Pessoa. 8 de Outubro.
apresentação [ pdf (720KB) ]</t>
  </si>
  <si>
    <t xml:space="preserve"> *Apresentação da Plataforma de e-learning 
da UFP*. </t>
  </si>
  <si>
    <t>Gouveia, L. (2005). *Ensino Virtual  e e-learning: a experiência da 
Universidade Fernando Pessoa*. Jornadas Prof2000. Centro Cultural e de 
Congressos. 27 de Abril. Aveiro.
apresentação [ pdf (292KB) ]</t>
  </si>
  <si>
    <t xml:space="preserve"> *Ensino Virtual  e e-learning: a experiência da 
Universidade Fernando Pessoa*. </t>
  </si>
  <si>
    <t>Gouveia, L. (2005). *Sociedade da Informação: a quanto obrigas!* 12a 
Jornadas Licenciatura em Informática de Gestão. 21 de Abril - Auditório 
Nobre. Universidade do Minho Guimarães.
resumo da apresentação [ gif (57 KB) ]</t>
  </si>
  <si>
    <t xml:space="preserve"> *Sociedade da Informação: a quanto obrigas!* 12a 
Jornadas Licenciatura em Informática de Gestão. </t>
  </si>
  <si>
    <t>Gouveia, L. (2005).  *Cidades e Regiões Digitais*. Seminário no âmbito do 
Curso de Alta Direcção da Administração Pública do INA. Parque Tecnológico 
da Maia, 4 de Janeiro de 2005
apresentações [ pdf (655KB) e pdf (2540KB) ]</t>
  </si>
  <si>
    <t xml:space="preserve">  *Cidades e Regiões Digitais*. </t>
  </si>
  <si>
    <t>Gouveia, L. (2004). O digital, a logística e o território. Curso Logística 
e Gestão Industrial. Programa Aveiro Norte. Universidade de Aveiro. Sala do 
Senado da Reitoria, 16 de Outubro.
apresentação [ pdf (117KB)]</t>
  </si>
  <si>
    <t xml:space="preserve"> O digital, a logística e o território. </t>
  </si>
  <si>
    <t>Gouveia, L. (2004). *O Gaia Global e o serviço ao munícip*e. Interface, 
Jornadas Administração Local. Algébrica. Braga, 7 de Outubro.
apresentação [ pdf (1,32MB)]</t>
  </si>
  <si>
    <t xml:space="preserve"> *O Gaia Global e o serviço ao munícip*e. </t>
  </si>
  <si>
    <t>Gouveia, L. (2004). O Projecto Gaia Global como integrador de serviços da 
autarquia. Seminário Indústria das Comunicações: dos Fornecedores aos 
Utilizadores. APDC - Associação Portuguesa para o Desenvolvimento das 
Telecomunicações.  6 de Maio. Porto.</t>
  </si>
  <si>
    <t xml:space="preserve"> O Projecto Gaia Global como integrador de serviços da 
autarquia. </t>
  </si>
  <si>
    <t>Gouveia, L. (2003). O projecto Gaia Global. Evento de apresentação do 
projecto Viseu Digital. Lusitânia - ADR.  Viseu, 19 de Dezembro.</t>
  </si>
  <si>
    <t xml:space="preserve"> O projecto Gaia Global. </t>
  </si>
  <si>
    <t>Gouveia, L. (2003). Gaia Global. Sharing Leadership, 9ª Reunião de 
Utilizadores Quatro 2003. Palácio Sotto Maior. Figueira da Foz. 9 de 
Outubro.</t>
  </si>
  <si>
    <t xml:space="preserve"> Gaia Global. </t>
  </si>
  <si>
    <t>Gouveia, L. (2003). e-munícipe: Gaia Global. Cidades e Regiões Digitais: O 
Essencial. Fórum Administração Pública Local. Auditório da Reitoria da 
Universidade de Aveiro. 2 de Outubro.</t>
  </si>
  <si>
    <t xml:space="preserve"> e-munícipe: Gaia Global. </t>
  </si>
  <si>
    <t>Gouveia, L. (2003). Gaia Global: informação e serviços para o munícipe. *Lisf 
- Lisbon Information Society Forum*. FIL, Lisboa. 24 de Setembro.</t>
  </si>
  <si>
    <t xml:space="preserve"> Gaia Global: informação e serviços para o munícipe. </t>
  </si>
  <si>
    <t>Gouveia, L. (2003). *Autarquias Digitais: promessas e desafios*. Internet – 
como democratizar o seu uso e as suas práticas, 26-28 de Junho. Câmara 
Municipal de Abrantes. 27 de Junho, Abrantes.
texto [ pdf (24KB)]</t>
  </si>
  <si>
    <t xml:space="preserve"> *Autarquias Digitais: promessas e desafios*. </t>
  </si>
  <si>
    <t>Gouveia, L. (2003). E-learning: Oportunidades e Desafios para o Ensino 
Superior. Seminário O E-Learning em Contexto de Ensino Superior. 
Universidade Fernando Pessoa. 12 de Junho de 2003. Porto.
apresentação [ pdf(160KB)]</t>
  </si>
  <si>
    <t xml:space="preserve"> E-learning: Oportunidades e Desafios para o Ensino 
Superior. </t>
  </si>
  <si>
    <t>Gouveia, L. (2003). *Cidades e Regiões Digitais: questões e desafios no 
Digital**.* Apresentação no Workshop sobre Cidades e Regiões Digitais, 
Auditório da Universidade Fernando Pessoa. 6 de Junho de 2003. Porto.
apresentação [ pdf (650KB)]</t>
  </si>
  <si>
    <t xml:space="preserve"> *Cidades e Regiões Digitais: questões e desafios no 
Digital**.*</t>
  </si>
  <si>
    <t>Gouveia, L. (2003). *As cidades digitais e o Gaia Global: o método NVAT.* DEGEI 
- Universidade de Aveiro. 23 de Maio de 2003. Aveiro.</t>
  </si>
  <si>
    <t xml:space="preserve"> *As cidades digitais e o Gaia Global: o método NVAT.*</t>
  </si>
  <si>
    <t>Gouveia, L. (2003). *As cidades digitais e o Gaia Global**.* Apresentação 
no IPCA - Instituto Superior do Câvado e Ave. 16 de Maio de 2003. Barcelos.</t>
  </si>
  <si>
    <t xml:space="preserve"> *As cidades digitais e o Gaia Global**.*</t>
  </si>
  <si>
    <t>Gouveia, L. (2003). *O Gaia Global: conceitos e diferenciação**.* 4ª 
Reunião das Cidades e Regiões Digitais. 14 de Maio de 2003. Salão Nobre da 
Câmara Municipal de Gaia. Gaia.
apresentação [ pdf (972KB)]</t>
  </si>
  <si>
    <t xml:space="preserve"> *O Gaia Global: conceitos e diferenciação**.*</t>
  </si>
  <si>
    <t>Gouveia, L. (2003). *Gaia Digital, Ligar o real com o virtual.* Cidades e 
Regiões Digitais - 1º Encontro Nacional 2003. 14 de Março de 2003, 
Auditório Municipal de Mirandela.
apresentação [ pdf (396KB)]</t>
  </si>
  <si>
    <t xml:space="preserve"> *Gaia Digital, Ligar o real com o virtual.*</t>
  </si>
  <si>
    <t>Gouveia, L. (2003). *Cidades Digitais: o caso do Gaia Digital.* Ciclo de 
Palestras da  Área da Informática 2002/03. Palestra nº 2. 11 de Março de 
2003. Salão Nobre. Universidade Fernando Pessoa.
apresentação [ pdf (892KB)]</t>
  </si>
  <si>
    <t xml:space="preserve"> *Cidades Digitais: o caso do Gaia Digital.*</t>
  </si>
  <si>
    <t>Gouveia, L. (2003). *Do Gaia Digital ao Gaia Global*. 1º Encontro de 
Garagem. Gaia Global. 22 de Fevereiro. Energaia, Gaia.</t>
  </si>
  <si>
    <t xml:space="preserve"> *Do Gaia Digital ao Gaia Global*. </t>
  </si>
  <si>
    <t>Gouveia, L. (2002). *Projecto Gaia Digital, do modelo ao método de trabalho*. 
30 de Julho de 2002. IDIT, Europarque, Vila da Feira.</t>
  </si>
  <si>
    <t xml:space="preserve"> *Projecto Gaia Digital, do modelo ao método de trabalho*. </t>
  </si>
  <si>
    <t>Gouveia, L. (2002). *Projecto Gaia Digital, o concelho de Gaia no espaço 
digital*. 26 de Julho de 2002. Jantar de entrega de diplomas de MBA do 
IESF. Valadares, Gaia.
resumo [ pdf (68KB)]</t>
  </si>
  <si>
    <t xml:space="preserve"> *Projecto Gaia Digital, o concelho de Gaia no espaço 
digital*. </t>
  </si>
  <si>
    <t>Gouveia, L. (2002). *Gaia Digital: um cálice de ideias*. 5 de Julho de 
2002. Apresentação do Projecto Gaia Digital. IDIT, Europarque, Vila da 
Feira.</t>
  </si>
  <si>
    <t xml:space="preserve"> *Gaia Digital: um cálice de ideias*. </t>
  </si>
  <si>
    <t>Gouveia, L. (2002). *Sociedade da informação: desafios e oportunidades para 
as autarquias. A sociedade da informação e do conhecimento e o projecto 
Gaia Digital*. 18 de Junho de 2002. Auditório da Assembleia Municipal de 
Gaia, Gaia. Apresentação no âmbito do Programa Foral.</t>
  </si>
  <si>
    <t xml:space="preserve"> *Sociedade da informação: desafios e oportunidades para 
as autarquias. </t>
  </si>
  <si>
    <t>Gouveia, L. (2002). *Ensinar a aprender, ensinar e aprender. Competências 
para a Sociedade da  Informação e do Conhecimento.* Seminário Interacto. 
Centro Multimeios de Espinho, Espinho, 9-10 de Maio. Apresentação 
convidada, 10 de Maio.</t>
  </si>
  <si>
    <t xml:space="preserve"> *Ensinar a aprender, ensinar e aprender. </t>
  </si>
  <si>
    <t>Gouveia, L. (2002). *Projecto Gaia Digital. O concelho de Gaia no Espaço 
Digital*. 9 de Janeiro de 2002. Parque Biológico, Gaia. Apresentação no 
âmbito do Programa Foral.</t>
  </si>
  <si>
    <t xml:space="preserve"> *Projecto Gaia Digital. </t>
  </si>
  <si>
    <t>Gouveia, L. (1999). *CELTIC - Collaborative Electronic Language Translation 
for Information Control*. Primeiro Ciclo de Seminários Internos. 
Departamento de Ciência e Tecnologia, Universidade Fernando Pessoa. 20 de 
Maio. 
presentation [ pdf(187KB) ]</t>
  </si>
  <si>
    <t xml:space="preserve"> *CELTIC - Collaborative Electronic Language Translation 
for Information Control*. </t>
  </si>
  <si>
    <t>Gouveia, L. (1999). *Internet e Teletrabalho*. 8º Jornadas ESPE. Hotel 
Praia Golfe, ESPE. Espinho, 13-14 de Maio.
transparências: [ pdf (162KB) ]</t>
  </si>
  <si>
    <t xml:space="preserve"> *Internet e Teletrabalho*. </t>
  </si>
  <si>
    <t>Gouveia, L. (1999). *As tecnologias de informação e comunicação. Potencial 
de aplicação no ensino, formação e treino*. Seminário integrado na Semana 
Académica da UFP, Porto. 10 de Março.
transparências: [ pdf (16KB) ]</t>
  </si>
  <si>
    <t xml:space="preserve"> *As tecnologias de informação e comunicação. </t>
  </si>
  <si>
    <t>Gouveia, L. (1998). *Actividade desenvolvida no âmbito do projecto dos 
portáteis*
Departamento de Informática da Universidade do Minho, Polo de Guimarães, 
(apresentação por convite). Guimarães, 7 de Outubro.
transparências: [ pdf (430KB) ]</t>
  </si>
  <si>
    <t xml:space="preserve"> *Actividade desenvolvida no âmbito do projecto dos 
portáteis*
Departamento de Informática da Universidade do Minho, Polo de Guimarães, 
(apresentação por convite). </t>
  </si>
  <si>
    <t>Gouveia, L. (1998). *A Internet como aliado do professor, uma experiência 
de uso de páginas Web.* Acção de sensibilização à Internet, Escola Sec. Dr 
Manuel Laranjeira. Espinho, 29 de Junho.
texto [ pdf (18KB) ]</t>
  </si>
  <si>
    <t xml:space="preserve"> *A Internet como aliado do professor, uma experiência 
de uso de páginas Web.*</t>
  </si>
  <si>
    <t>Gouveia, L. (1998). *Internet, Publicidade e Ética*. 3º Workshop de 
Comunicação. Hotel Praia Golfe, ESPE. Espinho, 5 - 6 de Maio.
texto: [ HTML ] transparências: [ HTML ]</t>
  </si>
  <si>
    <t xml:space="preserve"> *Internet, Publicidade e Ética*. </t>
  </si>
  <si>
    <t>Gouveia, L. (1997). *NetLab, work at Fernando Pessoa.* Away Day, CSEG 
Group, Lancaster University. Lancaster, UK, November. 
apresentação [ pdf(246KB) ]</t>
  </si>
  <si>
    <t>1997</t>
  </si>
  <si>
    <t xml:space="preserve"> *NetLab, work at Fernando Pessoa.*</t>
  </si>
  <si>
    <t>Gouveia, F. e Gouveia, L. (1996). *Educação activa: manifesto para uma 
atitude pedagógica.* 2º Conferência sociedade de informação interactiva, 
reinventar a educação. Funchal.
[ pdf ]</t>
  </si>
  <si>
    <t xml:space="preserve"> *Educação activa: manifesto para uma 
atitude pedagógica.*</t>
  </si>
  <si>
    <t>Gouveia, L. (1996). *O Centro de Recursos Multimediáticos.* II Workshop de 
Informática, Perspectivar o Futuro, UFP. Porto.
apresentação [ pdf (50KB)]</t>
  </si>
  <si>
    <t xml:space="preserve"> *O Centro de Recursos Multimediáticos.*</t>
  </si>
  <si>
    <t>Gouveia, L. (1996). *NetLab, explorar o potencial da rede universitária*. 
Divulgação do projecto dos portáteis - UFP. Porto.
apresentação [ pdf (143KB)]</t>
  </si>
  <si>
    <t xml:space="preserve"> *NetLab, explorar o potencial da rede universitária*. </t>
  </si>
  <si>
    <t>Gouveia, L. (1996). *Realidade Virtual: novo mundo ou mundos alternativos.* 
ISTEC, (apresentação por convite). Porto, Fevereiro. 
apresentação [ pdf ]</t>
  </si>
  <si>
    <t xml:space="preserve"> *Realidade Virtual: novo mundo ou mundos alternativos.*</t>
  </si>
  <si>
    <t xml:space="preserve"> 
ISTEC, (apresentação por convite).</t>
  </si>
  <si>
    <t>Gouveia, L. (1996). *A rede universitária.* Divulgação do projecto dos 
portáteis - UFP. Porto, Janeiro. 
apresentação [ pdf ]</t>
  </si>
  <si>
    <t xml:space="preserve"> *A rede universitária.*</t>
  </si>
  <si>
    <t>Gouveia, L. (1994). *Aprendizagem Multimédia*. Seminário Educação e 
Multimédia, Instituto Multimédia. Porto.
apresentação [ pdf ]</t>
  </si>
  <si>
    <t>1994</t>
  </si>
  <si>
    <t xml:space="preserve"> *Aprendizagem Multimédia*. </t>
  </si>
  <si>
    <t>Gouveia, L. (1991). *Soluções Videotex: da oportunidade à implementação.* 
Soluções Videotex, IBM (apresentação profissional). Porto.</t>
  </si>
  <si>
    <t>1991</t>
  </si>
  <si>
    <t xml:space="preserve"> *Soluções Videotex: da oportunidade à implementação.*</t>
  </si>
  <si>
    <t xml:space="preserve"> 
Soluções Videotex, IBM (apresentação profissional).</t>
  </si>
  <si>
    <t>Gouveia, L. (1990). *Soluções com recurso ao videotex*. Sistemas UNIX para 
Agentes Philips, Associação Comercial Portuense, (apresentação 
profissional). Porto.</t>
  </si>
  <si>
    <t>1990</t>
  </si>
  <si>
    <t xml:space="preserve"> *Soluções com recurso ao videotex*. </t>
  </si>
  <si>
    <t>Sistemas UNIX para 
Agentes Philips, Associação Comercial Portuense, (apresentação 
profissional).</t>
  </si>
  <si>
    <t>Gouveia, L. (2015). *O papel da Universidade para o Engenheiro Informático*. 
Moderação da Tertúlia promovida pelo Núcleo de Informática da UFP no âmbito 
da Semana de Engenharia. Auditório da UFP, Porto. Universidade Fernando 
Pessoa. 23 de Abril.</t>
  </si>
  <si>
    <t xml:space="preserve"> *O papel da Universidade para o Engenheiro Informático*. </t>
  </si>
  <si>
    <t>Gouveia, L. (2014). *Segurança Informática ou Segurança da Informação?* 
Moderação da Mesa Redonda promovida pelo Núcleo de Informática da UFP. 
Auditório da UFP, Porto. Universidade Fernando Pessoa. 14 de Maio.
[ apresentação ]</t>
  </si>
  <si>
    <t xml:space="preserve"> *Segurança Informática ou Segurança da Informação?* 
Moderação da Mesa Redonda promovida pelo Núcleo de Informática da UFP. </t>
  </si>
  <si>
    <t>Gouveia, L. (2013). Desafios para as Bibliotecas de Ensino Superior em 
Portugal. Participação em mesa redonda . 2º Encontro de Bibliotecas do 
Ensino Superior. Universidade de Aveiro, Aveiro. 7 de Junho
[ apresentação ]</t>
  </si>
  <si>
    <t xml:space="preserve"> Desafios para as Bibliotecas de Ensino Superior em 
Portugal. </t>
  </si>
  <si>
    <t>Gouveia, L. (2013). Redes e Territórios. Empresas, pessoas, valor e 
felicidade. Conversas IN. Auditório da ADRAT, Associação de Desenvolvimento 
da Região do Alto Tâmega. Chaves. 31 de Maio.</t>
  </si>
  <si>
    <t xml:space="preserve"> Redes e Territórios. </t>
  </si>
  <si>
    <t>Gouveia, L. (2012). Debate *Teaching informatics: Teach what? To whom?*. 
Jornadas de Ensino de Informática. Faculdade de Ciências Sociais. 
Universidade Católica Portuguesa. 14h June. 
[ slideshare ]</t>
  </si>
  <si>
    <t xml:space="preserve"> Debate *Teaching informatics: Teach what? To whom?*. </t>
  </si>
  <si>
    <t>Gouveia, L. (2012). Opacidade e transparência na administração pública. 
Participação no Grande Debate - O que falta fazer? Conferência Por uma 
Administração pública em Tempo Real. Interoperabilidade e desmaterialização 
de processos administrativos ao serviço do país. APDSI. Auditório da 
Reitoria da Universidade Nova de Lisboa. Campus de Campolide, Lisboa. 22 de 
Março.
apresentação [ vídeo ]</t>
  </si>
  <si>
    <t xml:space="preserve"> Opacidade e transparência na administração pública. </t>
  </si>
  <si>
    <t>Gouveia, L. (2010). Desafios da Gestão da Informação e a questão da 
soberania no digital: da escola, do professor e onde o aluno fica em tudo 
isto… Encontro e-Learning@FEUP. FEUP. Porto, 6 de Maio.
apresentação [ slideshare ]</t>
  </si>
  <si>
    <t xml:space="preserve"> Desafios da Gestão da Informação e a questão da 
soberania no digital: da escola, do professor e onde o aluno fica em tudo 
isto… Encontro e-Learning@FEUP. </t>
  </si>
  <si>
    <t>Gouveia, L. (2010). *O digital e o espaço físico*. II Conferência 
e-learning “Onde a Tecnologia Encontra a Aprendizagem”. Futurália. FIL – 
Parque das Nações. Lisboa, 12 de Março.
apresentação [ slideshare ]</t>
  </si>
  <si>
    <t xml:space="preserve"> *O digital e o espaço físico*. </t>
  </si>
  <si>
    <t>Gouveia, L. (2009). *Depois dos 15 primeiros anos, quais os desafios para 
os próximos 5?* Edubits. Universidade de Aveiro. 6 de Julho.
apresentação [ pdf (1450KB)]</t>
  </si>
  <si>
    <t xml:space="preserve"> *Depois dos 15 primeiros anos, quais os desafios para 
os próximos 5?* Edubits. </t>
  </si>
  <si>
    <t>Gouveia, L. (2007). *Biblioteca para quem, biblioteca para quê?*. Painel 2 
“Novos Desafios para a gestão da Biblioteca Escolar” – 20 de Outubro de 
2007. 1º Encontro da Rede de Bibliotecas Escolares do Porto (RBEP) – “Ler 
para Ser”. 20 de Outubro.
apresentação [ pdf (408KB) ]</t>
  </si>
  <si>
    <t xml:space="preserve"> *Biblioteca para quem, biblioteca para quê?*. </t>
  </si>
  <si>
    <t>Gouveia, L. (2007). *e-espaço para e-actividades.* Painel III - Espaço 
público e participação. Workshop Cidades Digitais, o dia seguinte. 24 de 
Maio de 2007. Universidade Fernando Pessoa.
apresentação [ pdf (219KB) ]</t>
  </si>
  <si>
    <t xml:space="preserve"> *e-espaço para e-actividades.*</t>
  </si>
  <si>
    <t>Gouveia, L. (2007). *Territórios Inteligentes: o digital, a rede, as 
pessoas e o conhecimento.* Painel I - A perspectiva do Território. Workshop 
Cidades Digitais, o dia seguinte. 23 de Maio de 2007. Universidade Fernando 
Pessoa.
apresentação [ pdf (607KB) ]</t>
  </si>
  <si>
    <t xml:space="preserve"> *Territórios Inteligentes: o digital, a rede, as 
pessoas e o conhecimento.*</t>
  </si>
  <si>
    <t>Coelho, D. et al. (2006). Repensar o Futuro da Sociedade da Informação. 
Segurança, Privacidade e Identidade Digital. Documento final. 5º Fórum da 
Arrábida. 20 e 21 de Outubro de 2006. APDSI. Arrábida.
texto [ pdf (1,51MB)]</t>
  </si>
  <si>
    <t xml:space="preserve">Coelho, D. et al. </t>
  </si>
  <si>
    <t xml:space="preserve"> Repensar o Futuro da Sociedade da Informação. </t>
  </si>
  <si>
    <t>Gouveia, L. e Gouveia, F. (2006). *A preocupação com os Sistemas de 
Informação*. Jornadas Internas: O Papel e a Acção da Universidade nos dias 
de hoje. UFP. Anfiteatro da Saúde. Porto, 9 de Junho.
apresentação [ pdf (64KB)]</t>
  </si>
  <si>
    <t xml:space="preserve"> *A preocupação com os Sistemas de 
Informação*. </t>
  </si>
  <si>
    <t>Gouveia, L. (2006). *A gestão da Informação: em busca do equilíbrio perdido*. 
Simpósio Equilíbria. Auditório da Universidade Fernando Pessoa. 23 de Março 
de 2006.
apresentação [ pdf (180KB)]</t>
  </si>
  <si>
    <t xml:space="preserve"> *A gestão da Informação: em busca do equilíbrio perdido*. </t>
  </si>
  <si>
    <t>Gouveia, L. (2005). *Uso de meios digitais no contexto do ensino superior*. Evento 
de ensino virtual e e-learning. 28 - 29 de Janeiro de 2005. Universidade 
Fernando Pessoa.
apresentação [ pdf (111KB) ]</t>
  </si>
  <si>
    <t xml:space="preserve"> *Uso de meios digitais no contexto do ensino superior*. </t>
  </si>
  <si>
    <t>Gouveia, L. (2003). A mobilidade no Gaia Global: conceitos e aplicações. 
Festa da Mobilidade. Casa dos Ferradores. Gaia, 15 de Novembro.</t>
  </si>
  <si>
    <t xml:space="preserve"> A mobilidade no Gaia Global: conceitos e aplicações. </t>
  </si>
  <si>
    <t>Gouveia, L. (2003). Informáticos versus Documentalistas face à Sociedade da 
Informação. WORKSHOP "Arquivistas versus Informáticos: cooperação (e) ou 
concorrência?" Arquivo Distrital do Porto. 29 de Julho, Porto.</t>
  </si>
  <si>
    <t xml:space="preserve"> Informáticos versus Documentalistas face à Sociedade da 
Informação. </t>
  </si>
  <si>
    <t>Gouveia, L. (2001) *Contribuição para o enquadramento de práticas de 
e-Learning*. Integrado no debate O Livro, as Bibliotecas e o Ensino: a 
Mediação Digital. 71ª Feira do Livro do Porto. Auditório do Pavilhão Rosa 
Mota, 8 de Junho.
texto: [ pdf (32KB) ]</t>
  </si>
  <si>
    <t>*Outros media* / *Other media*</t>
  </si>
  <si>
    <t>textos e artigos nos media / texts and articles on media</t>
  </si>
  <si>
    <t>Cordeiro, S. e Gouveia, L. (2018). RGPD: o novo pesadelo das empresas?. 
Artigo de opinião. O Gaiense. Semanário de Vila Nova de Gaia., Página 9. 25 
de Maio.
[ Recorte do jornal ]</t>
  </si>
  <si>
    <t xml:space="preserve"> RGPD: o novo pesadelo das empresas?. </t>
  </si>
  <si>
    <t>Araújo, A. e Gouveia, L. (2018). As Tecnologias de Informação e Comunicação 
aplicadas ao ensino. Artigo acadêmico.  23 de Março. Administradores.com.
[ handle ]</t>
  </si>
  <si>
    <t xml:space="preserve"> As Tecnologias de Informação e Comunicação 
aplicadas ao ensino. </t>
  </si>
  <si>
    <t>Araújo, A. e Gouveia, L. (2018). Pressupostos sobre a pesquisa científica e 
teste piloto. Artigo acadêmico. 13 de Março. Administradores.com.
[ handle ]</t>
  </si>
  <si>
    <t xml:space="preserve"> Pressupostos sobre a pesquisa científica e 
teste piloto. </t>
  </si>
  <si>
    <t>Coelho, J. et al. e Gouveia, L. (2013). As TIC e a Produtividade: a 
escassez de investimento no software em Portugal. 16ª Tomada de Posição do 
Grupo de Alto Nível da APDSI. Associação para  a Promoção e Desenvolvimento 
da Sociedade da Informação. Lisboa, 3 de Outubro.
[ texto ]</t>
  </si>
  <si>
    <t xml:space="preserve">Coelho, J. et al. e Gouveia, L. </t>
  </si>
  <si>
    <t xml:space="preserve"> As TIC e a Produtividade: a 
escassez de investimento no software em Portugal. </t>
  </si>
  <si>
    <t>Coelho, J. et al. e Gouveia, L. (2013). Transparência e Sigilo na 
Administração Pública: A questão dos dados fiscais. 15ª Tomada de Posição 
do Grupo de Alto Nível da APDSI. Associação para  a Promoção e 
Desenvolvimento da Sociedade da Informação. Lisboa, 24 de Abril.
[ texto ]</t>
  </si>
  <si>
    <t xml:space="preserve"> Transparência e Sigilo na 
Administração Pública: A questão dos dados fiscais. </t>
  </si>
  <si>
    <t>Coelho, J. et al. e Gouveia, L. (2012). Cultura e Arte na SI. Indústrias 
Criativas. 14ª Tomada de Posição do Grupo de Alto Nível da APDSI. 
Associação para  a Promoção e Desenvolvimento da Sociedade da Informação. 
Lisboa, 29 de Setembro.
[ texto ]</t>
  </si>
  <si>
    <t xml:space="preserve"> Cultura e Arte na SI. </t>
  </si>
  <si>
    <t>Gouveia, L. (2012). Prefácio à 5ª edição. Ribeiro, N. (2012). Multimédia e 
Tecnologias Interativas. Lisboa: FCA - Editora de Informática. 5ª Edição, 
pp XXXI-XXXIII.  ISBN 9789727227440.</t>
  </si>
  <si>
    <t xml:space="preserve"> Prefácio à 5ª edição. </t>
  </si>
  <si>
    <t>Ribeiro, N. (2012).</t>
  </si>
  <si>
    <t>Coelho, J. et al. e Gouveia, L. (2012). A Estratégia do XIX Governo 
Constitucional para as TIC: Racionalizar para Melhorar? 13ª Tomada de 
Posição do Grupo de Alto Nível da APDSI. Associação para  a Promoção e 
Desenvolvimento da Sociedade da Informação. Lisboa, 11 de Abril.
[ texto ]</t>
  </si>
  <si>
    <t xml:space="preserve"> A Estratégia do XIX Governo 
Constitucional para as TIC: Racionalizar para Melhorar? 13ª Tomada de 
Posição do Grupo de Alto Nível da APDSI. </t>
  </si>
  <si>
    <t>Gouveia, L. (2011). Texto sobre a inutilidade. In Duarte, F. e Bruinsma, M. 
(2011). Sem uso/Useless. EXD'11. Lisboa: Experimenta Design/Babel.
[ link ]</t>
  </si>
  <si>
    <t xml:space="preserve"> Texto sobre a inutilidade. </t>
  </si>
  <si>
    <t>In Duarte, F. e Bruinsma, M. 
(2011).</t>
  </si>
  <si>
    <t>Gouveia, L. (2007). *Uma reflexão sobre capacitar o território por 
tecnologia*. Suplemento de Economia. Diário do Minho. 10 de Julho.
texto [ pdf (385KB) ]</t>
  </si>
  <si>
    <t xml:space="preserve"> *Uma reflexão sobre capacitar o território por 
tecnologia*. </t>
  </si>
  <si>
    <t>Gouveia, L. (2007). *Território, conhecimento e competências: um triângulo 
a fixar*. Suplemento de Economia. Diário do Minho. 10 de Julho.
texto [ pdf (378KB) ]</t>
  </si>
  <si>
    <t xml:space="preserve"> *Território, conhecimento e competências: um triângulo 
a fixar*. </t>
  </si>
  <si>
    <t>Gouveia, L. (2007). *Tirar partido dos Sistemas de Informação no contexto 
actual*. Suplemento de Economia. Diário do Minho. 19 de Junho.
texto [ pdf (372KB) ]</t>
  </si>
  <si>
    <t xml:space="preserve"> *Tirar partido dos Sistemas de Informação no contexto 
actual*. </t>
  </si>
  <si>
    <t>Gouveia, L. (2006). *Afinal não é assim tão caro ou uma história sobre o 
conhecimento.* UFP, Novembro.
texto [ pdf ]</t>
  </si>
  <si>
    <t xml:space="preserve"> *Afinal não é assim tão caro ou uma história sobre o 
conhecimento.*</t>
  </si>
  <si>
    <t>Gouveia, L. (2006). *A necessidade de capacitar conhecimento para o 
território.* Revista e-ciência, T-Media. 19 de Outubro, pp 13-14.
texto [ pdf (20KB)]</t>
  </si>
  <si>
    <t xml:space="preserve"> *A necessidade de capacitar conhecimento para o 
território.*</t>
  </si>
  <si>
    <t>Gouveia, L. (2005). *Cidades e Regiões Digitais: no limiar da maioridade.* 
Artigo de opinião publicado na revista e-Ciência, nº 039 de 16 de Junho de 
2005, pp 34-35.
texto [ pdf (36KB) ]</t>
  </si>
  <si>
    <t xml:space="preserve"> *Cidades e Regiões Digitais: no limiar da maioridade.*</t>
  </si>
  <si>
    <t>Gouveia, L. (2005). *A minha homepage faz dez anos!* Newsletter Professores 
Inovadores. Microsoft Educação. Novembro.
texto [ pdf (104KB)]</t>
  </si>
  <si>
    <t xml:space="preserve"> *A minha homepage faz dez anos!* Newsletter Professores 
Inovadores. </t>
  </si>
  <si>
    <t>Gouveia, L. (2004). *A Sociedade da Informação e as autarquias digitais*. 
Revista Autárquica. nº 1 (Ano 1), Novembro, pp 81-85.</t>
  </si>
  <si>
    <t xml:space="preserve"> *A Sociedade da Informação e as autarquias digitais*. </t>
  </si>
  <si>
    <t>Gouveia, L. (2004). *Sociedade da Informação. Notas de contribuição para 
uma definição operacional*. UFP, Novembro.
texto [ pdf ]</t>
  </si>
  <si>
    <t>Gouveia, L. (2004). *Como analisar um caso de estudo*. UFP, Novembro.
texto [ pdf ]</t>
  </si>
  <si>
    <t xml:space="preserve"> *Como analisar um caso de estudo*. </t>
  </si>
  <si>
    <t>Gouveia, L. e Xavier, J. (2004). *Serviços Municipais de Integração: uma 
perspectiva de integração*. Quem é Quem? Revista Algébrica. Algébrica, pp 
22-24.
texto: [ pdf (1,2MB) ]</t>
  </si>
  <si>
    <t xml:space="preserve">Gouveia, L. e Xavier, J. </t>
  </si>
  <si>
    <t xml:space="preserve"> *Serviços Municipais de Integração: uma 
perspectiva de integração*. </t>
  </si>
  <si>
    <t>Gouveia, F. e Gouveia, L. (2003). *Gestão da Informação: conceitos e 
importância*. Magazine Centroatlântico.pt. Edição nº 3, Outubro 2003.</t>
  </si>
  <si>
    <t xml:space="preserve"> *Gestão da Informação: conceitos e 
importância*. </t>
  </si>
  <si>
    <t>Gouveia, J. e Gouveia, L. (2002). *Cidades Digitais*. Magazine 
Centroatlântico.pt. Outubro 2002, pp 14-16.
resumo [ pdf (1,24MB)]</t>
  </si>
  <si>
    <t xml:space="preserve">Gouveia, J. e Gouveia, L. </t>
  </si>
  <si>
    <t xml:space="preserve"> *Cidades Digitais*. </t>
  </si>
  <si>
    <t>Gouveia, L. e Gouveia, J. (2002). *As cidades digitais e o Gaia Digital*. 
28 de Setembro de 2002. Cadernos de Informática - Autarquias Digitais, 
Suplemento do Semanário Expresso de 28 de Setembro.</t>
  </si>
  <si>
    <t xml:space="preserve"> *As cidades digitais e o Gaia Digital*. </t>
  </si>
  <si>
    <t>Gouveia, L. (2002). *Competências críticas para a Sociedade da Informação e 
do conhecimento*. Excesso de Informação. UFP, Janeiro.
texto [ pdf ]</t>
  </si>
  <si>
    <t xml:space="preserve"> *Competências críticas para a Sociedade da Informação e 
do conhecimento*. </t>
  </si>
  <si>
    <t>Gouveia, L. (2001). *Tecnologias de Informação. Perspectivas tecnológica, 
produtos e serviços e de gestão*. UFP, Outubro.
texto [ pdf ]</t>
  </si>
  <si>
    <t xml:space="preserve"> *Tecnologias de Informação. </t>
  </si>
  <si>
    <t>Gouveia, L. (1998). *In**ternet - a emergência do novo social*. UFP, 
Fevereiro.
Adaptação para Web de texto de Agosto de 1996.
texto [ HTML ]</t>
  </si>
  <si>
    <t xml:space="preserve"> *In**ternet - a emergência do novo social*. </t>
  </si>
  <si>
    <t>Gouveia, L. (1998). *A humanização das Tecnologias de Informação*. UFP, 
Fevereiro.
texto [ HTML ]</t>
  </si>
  <si>
    <t xml:space="preserve"> *A humanização das Tecnologias de Informação*. </t>
  </si>
  <si>
    <t>Gouveia, L. (1997). *A Internet, oportunidade ou ameaça ao Professor?* 
Artigo aceite para a Revista do Departamento de Ciências da Administração 
da UFP. Porto, Dezembro. 
texto [ HTML ]</t>
  </si>
  <si>
    <t xml:space="preserve"> *A Internet, oportunidade ou ameaça ao Professor?* 
Artigo aceite para a Revista do Departamento de Ciências da Administração 
da UFP. </t>
  </si>
  <si>
    <t>Gouveia, L. (1997). *O projecto, a gestão de projectos e o Gestor de 
Projectos*. UFP, Maio de 1997.
texto [ HTML ]</t>
  </si>
  <si>
    <t xml:space="preserve"> *O projecto, a gestão de projectos e o Gestor de 
Projectos*. </t>
  </si>
  <si>
    <t>Gouveia, L. (1997). A redacção de documentos científicos, dicas para a 
escrita de textos de relatórios e monografia. UFP, Abril.
texto [ HTML ]</t>
  </si>
  <si>
    <t xml:space="preserve"> A redacção de documentos científicos, dicas para a 
escrita de textos de relatórios e monografia. </t>
  </si>
  <si>
    <t>Gouveia, L. (1996). *E agora, vou ter de escrever!* UFP, Dezembro.
texto [ HTML ]</t>
  </si>
  <si>
    <t xml:space="preserve"> *E agora, vou ter de escrever!* UFP, Dezembro.
</t>
  </si>
  <si>
    <t>Gouveia, L. (1991). *O Videotex: um serviço actual? Seminário Sobre Ética e 
Carreira Informática. Revista do 2º seminário ALIUP. Fórum da Maia, 25 e 26 
de Outubro, pp 8-9.*  
texto [ pdf ]</t>
  </si>
  <si>
    <t xml:space="preserve"> *O Videotex: um serviço actual? Seminário Sobre Ética e 
Carreira Informática. </t>
  </si>
  <si>
    <t>Gouveia, L. (1989). *Um testemunho.* Artigo publicado em Janeiro de 1989, 
na Revista Mensal de Informática "O Computador", nº4.
texto [ pdf ]</t>
  </si>
  <si>
    <t xml:space="preserve"> *Um testemunho.*</t>
  </si>
  <si>
    <t>palestras, entrevistas e vídeos / talks, interviews and video content</t>
  </si>
  <si>
    <t>Gouveia, L. (2007). Entrevista sobre o Blogue pessoal (lmbg.blogspot.com). 
Programa X-Blog. 2ª Parte. Invicta TV. Porto. Outubro.
Video [ youtube (9:33) ]</t>
  </si>
  <si>
    <t xml:space="preserve"> Entrevista sobre o Blogue pessoal (lmbg.b</t>
  </si>
  <si>
    <t>logspot.com).</t>
  </si>
  <si>
    <t>Gouveia, L. (2007). *Do território digital à governação de pessoas e do 
conhecimento*. 1ª Jornadas de Informática - Administração Digital. Escola 
Superior de Tecnologia. Câmara Municipal de Barcelos. 30 de Março.
texto [ pdf (43KB) ]</t>
  </si>
  <si>
    <t xml:space="preserve"> *Do território digital à governação de pessoas e do 
conhecimento*. </t>
  </si>
  <si>
    <t>Gouveia, L. (2006). *Entrevista de opinião sobre o plano tecnológico*. 
Revista Media XXI. Ano X, n85, pp 26-28.
texto [ pdf (20KB)]</t>
  </si>
  <si>
    <t xml:space="preserve"> *Entrevista de opinião sobre o plano tecnológico*. </t>
  </si>
  <si>
    <t>Gouveia, L. (2005). *Comemorando o décimo ano de funcionamento das páginas 
LMBG na World Wide Web*. Fevereiro.
apresentação [ pdf ]</t>
  </si>
  <si>
    <t xml:space="preserve"> *Comemorando o décimo ano de funcionamento das páginas 
LMBG na World Wide Web*. </t>
  </si>
  <si>
    <t>Gouveia, L. (2004). *Entrevista sobre o projecto Gaia Global*. Revista 
e-Ciência. Grupo T-Media. nº29, 27 de Maio.
texto [ pdf ]</t>
  </si>
  <si>
    <t xml:space="preserve"> *Entrevista sobre o projecto Gaia Global*. </t>
  </si>
  <si>
    <t>Gouveia, L. (2002). *Ensinar a aprender, ensinar e aprender. Competências 
para a Sociedade da  Informação e do Conhecimento.* Seminário Interacto. 
Centro Multimeios de Espinho, Espinho, 9-10 de Maio.
paper [ pdf (17KB)]</t>
  </si>
  <si>
    <t>Gouveia, L. (2001) *E-learning: o conceito EFTWeb*. Evento Microsoft.net. 
Anfiteatro do IETA. Universidade de Aveiro, Aveiro, 25 de Maio.
texto: [ pdf (203KB) ]</t>
  </si>
  <si>
    <t>Gouveia, L. (2001) *Está na altura de rever o que ensinamos e como 
aprendemos*. Conferência As Tic. Multimédia na Educação. Integrado no 
evento 2001 Odisseia Multimédia.  Forum da Maia, Maia, 26 de Abril.
texto: [ pdf (53KB) ]</t>
  </si>
  <si>
    <t>Gouveia, L. (2000). *Eu, Nós e o Valor da diferença*. Painel sobre a 
Sociedade da Informação. 9º Jornadas ESPE. Hotel Praia Golfe, ESPE. 
Espinho, 18-19 de Maio.
texto: [ pdf (38KB) ]</t>
  </si>
  <si>
    <t xml:space="preserve"> *Eu, Nós e o Valor da diferença*. </t>
  </si>
  <si>
    <t>Gouveia, L. (1999). *Shared Visualisation and Virtual Environments for 
Co-operative Learning.* Postgrad'99 conference. Computing Department. 
Lancaster University. 24-25 May. 
poster [ gif(40KB) ]</t>
  </si>
  <si>
    <t xml:space="preserve"> *Shared Visualisation and Virtual Environments for 
Co-operative Learning.*</t>
  </si>
  <si>
    <t>conteúdos pedagógicos / learning materials</t>
  </si>
  <si>
    <t>Gouveia, L. (2017).  Notas e transparências sobre conceitos de Sistemas de 
Informação. Universidade Fernando Pessoa.  
[ handle ]</t>
  </si>
  <si>
    <t xml:space="preserve">  Notas e transparências sobre conceitos de Sistemas de 
Informação. </t>
  </si>
  <si>
    <t>Gouveia, L. (2017).  Notas e transparências sobre Tecnologias em Sistemas 
de Informação. Universidade Fernando Pessoa. 
[ handle ]</t>
  </si>
  <si>
    <t xml:space="preserve">  Notas e transparências sobre Tecnologias em Sistemas 
de Informação. </t>
  </si>
  <si>
    <t>Gouveia, L. (2017).  Sistemas de Informação para a Sociedade do 
Conhecimento: módulos 1 e 2, aulas práticas. Universidade Fernando Pessoa. 
[ handle ]</t>
  </si>
  <si>
    <t xml:space="preserve">  Sistemas de Informação para a Sociedade do 
Conhecimento: módulos 1 e 2, aulas práticas. </t>
  </si>
  <si>
    <t>Gouveia, L. (2017). *Gestão da Segurança da Informação*. Manual prático, 52 
páginas. Grupo *TRS, Tecnologia, Redes e Sociedade. Universidade Fernando 
Pessoa.
[ handle ]</t>
  </si>
  <si>
    <t xml:space="preserve"> *Gestão da Segurança da Informação*. </t>
  </si>
  <si>
    <t>Gouveia, L. (2017). *Uma breve introdução ao R: Exploração prática e 
exercícios*. Manual prático, 68 páginas. Grupo *TRS, Tecnologia, Redes e 
Sociedade. Universidade Fernando Pessoa.
[ handle ]</t>
  </si>
  <si>
    <t xml:space="preserve"> *Uma breve introdução ao R: Exploração prática e 
exercícios*. </t>
  </si>
  <si>
    <t>Gouveia, L. (2015). Human Computer Interaction. Version 0.5 Main slides 
collection. University Fernando Pessoa. 299 slides.</t>
  </si>
  <si>
    <t xml:space="preserve"> Human Computer Interaction. </t>
  </si>
  <si>
    <t>Gouveia, L. (2015). Arquivo Empresarial e Administrativo. Versão 2.5. 
Transparências sobre os conceitos de arquivística. Universidade Fernando 
Pessoa. 262 slides.</t>
  </si>
  <si>
    <t xml:space="preserve"> Arquivo Empresarial e Administrativo. </t>
  </si>
  <si>
    <t>Gouveia, L. (2015). Knowledge Management in 20 slides. Version 2.01. 
University Fernando Pessoa. 21 slides.</t>
  </si>
  <si>
    <t xml:space="preserve"> Knowledge Management in 20 slides. </t>
  </si>
  <si>
    <t>Gouveia, L. (2015). Segurança da Informação e proteção de dados. Versão 
3.4. Universidade Fernando Pessoa. 374 slides.</t>
  </si>
  <si>
    <t xml:space="preserve"> Segurança da Informação e proteção de dados. </t>
  </si>
  <si>
    <t>Gouveia, L. (2015). Análise de Sistemas: conceitos, módulo 1. Versão 3.05. 
Universidade Fernando Pessoa. 270 slides.</t>
  </si>
  <si>
    <t xml:space="preserve"> Análise de Sistemas: conceitos, módulo 1. </t>
  </si>
  <si>
    <t>Gouveia, L. (2015). Análise de Sistemas: a abordagem estruturada, módulo 2. 
Versão 4. Universidade Fernando Pessoa. 192 slides.</t>
  </si>
  <si>
    <t xml:space="preserve"> Análise de Sistemas: a abordagem estruturada, módulo 2. </t>
  </si>
  <si>
    <t>Gouveia, L. (2015). Análise de Sistemas: a abordagem orientada aos objetos, 
módulo 3. Versão 3.8. Universidade Fernando Pessoa. 306 slides.</t>
  </si>
  <si>
    <t xml:space="preserve"> Análise de Sistemas: a abordagem orientada aos objetos, 
módulo 3. </t>
  </si>
  <si>
    <t>Gouveia, L. (2015). Análise de Sistemas: a abordagem SSM, módulo 4. Versão 
2.1. Universidade Fernando Pessoa. 86 slides.</t>
  </si>
  <si>
    <t xml:space="preserve"> Análise de Sistemas: a abordagem SSM, módulo 4. </t>
  </si>
  <si>
    <t>Gouveia, L. (2015). O que é a Ciência de Dados (data science). Discussão do 
conceito. Universidade Fernando Pessoa. Outubro. Porto.
[ apresentação ]</t>
  </si>
  <si>
    <t xml:space="preserve"> O que é a Ciência de Dados (data science). </t>
  </si>
  <si>
    <t>Gouveia, L. (2014). *Segurança e redes sociais. Módulo 2 - Redes Sociais.* 
Elaboração de conteúdos para SeguraNet MOOC. 15 a 25 de Maio. Direção-Geral 
da Educação (DGE). Ministério da Educação e Ensino Superior.
[ recursos ]</t>
  </si>
  <si>
    <t xml:space="preserve"> *Segurança e redes sociais. </t>
  </si>
  <si>
    <t>Módulo 2 - Redes Sociais.* 
Elaboração de conteúdos para SeguraNet MOOC. 15 a 25 de Maio. Direção-Geral 
da Educação (DGE).</t>
  </si>
  <si>
    <t>Gouveia, L. (2006). *Transparências sobre Negócio Electrónico: conceitos e 
perspectivas de desenvolvimento*. Transparências - Colecção Negócio 
Electrónico. Dezembro de 2006. SPI - Principia.
transparências [ pdf (660KB) ]</t>
  </si>
  <si>
    <t xml:space="preserve"> *Transparências sobre Negócio Electrónico: conceitos e 
perspectivas de desenvolvimento*. </t>
  </si>
  <si>
    <t>Gouveia, L. (2005). *Transparências sobre Local e-government: a governação 
digital na autarquia*. Transparências - Colecção Inovação e Governância nas 
autarquias. SPI.
transparências [ pdf (284KB) ]</t>
  </si>
  <si>
    <t xml:space="preserve"> *Transparências sobre Local e-government: a governação 
digital na autarquia*. </t>
  </si>
  <si>
    <t>Gouveia, L. (2005). *Transparências sobre Sistemas de Informação de Apoio à 
Decisão*. Transparências - Colecção Inovação e Governância nas autarquias. 
SPI.
transparências [ pdf (286KB) ]</t>
  </si>
  <si>
    <t xml:space="preserve"> *Transparências sobre Sistemas de Informação de Apoio à 
Decisão*. </t>
  </si>
  <si>
    <t>Gouveia, L. (2005). *Sistemas de Informação para e-marketing e 
e-publicidade*. Compilação de textos. Março. Universidade Fernando Pessoa.</t>
  </si>
  <si>
    <t xml:space="preserve"> *Sistemas de Informação para e-marketing e 
e-publicidade*. </t>
  </si>
  <si>
    <t>Gouveia, L. (2004). *Sistemas de Informação para a Sociedade da Informação 
e do Conhecimento*. UFP, Janeiro.
apresentação [ pdf: módulos #1, #2, #3, #4 e #5 (*1998*) ]</t>
  </si>
  <si>
    <t xml:space="preserve"> *Sistemas de Informação para a Sociedade da Informação 
e do Conhecimento*. </t>
  </si>
  <si>
    <t>Gouveia, L. (2003). *A Mobilidade no Gaia Global*. Câmara Municipal de 
Gaia, Energaia/POSI. Novembro.
brochura [ pdf (5MB) ]</t>
  </si>
  <si>
    <t xml:space="preserve"> *A Mobilidade no Gaia Global*. </t>
  </si>
  <si>
    <t>Gouveia, L. (2003). *Apontamentos de Tecnologias de Informação e Sociedade*. 
Ciências da Comunicação. Universidade Fernando Pessoa. Porto, Novembro.</t>
  </si>
  <si>
    <t xml:space="preserve"> *Apontamentos de Tecnologias de Informação e Sociedade*. </t>
  </si>
  <si>
    <t>Gouveia, J. e Gouveia, L. e Xavier, J. (2003). *Gaia Global: o concelho de 
Gaia no digital. 1º ano de projecto. Conceitos e diferenciação*. Câmara 
Municipal de Gaia, Energaia/POSI. Maio.
brochura [ pdf (2.3MB) ]</t>
  </si>
  <si>
    <t xml:space="preserve">Gouveia, J. e Gouveia, L. e Xavier, J. </t>
  </si>
  <si>
    <t xml:space="preserve"> *Gaia Global: o concelho de 
Gaia no digital. </t>
  </si>
  <si>
    <t>Gouveia, L. (2003). Notas complementares sobre Informática Aplicada. Pós-Graduação 
em Ciências da Informação e da Documentação. Universidade Fernando Pessoa. 
Porto, Abril.
texto [ pdf ]</t>
  </si>
  <si>
    <t xml:space="preserve"> Notas complementares sobre Informática Aplicada. </t>
  </si>
  <si>
    <t>Gouveia, L. (2003). *Complementos de Novas Tecnologias e Comunicação*. 
Mestrado de Ciências da Comunicação. Universidade Fernando Pessoa. Porto, 
Março.</t>
  </si>
  <si>
    <t xml:space="preserve"> *Complementos de Novas Tecnologias e Comunicação*. </t>
  </si>
  <si>
    <t>Gouveia, L. (2003). *Apontamentos de Novas Tecnologias e Comunicação*. 
Mestrado de Ciências da Comunicação. Universidade Fernando Pessoa. Porto, 
Março.</t>
  </si>
  <si>
    <t xml:space="preserve"> *Apontamentos de Novas Tecnologias e Comunicação*. </t>
  </si>
  <si>
    <t>Gouveia, L. (2002). *Exercícios práticos para Sistemas de Informação*. UFP. 
Março.
texto [ pdf ]</t>
  </si>
  <si>
    <t xml:space="preserve"> *Exercícios práticos para Sistemas de Informação*. </t>
  </si>
  <si>
    <t>Gouveia, L. (2000). *It's time to rethink the way we deal with information.* 
Accepted to the Millennial Science Essay Competition 2000. The Wellcome 
Trust and New Scientist. UK. 
text [ pdf(8,8KB)]</t>
  </si>
  <si>
    <t xml:space="preserve"> *It's time to rethink the way we deal with information.*</t>
  </si>
  <si>
    <t>Gouveia, L. (1999). *Apontamentos de Gestão de Informação,* versão 2.0. 
Reprografia da UFP. UFP, Outubro.</t>
  </si>
  <si>
    <t xml:space="preserve"> *Apontamentos de Gestão de Informação,* versão 2.0</t>
  </si>
  <si>
    <t>Gouveia, L. (1999). *Apontamentos de Media Interactivos.* UFP, Janeiro.
recursos [ pdf: intro, acetatos e texto ]</t>
  </si>
  <si>
    <t xml:space="preserve"> *Apontamentos de Media Interactivos.*</t>
  </si>
  <si>
    <t>Gouveia, L. (1999). *A Análise de Sistemas. Discussão breve da actividade.* 
UFP, Janeiro.
texto [ pdf ]</t>
  </si>
  <si>
    <t xml:space="preserve"> *A Análise de Sistemas. </t>
  </si>
  <si>
    <t>Gouveia, L. (1999). *Introdução aos conceitos de Realidade Virtual*. UFP. 
Janeiro.
apresentação [ pdf ]</t>
  </si>
  <si>
    <t xml:space="preserve"> *Introdução aos conceitos de Realidade Virtual*. </t>
  </si>
  <si>
    <t>Gouveia, L. (1999). *Introdução à Linguagem JAVA.* UFP. Janeiro.
apresentação [ pdf ]</t>
  </si>
  <si>
    <t xml:space="preserve"> *Introdução à Linguagem JAVA.*</t>
  </si>
  <si>
    <t>Gouveia, L. (1998). *Introdução ao VRML* -Virtual Reality Modeling 
Language. UFP, Março.
apresentação [ HTML ou  pdf]</t>
  </si>
  <si>
    <t xml:space="preserve"> *Introdução ao VRML* -Virtual Reality Modeling 
Language. </t>
  </si>
  <si>
    <t>Gouveia, L. (1998). *Apontamentos de Sistemas de Informação, versão 
1992-1995* . UFP.
apresentação [ pdf ]</t>
  </si>
  <si>
    <t xml:space="preserve"> *Apontamentos de Sistemas de Informação, versão 
1992-1995* . </t>
  </si>
  <si>
    <t>Gouveia, L. (1997). *Uso básico do sistema operativo UNIX*, *introdução*. 
UFP, Dezembro.
texto [ HTML ]</t>
  </si>
  <si>
    <t xml:space="preserve"> *Uso básico do sistema operativo UNIX*, *introdução*. </t>
  </si>
  <si>
    <t>Gouveia, L. (1997). *O modelo OSI e os esforços de normalização em 
comunicação de dados.* UFP, Outubro. 
texto [ HTML ]</t>
  </si>
  <si>
    <t xml:space="preserve"> *O modelo OSI e os esforços de normalização em 
comunicação de dados.*</t>
  </si>
  <si>
    <t>Gouveia, L. (1997). *Desenvolvimento de páginas Web*, *dicas para obter o 
melhor efeito na publicação de informação na Internet*. UFP, Abril.
texto [ HTML ]</t>
  </si>
  <si>
    <t xml:space="preserve"> *Desenvolvimento de páginas Web*, *dicas para obter o 
melhor efeito na publicação de informação na Internet*. </t>
  </si>
  <si>
    <t>Gouveia, L. (1997).*Utilização básica do navegador Netscape.* UFP, Janeiro. 
texto [ HTML ]</t>
  </si>
  <si>
    <t>*Utilização básica do navegador Netscape.*</t>
  </si>
  <si>
    <t>Gouveia, L. (1997). *Apontamentos da cadeira de Logística e Gestão da 
Distribuição*. Cadeira leccionada no ISLA, entre 1995 e 1997.
apresentação [ pdf: resumo (7KB), introdução (77KB), logística integrada 
(62KB), serviço ao cliente (20KB), custos na distribuição (29KB), depósitos 
e política de localização (55KB) e práticas (623KB) ]</t>
  </si>
  <si>
    <t xml:space="preserve"> *Apontamentos da cadeira de Logística e Gestão da 
Distribuição*. </t>
  </si>
  <si>
    <t>Gouveia, L. (1996). *Como criar uma página Web, utilização de comandos HTML*. 
UFP, Dezembro.
apresentação [ pdf ]</t>
  </si>
  <si>
    <t xml:space="preserve"> *Como criar uma página Web, utilização de comandos HTML*. </t>
  </si>
  <si>
    <t>Gouveia, L. (1996). *Três palavras sobre a Análise de Sistemas*. UFP, 
Outubro.
texto [ HTML ]</t>
  </si>
  <si>
    <t xml:space="preserve"> *Três palavras sobre a Análise de Sistemas*. </t>
  </si>
  <si>
    <t>Gouveia, L. (1996). *Sistemas de Informação para a Gestão. Modelos e 
Sistemas de Apoio à Decisão.* CEREM, UFP. Abril.
apresentação [ pdf ]</t>
  </si>
  <si>
    <t xml:space="preserve"> *Sistemas de Informação para a Gestão. </t>
  </si>
  <si>
    <t>Gouveia, L. (1996)*. Apontamentos de Introdução à Informática* *- conceitos*. 
UFP, Janeiro.
texto [ postscript zipado ou pdf ]</t>
  </si>
  <si>
    <t>Gouveia, L. (1996). *Apontamentos de MS-DOS*. UFP, Janeiro.
texto [ pdf ]</t>
  </si>
  <si>
    <t xml:space="preserve"> *Apontamentos de MS-DOS*. </t>
  </si>
  <si>
    <t>Gouveia, L. (1995). *Gestão de projectos informáticos*. Transparências 
utilizadas em acções de formação no CESAI.
apresentação [pdf: mod1, mod2 e mod3 ]</t>
  </si>
  <si>
    <t xml:space="preserve"> *Gestão de projectos informáticos*. </t>
  </si>
  <si>
    <t>Gouveia, L. (1993). *Ambiente distribuído no UNIX e "remote procedure* 
calls". FEUP-DEEC.
texto [ postscript zipado]</t>
  </si>
  <si>
    <t>1993</t>
  </si>
  <si>
    <t xml:space="preserve"> *Ambiente distribuído no UNIX e "remote procedure* 
calls". </t>
  </si>
  <si>
    <t>Gouveia, L. (1993). *Sybase SQL Server - base de dados cliente/servidor*. 
FEUP-DEEC.
texto [ postscript zipado ]</t>
  </si>
  <si>
    <t>Gouveia, L. (1993). *Programação em bourne shell - sistema operativo UNIX*. 
Junho.
texto [ HTML ]</t>
  </si>
  <si>
    <t>Gouveia, L. (1988). *Levantamento estatístico para estudo do padrão 
alimentar dos alunos da 4ª classe*, em colaboração com o Centro de Saúde de 
Soares dos Reis, Rotary Club de Vila Nova de Gaia.</t>
  </si>
  <si>
    <t>IMPORTHTML(""http://homepage.ufp.pt/lmbg/lg_com2.htm"",""table"")"</t>
  </si>
  <si>
    <t>Ano</t>
  </si>
  <si>
    <t>Título</t>
  </si>
  <si>
    <t>Autores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</si>
</sst>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name val="Arial"/>
    </font>
    <font>
      <sz val="11"/>
      <color rgb="FF000000"/>
      <name val="Inconsolata"/>
    </font>
    <font>
      <sz val="11"/>
      <color rgb="FFF7981D"/>
      <name val="Arial"/>
    </font>
    <font>
      <sz val="9"/>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2" borderId="0" xfId="0" applyFont="1" applyFill="1"/>
    <xf numFmtId="0" fontId="3" fillId="2" borderId="0" xfId="0" applyFont="1" applyFill="1"/>
    <xf numFmtId="0" fontId="4" fillId="0" borderId="0" xfId="0" applyFont="1" applyAlignment="1">
      <alignment horizontal="center" vertical="center"/>
    </xf>
    <xf numFmtId="0" fontId="4" fillId="3" borderId="0" xfId="0" applyFont="1" applyFill="1" applyAlignment="1">
      <alignment horizontal="center" vertical="center"/>
    </xf>
    <xf numFmtId="0" fontId="4" fillId="0" borderId="0" xfId="0" applyFont="1" applyAlignment="1">
      <alignment horizontal="center" vertical="center" wrapText="1"/>
    </xf>
    <xf numFmtId="0" fontId="4" fillId="3" borderId="0" xfId="0" applyFont="1" applyFill="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0"/>
  <sheetViews>
    <sheetView topLeftCell="B1" zoomScale="85" zoomScaleNormal="85" workbookViewId="0">
      <selection activeCell="D3" sqref="D3"/>
    </sheetView>
  </sheetViews>
  <sheetFormatPr defaultColWidth="14.453125" defaultRowHeight="15" customHeight="1"/>
  <cols>
    <col min="1" max="1" width="14.453125" customWidth="1"/>
    <col min="2" max="2" width="73.08984375" customWidth="1"/>
    <col min="3" max="3" width="5.81640625" customWidth="1"/>
    <col min="4" max="4" width="24.6328125" customWidth="1"/>
    <col min="5" max="5" width="9.54296875" customWidth="1"/>
    <col min="6" max="6" width="55.90625" customWidth="1"/>
    <col min="9" max="9" width="61.54296875" customWidth="1"/>
    <col min="11" max="11" width="45.08984375" customWidth="1"/>
  </cols>
  <sheetData>
    <row r="1" spans="1:15" ht="15.75" customHeight="1">
      <c r="A1" t="str">
        <f ca="1">IFERROR(__xludf.DUMMYFUNCTION("IMPORTHTML(""http://homepage.ufp.pt/lmbg/lg_com2.htm"",""table"")"),"[ top ]")</f>
        <v>[ top ]</v>
      </c>
      <c r="B1" t="str">
        <f ca="1">IFERROR(__xludf.DUMMYFUNCTION("""COMPUTED_VALUE"""),"*Capítulos em livros* / *Book chapters*")</f>
        <v>*Capítulos em livros* / *Book chapters*</v>
      </c>
    </row>
    <row r="2" spans="1:15" ht="15.75" customHeight="1">
      <c r="A2" t="str">
        <f ca="1">IFERROR(__xludf.DUMMYFUNCTION("""COMPUTED_VALUE"""),"_________")</f>
        <v>_________</v>
      </c>
      <c r="B2" t="str">
        <f ca="1">IFERROR(__xludf.DUMMYFUNCTION("""COMPUTED_VALUE"""),"em editoras internacionais / international editors")</f>
        <v>em editoras internacionais / international editors</v>
      </c>
      <c r="C2" s="1" t="s">
        <v>0</v>
      </c>
      <c r="D2" s="1" t="s">
        <v>1</v>
      </c>
      <c r="E2" s="1" t="s">
        <v>2</v>
      </c>
      <c r="F2" s="1" t="s">
        <v>3</v>
      </c>
      <c r="G2" s="1" t="s">
        <v>4</v>
      </c>
      <c r="H2" s="1" t="s">
        <v>5</v>
      </c>
    </row>
    <row r="3" spans="1:15" ht="15.75" customHeight="1">
      <c r="A3">
        <f ca="1">IFERROR(__xludf.DUMMYFUNCTION("""COMPUTED_VALUE"""),20)</f>
        <v>20</v>
      </c>
      <c r="B3" t="str">
        <f ca="1">IFERROR(__xludf.DUMMYFUNCTION("""COMPUTED_VALUE"""),"Quental, C. and Gouveia, L. (2018). Participation Sphere: A Model and a 
Framework for Fostering Participation in Organizations. In S. Chhabra 
(Ed.), Handbook of Research on Civic Engagement and Social Change in 
Contemporary Society (pp. 16-39). Hershey"&amp;", PA: IGI Global. 
doi:10.4018/978-1-5225-4197-4.ch002  
[ paper ]")</f>
        <v>Quental, C. and Gouveia, L. (2018). Participation Sphere: A Model and a 
Framework for Fostering Participation in Organizations. In S. Chhabra 
(Ed.), Handbook of Research on Civic Engagement and Social Change in 
Contemporary Society (pp. 16-39). Hershey, PA: IGI Global. 
doi:10.4018/978-1-5225-4197-4.ch002  
[ paper ]</v>
      </c>
      <c r="C3" s="2">
        <f t="shared" ref="C3:C661" ca="1" si="0">FIND("(",B3)</f>
        <v>29</v>
      </c>
      <c r="D3" t="str">
        <f ca="1">LEFT(B3,C3-1)</f>
        <v xml:space="preserve">Quental, C. and Gouveia, L. </v>
      </c>
      <c r="E3" t="str">
        <f t="shared" ref="E3:E660" ca="1" si="1">MID(B3,C3+1,4)</f>
        <v>2018</v>
      </c>
      <c r="F3" t="str">
        <f t="shared" ref="F3:F660" ca="1" si="2">MID(B3,G3+2,H3-G3)</f>
        <v xml:space="preserve"> Participation Sphere: A Model and a 
Framework for Fostering Participation in Organizations. </v>
      </c>
      <c r="G3" s="3">
        <f t="shared" ref="G3:G660" ca="1" si="3">FIND(").",B3)</f>
        <v>34</v>
      </c>
      <c r="H3" s="2">
        <f t="shared" ref="H3:H660" ca="1" si="4">FIND(".",B3,G3+2)</f>
        <v>128</v>
      </c>
      <c r="I3" t="str">
        <f t="shared" ref="I3:I660" ca="1" si="5">MID(B3,H3+2,J3-H3)</f>
        <v>In S. Chhabra 
(Ed.), Handbook of Research on Civic Engagement and Social Change in 
Contemporary Society (pp. 16-39).</v>
      </c>
      <c r="J3" s="3">
        <f ca="1">FIND(").",B3,G3+1)</f>
        <v>246</v>
      </c>
      <c r="K3" t="str">
        <f t="shared" ref="K3:K660" ca="1" si="6">SUBSTITUTE(D3,"and",";")</f>
        <v xml:space="preserve">Quental, C. ; Gouveia, L. </v>
      </c>
      <c r="L3" t="str">
        <f t="shared" ref="L3:L660" ca="1" si="7">IFERROR(__xludf.DUMMYFUNCTION("SPLIT(K3,"";"")"),"Quental, C. ")</f>
        <v xml:space="preserve">Quental, C. </v>
      </c>
      <c r="M3" t="str">
        <f ca="1">IFERROR(__xludf.DUMMYFUNCTION("""COMPUTED_VALUE""")," Gouveia, L. ")</f>
        <v xml:space="preserve"> Gouveia, L. </v>
      </c>
    </row>
    <row r="4" spans="1:15" ht="15.75" customHeight="1">
      <c r="A4">
        <f ca="1">IFERROR(__xludf.DUMMYFUNCTION("""COMPUTED_VALUE"""),19)</f>
        <v>19</v>
      </c>
      <c r="B4" t="str">
        <f ca="1">IFERROR(__xludf.DUMMYFUNCTION("""COMPUTED_VALUE"""),"Quental, C. and Gouveia, L. (2018). *E-consultation as a Tool for 
Participation in teachers' Unions*. In Rocha, A. and Reis, L. (eds). 
Developments and Advances in Intelligent Systems and Applications. Series 
Studies in Computational Intelligence, Volu"&amp;"me 718. Springer International 
Publishing, AG, pp 153-167. DOI 10.1007/978-3-319-58965-7_11 
[ paper ]")</f>
        <v>Quental, C. and Gouveia, L. (2018). *E-consultation as a Tool for 
Participation in teachers' Unions*. In Rocha, A. and Reis, L. (eds). 
Developments and Advances in Intelligent Systems and Applications. Series 
Studies in Computational Intelligence, Volume 718. Springer International 
Publishing, AG, pp 153-167. DOI 10.1007/978-3-319-58965-7_11 
[ paper ]</v>
      </c>
      <c r="C4" s="2">
        <f t="shared" ca="1" si="0"/>
        <v>29</v>
      </c>
      <c r="D4" t="str">
        <f t="shared" ref="D4:D660" ca="1" si="8">LEFT(B4,FIND("(",B4)-1)</f>
        <v xml:space="preserve">Quental, C. and Gouveia, L. </v>
      </c>
      <c r="E4" t="str">
        <f t="shared" ca="1" si="1"/>
        <v>2018</v>
      </c>
      <c r="F4" t="str">
        <f t="shared" ca="1" si="2"/>
        <v xml:space="preserve"> *E-consultation as a Tool for 
Participation in teachers' Unions*. </v>
      </c>
      <c r="G4" s="3">
        <f t="shared" ca="1" si="3"/>
        <v>34</v>
      </c>
      <c r="H4" s="2">
        <f t="shared" ca="1" si="4"/>
        <v>102</v>
      </c>
      <c r="I4" t="str">
        <f t="shared" ca="1" si="5"/>
        <v>In Rocha, A. and Reis, L. (eds).</v>
      </c>
      <c r="J4" s="3">
        <f t="shared" ref="J4:J660" ca="1" si="9">FIND(").",B4,H4+1)</f>
        <v>134</v>
      </c>
      <c r="K4" t="str">
        <f t="shared" ca="1" si="6"/>
        <v xml:space="preserve">Quental, C. ; Gouveia, L. </v>
      </c>
      <c r="L4" t="str">
        <f t="shared" ca="1" si="7"/>
        <v xml:space="preserve">Quental, C. </v>
      </c>
      <c r="M4" t="str">
        <f ca="1">IFERROR(__xludf.DUMMYFUNCTION("""COMPUTED_VALUE""")," Gouveia, L. ")</f>
        <v xml:space="preserve"> Gouveia, L. </v>
      </c>
    </row>
    <row r="5" spans="1:15" ht="15.75" customHeight="1">
      <c r="A5">
        <f ca="1">IFERROR(__xludf.DUMMYFUNCTION("""COMPUTED_VALUE"""),18)</f>
        <v>18</v>
      </c>
      <c r="B5" t="str">
        <f ca="1">IFERROR(__xludf.DUMMYFUNCTION("""COMPUTED_VALUE"""),"Abrantes, S.; Gouveia, L. (2014). *A adopção e difusão de práticas de 
m-learning no contexto do ensino superior*. In Haguenaer, C.; Ulbricht, V.; 
Lima, L. (eds) (2014). Pesquisas em Linguagem e Educação no Contexto das 
Tecnologias Digitais. Curitiba: B"&amp;"rasil, Editora CRV, pp 105-128. ISBN: 
978-85-8042-905-3.")</f>
        <v>Abrantes, S.; Gouveia, L. (2014). *A adopção e difusão de práticas de 
m-learning no contexto do ensino superior*. In Haguenaer, C.; Ulbricht, V.; 
Lima, L. (eds) (2014). Pesquisas em Linguagem e Educação no Contexto das 
Tecnologias Digitais. Curitiba: Brasil, Editora CRV, pp 105-128. ISBN: 
978-85-8042-905-3.</v>
      </c>
      <c r="C5" s="2">
        <f t="shared" ca="1" si="0"/>
        <v>27</v>
      </c>
      <c r="D5" t="str">
        <f t="shared" ca="1" si="8"/>
        <v xml:space="preserve">Abrantes, S.; Gouveia, L. </v>
      </c>
      <c r="E5" t="str">
        <f t="shared" ca="1" si="1"/>
        <v>2014</v>
      </c>
      <c r="F5" t="str">
        <f t="shared" ca="1" si="2"/>
        <v xml:space="preserve"> *A adopção e difusão de práticas de 
m-learning no contexto do ensino superior*. </v>
      </c>
      <c r="G5" s="3">
        <f t="shared" ca="1" si="3"/>
        <v>32</v>
      </c>
      <c r="H5" s="2">
        <f t="shared" ca="1" si="4"/>
        <v>114</v>
      </c>
      <c r="I5" t="str">
        <f t="shared" ca="1" si="5"/>
        <v>In Haguenaer, C.; Ulbricht, V.; 
Lima, L. (eds) (2014).</v>
      </c>
      <c r="J5" s="3">
        <f t="shared" ca="1" si="9"/>
        <v>169</v>
      </c>
      <c r="K5" t="str">
        <f t="shared" ca="1" si="6"/>
        <v xml:space="preserve">Abrantes, S.; Gouveia, L. </v>
      </c>
      <c r="L5" t="str">
        <f t="shared" ca="1" si="7"/>
        <v xml:space="preserve">Quental, C. </v>
      </c>
      <c r="M5" t="str">
        <f ca="1">IFERROR(__xludf.DUMMYFUNCTION("""COMPUTED_VALUE""")," Gouveia, L. ")</f>
        <v xml:space="preserve"> Gouveia, L. </v>
      </c>
    </row>
    <row r="6" spans="1:15" ht="15.75" customHeight="1">
      <c r="A6">
        <f ca="1">IFERROR(__xludf.DUMMYFUNCTION("""COMPUTED_VALUE"""),17)</f>
        <v>17</v>
      </c>
      <c r="B6" t="str">
        <f ca="1">IFERROR(__xludf.DUMMYFUNCTION("""COMPUTED_VALUE"""),"Simões, L.; Gouveia, L. (2014). *Estudo exploratório sobre a utilização de 
Web 2.0 por docentes do ensino superior*. In Haguenaer, C.; Ulbricht, V.; 
Lima, L. (eds) (2014). Pesquisas em Linguagem e Educação no Contexto das 
Tecnologias Digitais. Curitiba"&amp;": Brasil, Editora CRV, pp 129-142. ISBN: 
978-85-8042-905-3.")</f>
        <v>Simões, L.; Gouveia, L. (2014). *Estudo exploratório sobre a utilização de 
Web 2.0 por docentes do ensino superior*. In Haguenaer, C.; Ulbricht, V.; 
Lima, L. (eds) (2014). Pesquisas em Linguagem e Educação no Contexto das 
Tecnologias Digitais. Curitiba: Brasil, Editora CRV, pp 129-142. ISBN: 
978-85-8042-905-3.</v>
      </c>
      <c r="C6" s="2">
        <f t="shared" ca="1" si="0"/>
        <v>25</v>
      </c>
      <c r="D6" t="str">
        <f t="shared" ca="1" si="8"/>
        <v xml:space="preserve">Simões, L.; Gouveia, L. </v>
      </c>
      <c r="E6" t="str">
        <f t="shared" ca="1" si="1"/>
        <v>2014</v>
      </c>
      <c r="F6" t="str">
        <f t="shared" ca="1" si="2"/>
        <v xml:space="preserve"> *Estudo exploratório sobre a utilização de 
Web 2.0</v>
      </c>
      <c r="G6" s="3">
        <f t="shared" ca="1" si="3"/>
        <v>30</v>
      </c>
      <c r="H6" s="2">
        <f t="shared" ca="1" si="4"/>
        <v>82</v>
      </c>
      <c r="I6" t="str">
        <f t="shared" ca="1" si="5"/>
        <v xml:space="preserve"> por docentes do ensino superior*. In Haguenaer, C.; Ulbricht, V.; 
Lima, L. (eds) (2014).</v>
      </c>
      <c r="J6" s="3">
        <f t="shared" ca="1" si="9"/>
        <v>172</v>
      </c>
      <c r="K6" t="str">
        <f t="shared" ca="1" si="6"/>
        <v xml:space="preserve">Simões, L.; Gouveia, L. </v>
      </c>
      <c r="L6" t="str">
        <f t="shared" ca="1" si="7"/>
        <v xml:space="preserve">Quental, C. </v>
      </c>
      <c r="M6" t="str">
        <f ca="1">IFERROR(__xludf.DUMMYFUNCTION("""COMPUTED_VALUE""")," Gouveia, L. ")</f>
        <v xml:space="preserve"> Gouveia, L. </v>
      </c>
    </row>
    <row r="7" spans="1:15" ht="15.75" customHeight="1">
      <c r="A7">
        <f ca="1">IFERROR(__xludf.DUMMYFUNCTION("""COMPUTED_VALUE"""),16)</f>
        <v>16</v>
      </c>
      <c r="B7" t="str">
        <f ca="1">IFERROR(__xludf.DUMMYFUNCTION("""COMPUTED_VALUE"""),"Peres, P.; Gouveia, L. (2014). *Desenhando Percursos de Aprendizagem: 
contributos para a estruturação de iniciativas de b-learning*. In 
Haguenaer, C.; Ulbricht, V.; Lima, L. (eds) (2014). Pesquisas em Linguagem 
e Educação no Contexto das Tecnologias Di"&amp;"gitais. Curitiba: Brasil, Editora 
CRV, pp 155-180. ISBN: 978-85-8042-905-3.")</f>
        <v>Peres, P.; Gouveia, L. (2014). *Desenhando Percursos de Aprendizagem: 
contributos para a estruturação de iniciativas de b-learning*. In 
Haguenaer, C.; Ulbricht, V.; Lima, L. (eds) (2014). Pesquisas em Linguagem 
e Educação no Contexto das Tecnologias Digitais. Curitiba: Brasil, Editora 
CRV, pp 155-180. ISBN: 978-85-8042-905-3.</v>
      </c>
      <c r="C7" s="2">
        <f t="shared" ca="1" si="0"/>
        <v>24</v>
      </c>
      <c r="D7" t="str">
        <f t="shared" ca="1" si="8"/>
        <v xml:space="preserve">Peres, P.; Gouveia, L. </v>
      </c>
      <c r="E7" t="str">
        <f t="shared" ca="1" si="1"/>
        <v>2014</v>
      </c>
      <c r="F7" t="str">
        <f t="shared" ca="1" si="2"/>
        <v xml:space="preserve"> *Desenhando Percursos de Aprendizagem: 
contributos para a estruturação de iniciativas de b-learning*. </v>
      </c>
      <c r="G7" s="3">
        <f t="shared" ca="1" si="3"/>
        <v>29</v>
      </c>
      <c r="H7" s="2">
        <f t="shared" ca="1" si="4"/>
        <v>133</v>
      </c>
      <c r="I7" t="str">
        <f t="shared" ca="1" si="5"/>
        <v>In 
Haguenaer, C.; Ulbricht, V.; Lima, L. (eds) (2014).</v>
      </c>
      <c r="J7" s="3">
        <f t="shared" ca="1" si="9"/>
        <v>188</v>
      </c>
      <c r="K7" t="str">
        <f t="shared" ca="1" si="6"/>
        <v xml:space="preserve">Peres, P.; Gouveia, L. </v>
      </c>
      <c r="L7" t="str">
        <f t="shared" ca="1" si="7"/>
        <v xml:space="preserve">Quental, C. </v>
      </c>
      <c r="M7" t="str">
        <f ca="1">IFERROR(__xludf.DUMMYFUNCTION("""COMPUTED_VALUE""")," Gouveia, L. ")</f>
        <v xml:space="preserve"> Gouveia, L. </v>
      </c>
    </row>
    <row r="8" spans="1:15" ht="15.75" customHeight="1">
      <c r="A8">
        <f ca="1">IFERROR(__xludf.DUMMYFUNCTION("""COMPUTED_VALUE"""),15)</f>
        <v>15</v>
      </c>
      <c r="B8" t="str">
        <f ca="1">IFERROR(__xludf.DUMMYFUNCTION("""COMPUTED_VALUE"""),"Sousa, A.; Agante, P. and Gouveia, L. (2014). Proposal for the Use of 
Digital Mediation for Public Direct Participation during Electoral Periods. 
in Rahman, H. and Dinis, R. (2014). Information Systems and Technology for 
Organizational Agility, Intelli"&amp;"gence, and Resilience (pp 62-96). IGI. 
Hershey, PA: Information Science Reference.")</f>
        <v>Sousa, A.; Agante, P. and Gouveia, L. (2014). Proposal for the Use of 
Digital Mediation for Public Direct Participation during Electoral Periods. 
in Rahman, H. and Dinis, R. (2014). Information Systems and Technology for 
Organizational Agility, Intelligence, and Resilience (pp 62-96). IGI. 
Hershey, PA: Information Science Reference.</v>
      </c>
      <c r="C8" s="2">
        <f t="shared" ca="1" si="0"/>
        <v>39</v>
      </c>
      <c r="D8" t="str">
        <f t="shared" ca="1" si="8"/>
        <v xml:space="preserve">Sousa, A.; Agante, P. and Gouveia, L. </v>
      </c>
      <c r="E8" t="str">
        <f t="shared" ca="1" si="1"/>
        <v>2014</v>
      </c>
      <c r="F8" t="str">
        <f t="shared" ca="1" si="2"/>
        <v xml:space="preserve"> Proposal for the Use of 
Digital Mediation for Public Direct Participation during Electoral Periods. </v>
      </c>
      <c r="G8" s="3">
        <f t="shared" ca="1" si="3"/>
        <v>44</v>
      </c>
      <c r="H8" s="2">
        <f t="shared" ca="1" si="4"/>
        <v>146</v>
      </c>
      <c r="I8" t="str">
        <f t="shared" ca="1" si="5"/>
        <v xml:space="preserve">
in Rahman, H. and Dinis, R. (2014).</v>
      </c>
      <c r="J8" s="3">
        <f t="shared" ca="1" si="9"/>
        <v>182</v>
      </c>
      <c r="K8" t="str">
        <f t="shared" ca="1" si="6"/>
        <v xml:space="preserve">Sousa, A.; Agante, P. ; Gouveia, L. </v>
      </c>
      <c r="L8" t="str">
        <f t="shared" ca="1" si="7"/>
        <v xml:space="preserve">Quental, C. </v>
      </c>
      <c r="M8" t="str">
        <f ca="1">IFERROR(__xludf.DUMMYFUNCTION("""COMPUTED_VALUE""")," Agante, P. ")</f>
        <v xml:space="preserve"> Agante, P. </v>
      </c>
      <c r="N8" t="str">
        <f ca="1">IFERROR(__xludf.DUMMYFUNCTION("""COMPUTED_VALUE""")," Gouveia, L. ")</f>
        <v xml:space="preserve"> Gouveia, L. </v>
      </c>
    </row>
    <row r="9" spans="1:15" ht="15.75" customHeight="1">
      <c r="A9">
        <f ca="1">IFERROR(__xludf.DUMMYFUNCTION("""COMPUTED_VALUE"""),14)</f>
        <v>14</v>
      </c>
      <c r="B9" t="str">
        <f ca="1">IFERROR(__xludf.DUMMYFUNCTION("""COMPUTED_VALUE"""),"Abrantes, S. L., &amp; Gouveia, L. B. (2014). *Using Games for Primary School: 
Assessing its Use with Flow Experience*. In I. Association (Ed.), K-12 
Education: Concepts, Methodologies, Tools, and Applications (pp. 840-852). 
Hershey, PA: Information Scienc"&amp;"e Reference. 
doi:10.4018/978-1-4666-4502-8.ch049. Sousa, A.;")</f>
        <v>Abrantes, S. L., &amp; Gouveia, L. B. (2014). *Using Games for Primary School: 
Assessing its Use with Flow Experience*. In I. Association (Ed.), K-12 
Education: Concepts, Methodologies, Tools, and Applications (pp. 840-852). 
Hershey, PA: Information Science Reference. 
doi:10.4018/978-1-4666-4502-8.ch049. Sousa, A.;</v>
      </c>
      <c r="C9" s="2">
        <f t="shared" ca="1" si="0"/>
        <v>35</v>
      </c>
      <c r="D9" t="str">
        <f t="shared" ca="1" si="8"/>
        <v xml:space="preserve">Abrantes, S. L., &amp; Gouveia, L. B. </v>
      </c>
      <c r="E9" t="str">
        <f t="shared" ca="1" si="1"/>
        <v>2014</v>
      </c>
      <c r="F9" t="str">
        <f t="shared" ca="1" si="2"/>
        <v xml:space="preserve"> *Using Games for Primary School: 
Assessing its Use with Flow Experience*. </v>
      </c>
      <c r="G9" s="3">
        <f t="shared" ca="1" si="3"/>
        <v>40</v>
      </c>
      <c r="H9" s="2">
        <f t="shared" ca="1" si="4"/>
        <v>116</v>
      </c>
      <c r="I9" t="str">
        <f t="shared" ca="1" si="5"/>
        <v>In I. Association (Ed.), K-12 
Education: Concepts, Methodologies, Tools, and Applications (pp. 840-852).</v>
      </c>
      <c r="J9" s="3">
        <f t="shared" ca="1" si="9"/>
        <v>221</v>
      </c>
      <c r="K9" t="str">
        <f t="shared" ca="1" si="6"/>
        <v xml:space="preserve">Abrantes, S. L., &amp; Gouveia, L. B. </v>
      </c>
      <c r="L9" t="str">
        <f t="shared" ca="1" si="7"/>
        <v xml:space="preserve">Quental, C. </v>
      </c>
    </row>
    <row r="10" spans="1:15" ht="15.75" customHeight="1">
      <c r="A10">
        <f ca="1">IFERROR(__xludf.DUMMYFUNCTION("""COMPUTED_VALUE"""),13)</f>
        <v>13</v>
      </c>
      <c r="B10" t="str">
        <f ca="1">IFERROR(__xludf.DUMMYFUNCTION("""COMPUTED_VALUE"""),"Sousa, A.; Agante, P. and Gouveia, L. (2012). *A Worked Proposal on 
eParticipation for State Wide Elections*. in Ko, A. et al. (Eds): Advancing 
Democracy, Government and Governance.  Lecture Notes in Computer Science, 
LCNS. Volume 7452, pp 178-190. Spr"&amp;"inger-Verlag Berlin Heidelberg. ISBN: 
978-3-642-32700-1.")</f>
        <v>Sousa, A.; Agante, P. and Gouveia, L. (2012). *A Worked Proposal on 
eParticipation for State Wide Elections*. in Ko, A. et al. (Eds): Advancing 
Democracy, Government and Governance.  Lecture Notes in Computer Science, 
LCNS. Volume 7452, pp 178-190. Springer-Verlag Berlin Heidelberg. ISBN: 
978-3-642-32700-1.</v>
      </c>
      <c r="C10" s="2">
        <f t="shared" ca="1" si="0"/>
        <v>39</v>
      </c>
      <c r="D10" t="str">
        <f t="shared" ca="1" si="8"/>
        <v xml:space="preserve">Sousa, A.; Agante, P. and Gouveia, L. </v>
      </c>
      <c r="E10" t="str">
        <f t="shared" ca="1" si="1"/>
        <v>2012</v>
      </c>
      <c r="F10" t="str">
        <f t="shared" ca="1" si="2"/>
        <v xml:space="preserve"> *A Worked Proposal on 
eParticipation for State Wide Elections*. </v>
      </c>
      <c r="G10" s="3">
        <f t="shared" ca="1" si="3"/>
        <v>44</v>
      </c>
      <c r="H10" s="2">
        <f t="shared" ca="1" si="4"/>
        <v>110</v>
      </c>
      <c r="I10" t="e">
        <f t="shared" ca="1" si="5"/>
        <v>#VALUE!</v>
      </c>
      <c r="J10" s="3" t="e">
        <f t="shared" ca="1" si="9"/>
        <v>#VALUE!</v>
      </c>
      <c r="K10" t="str">
        <f t="shared" ca="1" si="6"/>
        <v xml:space="preserve">Sousa, A.; Agante, P. ; Gouveia, L. </v>
      </c>
      <c r="L10" t="str">
        <f t="shared" ca="1" si="7"/>
        <v xml:space="preserve">Quental, C. </v>
      </c>
      <c r="M10" t="str">
        <f ca="1">IFERROR(__xludf.DUMMYFUNCTION("""COMPUTED_VALUE""")," Agante, P. ")</f>
        <v xml:space="preserve"> Agante, P. </v>
      </c>
      <c r="N10" t="str">
        <f ca="1">IFERROR(__xludf.DUMMYFUNCTION("""COMPUTED_VALUE""")," Gouveia, L. ")</f>
        <v xml:space="preserve"> Gouveia, L. </v>
      </c>
    </row>
    <row r="11" spans="1:15" ht="15.75" customHeight="1">
      <c r="A11">
        <f ca="1">IFERROR(__xludf.DUMMYFUNCTION("""COMPUTED_VALUE"""),12)</f>
        <v>12</v>
      </c>
      <c r="B11" t="str">
        <f ca="1">IFERROR(__xludf.DUMMYFUNCTION("""COMPUTED_VALUE"""),"Abrantes, S. and Gouveia, L. (2012). *Using Games for Primary School: 
Assessing its Use with Flow Experience*. Cruz-Cunha, M. (2012). Handbook of 
Research on Serious Games as Educational, Business and Research Tools, pp 
769-781. ISBN 9781466601499.")</f>
        <v>Abrantes, S. and Gouveia, L. (2012). *Using Games for Primary School: 
Assessing its Use with Flow Experience*. Cruz-Cunha, M. (2012). Handbook of 
Research on Serious Games as Educational, Business and Research Tools, pp 
769-781. ISBN 9781466601499.</v>
      </c>
      <c r="C11" s="2">
        <f t="shared" ca="1" si="0"/>
        <v>30</v>
      </c>
      <c r="D11" t="str">
        <f t="shared" ca="1" si="8"/>
        <v xml:space="preserve">Abrantes, S. and Gouveia, L. </v>
      </c>
      <c r="E11" t="str">
        <f t="shared" ca="1" si="1"/>
        <v>2012</v>
      </c>
      <c r="F11" t="str">
        <f t="shared" ca="1" si="2"/>
        <v xml:space="preserve"> *Using Games for Primary School: 
Assessing its Use with Flow Experience*. </v>
      </c>
      <c r="G11" s="3">
        <f t="shared" ca="1" si="3"/>
        <v>35</v>
      </c>
      <c r="H11" s="2">
        <f t="shared" ca="1" si="4"/>
        <v>111</v>
      </c>
      <c r="I11" t="str">
        <f t="shared" ca="1" si="5"/>
        <v>Cruz-Cunha, M. (2012).</v>
      </c>
      <c r="J11" s="3">
        <f t="shared" ca="1" si="9"/>
        <v>133</v>
      </c>
      <c r="K11" t="str">
        <f t="shared" ca="1" si="6"/>
        <v xml:space="preserve">Abrantes, S. ; Gouveia, L. </v>
      </c>
      <c r="L11" t="str">
        <f t="shared" ca="1" si="7"/>
        <v xml:space="preserve">Quental, C. </v>
      </c>
      <c r="M11" t="str">
        <f ca="1">IFERROR(__xludf.DUMMYFUNCTION("""COMPUTED_VALUE""")," Gouveia, L. ")</f>
        <v xml:space="preserve"> Gouveia, L. </v>
      </c>
    </row>
    <row r="12" spans="1:15" ht="15.75" customHeight="1">
      <c r="A12">
        <f ca="1">IFERROR(__xludf.DUMMYFUNCTION("""COMPUTED_VALUE"""),11)</f>
        <v>11</v>
      </c>
      <c r="B12" t="str">
        <f ca="1">IFERROR(__xludf.DUMMYFUNCTION("""COMPUTED_VALUE"""),"Sousa, A; Agante, P and Gouveia, L. (2011). *iLeger: A Web Based 
Application for Participative Elections*. In E. Tambouris, E.; Macintosh, 
A. and de Bruijn, H. (Eds.) (2011)  Electronic Participation. Lecture Notes 
in Computer Science, LCNS. Volume 684"&amp;"7, pp. 228–239. Springer-Verlag Berlin 
Heidelberg. ISBN: 978-3-642-23332-6.")</f>
        <v>Sousa, A; Agante, P and Gouveia, L. (2011). *iLeger: A Web Based 
Application for Participative Elections*. In E. Tambouris, E.; Macintosh, 
A. and de Bruijn, H. (Eds.) (2011)  Electronic Participation. Lecture Notes 
in Computer Science, LCNS. Volume 6847, pp. 228–239. Springer-Verlag Berlin 
Heidelberg. ISBN: 978-3-642-23332-6.</v>
      </c>
      <c r="C12" s="2">
        <f t="shared" ca="1" si="0"/>
        <v>37</v>
      </c>
      <c r="D12" t="str">
        <f t="shared" ca="1" si="8"/>
        <v xml:space="preserve">Sousa, A; Agante, P and Gouveia, L. </v>
      </c>
      <c r="E12" t="str">
        <f t="shared" ca="1" si="1"/>
        <v>2011</v>
      </c>
      <c r="F12" t="str">
        <f t="shared" ca="1" si="2"/>
        <v xml:space="preserve"> *iLeger: A Web Based 
Application for Participative Elections*. </v>
      </c>
      <c r="G12" s="3">
        <f t="shared" ca="1" si="3"/>
        <v>42</v>
      </c>
      <c r="H12" s="2">
        <f t="shared" ca="1" si="4"/>
        <v>107</v>
      </c>
      <c r="I12" t="e">
        <f t="shared" ca="1" si="5"/>
        <v>#VALUE!</v>
      </c>
      <c r="J12" s="3" t="e">
        <f t="shared" ca="1" si="9"/>
        <v>#VALUE!</v>
      </c>
      <c r="K12" t="str">
        <f t="shared" ca="1" si="6"/>
        <v xml:space="preserve">Sousa, A; Agante, P ; Gouveia, L. </v>
      </c>
      <c r="L12" t="str">
        <f t="shared" ca="1" si="7"/>
        <v xml:space="preserve">Quental, C. </v>
      </c>
      <c r="M12" t="str">
        <f ca="1">IFERROR(__xludf.DUMMYFUNCTION("""COMPUTED_VALUE""")," Agante, P ")</f>
        <v xml:space="preserve"> Agante, P </v>
      </c>
      <c r="N12" t="str">
        <f ca="1">IFERROR(__xludf.DUMMYFUNCTION("""COMPUTED_VALUE""")," Gouveia, L. ")</f>
        <v xml:space="preserve"> Gouveia, L. </v>
      </c>
    </row>
    <row r="13" spans="1:15" ht="15.75" customHeight="1">
      <c r="A13">
        <f ca="1">IFERROR(__xludf.DUMMYFUNCTION("""COMPUTED_VALUE"""),10)</f>
        <v>10</v>
      </c>
      <c r="B13" t="str">
        <f ca="1">IFERROR(__xludf.DUMMYFUNCTION("""COMPUTED_VALUE"""),"Quental, C. e Gouveia, L. (2011). *Evaluation of a mobile platform to 
support collaborative learning: case study*. In Cruz-Cunha, M. e Moreira, 
F. (2011). Handbook of Research on Mobility and Computing: Evolving 
Technoloies and Ubiquitous Impacts. IGI."&amp;" ISBN 9781609600426, pp 974-993: 
doi:10.4018/978-1-60960-042-6.ch060.")</f>
        <v>Quental, C. e Gouveia, L. (2011). *Evaluation of a mobile platform to 
support collaborative learning: case study*. In Cruz-Cunha, M. e Moreira, 
F. (2011). Handbook of Research on Mobility and Computing: Evolving 
Technoloies and Ubiquitous Impacts. IGI. ISBN 9781609600426, pp 974-993: 
doi:10.4018/978-1-60960-042-6.ch060.</v>
      </c>
      <c r="C13" s="2">
        <f t="shared" ca="1" si="0"/>
        <v>27</v>
      </c>
      <c r="D13" t="str">
        <f t="shared" ca="1" si="8"/>
        <v xml:space="preserve">Quental, C. e Gouveia, L. </v>
      </c>
      <c r="E13" t="str">
        <f t="shared" ca="1" si="1"/>
        <v>2011</v>
      </c>
      <c r="F13" t="str">
        <f t="shared" ca="1" si="2"/>
        <v xml:space="preserve"> *Evaluation of a mobile platform to 
support collaborative learning: case study*. </v>
      </c>
      <c r="G13" s="3">
        <f t="shared" ca="1" si="3"/>
        <v>32</v>
      </c>
      <c r="H13" s="2">
        <f t="shared" ca="1" si="4"/>
        <v>115</v>
      </c>
      <c r="I13" t="str">
        <f t="shared" ca="1" si="5"/>
        <v>In Cruz-Cunha, M. e Moreira, 
F. (2011).</v>
      </c>
      <c r="J13" s="3">
        <f t="shared" ca="1" si="9"/>
        <v>155</v>
      </c>
      <c r="K13" t="str">
        <f t="shared" ca="1" si="6"/>
        <v xml:space="preserve">Quental, C. e Gouveia, L. </v>
      </c>
      <c r="L13" t="str">
        <f t="shared" ca="1" si="7"/>
        <v xml:space="preserve">Quental, C. </v>
      </c>
    </row>
    <row r="14" spans="1:15" ht="15.75" customHeight="1">
      <c r="A14">
        <f ca="1">IFERROR(__xludf.DUMMYFUNCTION("""COMPUTED_VALUE"""),9)</f>
        <v>9</v>
      </c>
      <c r="B14" t="str">
        <f ca="1">IFERROR(__xludf.DUMMYFUNCTION("""COMPUTED_VALUE"""),"Sousa, A.; Agante, P. and Gouveia, L. (2010). *Governmeter: monitoring 
government performance. A Web Based Application Proposal*. in Andersen, K. 
et al. (eds) (2010). Electronic Government and the Information Systems 
Perspective. Lecture Notes in Compu"&amp;"ter Science, LCNS. Volume 6267, pp 
158-165. Berlin: Springer-Verlag Berlin Heidelberg. ISBN: 
978-3-642-15171-2.")</f>
        <v>Sousa, A.; Agante, P. and Gouveia, L. (2010). *Governmeter: monitoring 
government performance. A Web Based Application Proposal*. in Andersen, K. 
et al. (eds) (2010). Electronic Government and the Information Systems 
Perspective. Lecture Notes in Computer Science, LCNS. Volume 6267, pp 
158-165. Berlin: Springer-Verlag Berlin Heidelberg. ISBN: 
978-3-642-15171-2.</v>
      </c>
      <c r="C14" s="2">
        <f t="shared" ca="1" si="0"/>
        <v>39</v>
      </c>
      <c r="D14" t="str">
        <f t="shared" ca="1" si="8"/>
        <v xml:space="preserve">Sousa, A.; Agante, P. and Gouveia, L. </v>
      </c>
      <c r="E14" t="str">
        <f t="shared" ca="1" si="1"/>
        <v>2010</v>
      </c>
      <c r="F14" t="str">
        <f t="shared" ca="1" si="2"/>
        <v xml:space="preserve"> *Governmeter: monitoring 
government performance. </v>
      </c>
      <c r="G14" s="3">
        <f t="shared" ca="1" si="3"/>
        <v>44</v>
      </c>
      <c r="H14" s="2">
        <f t="shared" ca="1" si="4"/>
        <v>95</v>
      </c>
      <c r="I14" t="str">
        <f t="shared" ca="1" si="5"/>
        <v>A Web Based Application Proposal*. in Andersen, K. 
et al. (eds) (2010).</v>
      </c>
      <c r="J14" s="3">
        <f t="shared" ca="1" si="9"/>
        <v>167</v>
      </c>
      <c r="K14" t="str">
        <f t="shared" ca="1" si="6"/>
        <v xml:space="preserve">Sousa, A.; Agante, P. ; Gouveia, L. </v>
      </c>
      <c r="L14" t="str">
        <f t="shared" ca="1" si="7"/>
        <v xml:space="preserve">Quental, C. </v>
      </c>
      <c r="M14" t="str">
        <f ca="1">IFERROR(__xludf.DUMMYFUNCTION("""COMPUTED_VALUE""")," Agante, P. ")</f>
        <v xml:space="preserve"> Agante, P. </v>
      </c>
      <c r="N14" t="str">
        <f ca="1">IFERROR(__xludf.DUMMYFUNCTION("""COMPUTED_VALUE""")," Gouveia, L. ")</f>
        <v xml:space="preserve"> Gouveia, L. </v>
      </c>
    </row>
    <row r="15" spans="1:15" ht="15.75" customHeight="1">
      <c r="A15">
        <f ca="1">IFERROR(__xludf.DUMMYFUNCTION("""COMPUTED_VALUE"""),8)</f>
        <v>8</v>
      </c>
      <c r="B15" t="str">
        <f ca="1">IFERROR(__xludf.DUMMYFUNCTION("""COMPUTED_VALUE"""),"Fernandes, N.; Gouveia, F. and Gouveia, L. (2009) *UFP-UV: UFP in the Sakai 
Project*. In Berg, A. and Korcuska, M. (2009). *Sakai Courseware 
Management. The Official Guide*. London: Packt Publishing. ISBN: 1847199402.")</f>
        <v>Fernandes, N.; Gouveia, F. and Gouveia, L. (2009) *UFP-UV: UFP in the Sakai 
Project*. In Berg, A. and Korcuska, M. (2009). *Sakai Courseware 
Management. The Official Guide*. London: Packt Publishing. ISBN: 1847199402.</v>
      </c>
      <c r="C15" s="2">
        <f t="shared" ca="1" si="0"/>
        <v>44</v>
      </c>
      <c r="D15" t="str">
        <f t="shared" ca="1" si="8"/>
        <v xml:space="preserve">Fernandes, N.; Gouveia, F. and Gouveia, L. </v>
      </c>
      <c r="E15" t="str">
        <f t="shared" ca="1" si="1"/>
        <v>2009</v>
      </c>
      <c r="F15" t="str">
        <f t="shared" ca="1" si="2"/>
        <v xml:space="preserve"> *Sakai Courseware 
Management. </v>
      </c>
      <c r="G15" s="3">
        <f t="shared" ca="1" si="3"/>
        <v>122</v>
      </c>
      <c r="H15" s="2">
        <f t="shared" ca="1" si="4"/>
        <v>154</v>
      </c>
      <c r="I15" t="e">
        <f t="shared" ca="1" si="5"/>
        <v>#VALUE!</v>
      </c>
      <c r="J15" s="3" t="e">
        <f t="shared" ca="1" si="9"/>
        <v>#VALUE!</v>
      </c>
      <c r="K15" t="str">
        <f t="shared" ca="1" si="6"/>
        <v xml:space="preserve">Fern;es, N.; Gouveia, F. ; Gouveia, L. </v>
      </c>
      <c r="L15" t="str">
        <f t="shared" ca="1" si="7"/>
        <v xml:space="preserve">Quental, C. </v>
      </c>
      <c r="M15" t="str">
        <f ca="1">IFERROR(__xludf.DUMMYFUNCTION("""COMPUTED_VALUE"""),"es, N.")</f>
        <v>es, N.</v>
      </c>
      <c r="N15" t="str">
        <f ca="1">IFERROR(__xludf.DUMMYFUNCTION("""COMPUTED_VALUE""")," Gouveia, F. ")</f>
        <v xml:space="preserve"> Gouveia, F. </v>
      </c>
      <c r="O15" t="str">
        <f ca="1">IFERROR(__xludf.DUMMYFUNCTION("""COMPUTED_VALUE""")," Gouveia, L. ")</f>
        <v xml:space="preserve"> Gouveia, L. </v>
      </c>
    </row>
    <row r="16" spans="1:15" ht="15.75" customHeight="1">
      <c r="A16">
        <f ca="1">IFERROR(__xludf.DUMMYFUNCTION("""COMPUTED_VALUE"""),7)</f>
        <v>7</v>
      </c>
      <c r="B16" t="str">
        <f ca="1">IFERROR(__xludf.DUMMYFUNCTION("""COMPUTED_VALUE"""),"Gouveia, L. (2005). *Emergent Skills in Higher Education: The Quest for 
Emotion and Virtual University*. Chapter Three in Preston, D. (2005). 
Contemporary Issues in Education. Volume 33. A volume in the At the 
Interface project 'The Idea of Education'."&amp;" Rodopi. ISBN 90 420 1684 1, pp 
37-48.")</f>
        <v>Gouveia, L. (2005). *Emergent Skills in Higher Education: The Quest for 
Emotion and Virtual University*. Chapter Three in Preston, D. (2005). 
Contemporary Issues in Education. Volume 33. A volume in the At the 
Interface project 'The Idea of Education'. Rodopi. ISBN 90 420 1684 1, pp 
37-48.</v>
      </c>
      <c r="C16" s="2">
        <f t="shared" ca="1" si="0"/>
        <v>13</v>
      </c>
      <c r="D16" t="str">
        <f t="shared" ca="1" si="8"/>
        <v xml:space="preserve">Gouveia, L. </v>
      </c>
      <c r="E16" t="str">
        <f t="shared" ca="1" si="1"/>
        <v>2005</v>
      </c>
      <c r="F16" t="str">
        <f t="shared" ca="1" si="2"/>
        <v xml:space="preserve"> *Emergent Skills in Higher Education: The Quest for 
Emotion and Virtual University*. </v>
      </c>
      <c r="G16" s="3">
        <f t="shared" ca="1" si="3"/>
        <v>18</v>
      </c>
      <c r="H16" s="2">
        <f t="shared" ca="1" si="4"/>
        <v>105</v>
      </c>
      <c r="I16" t="str">
        <f t="shared" ca="1" si="5"/>
        <v>Chapter Three in Preston, D. (2005).</v>
      </c>
      <c r="J16" s="3">
        <f t="shared" ca="1" si="9"/>
        <v>141</v>
      </c>
      <c r="K16" t="str">
        <f t="shared" ca="1" si="6"/>
        <v xml:space="preserve">Gouveia, L. </v>
      </c>
      <c r="L16" t="str">
        <f t="shared" ca="1" si="7"/>
        <v xml:space="preserve">Quental, C. </v>
      </c>
    </row>
    <row r="17" spans="1:15" ht="15.75" customHeight="1">
      <c r="A17">
        <f ca="1">IFERROR(__xludf.DUMMYFUNCTION("""COMPUTED_VALUE"""),6)</f>
        <v>6</v>
      </c>
      <c r="B17" t="str">
        <f ca="1">IFERROR(__xludf.DUMMYFUNCTION("""COMPUTED_VALUE"""),"Gouveia, L. (2004). *Emergent skills in higher education: the quest for 
emotion and virtual university*. In Preston, D. and Nguyen, T. (Eds). 
Virtuality and Education. A Reader. Inter-Disciplinary Press. Oxford, 
United Kingdom: Publishing Creative Rese"&amp;"arch. e-book. ISBN: 1-904710-10-7, 
pp 14-18. 
e-book completo [ pdf(0,99MB) ].")</f>
        <v>Gouveia, L. (2004). *Emergent skills in higher education: the quest for 
emotion and virtual university*. In Preston, D. and Nguyen, T. (Eds). 
Virtuality and Education. A Reader. Inter-Disciplinary Press. Oxford, 
United Kingdom: Publishing Creative Research. e-book. ISBN: 1-904710-10-7, 
pp 14-18. 
e-book completo [ pdf(0,99MB) ].</v>
      </c>
      <c r="C17" s="2">
        <f t="shared" ca="1" si="0"/>
        <v>13</v>
      </c>
      <c r="D17" t="str">
        <f t="shared" ca="1" si="8"/>
        <v xml:space="preserve">Gouveia, L. </v>
      </c>
      <c r="E17" t="str">
        <f t="shared" ca="1" si="1"/>
        <v>2004</v>
      </c>
      <c r="F17" t="str">
        <f t="shared" ca="1" si="2"/>
        <v xml:space="preserve"> *Emergent skills in higher education: the quest for 
emotion and virtual university*. </v>
      </c>
      <c r="G17" s="3">
        <f t="shared" ca="1" si="3"/>
        <v>18</v>
      </c>
      <c r="H17" s="2">
        <f t="shared" ca="1" si="4"/>
        <v>105</v>
      </c>
      <c r="I17" t="str">
        <f t="shared" ca="1" si="5"/>
        <v>In Preston, D. and Nguyen, T. (Eds).</v>
      </c>
      <c r="J17" s="3">
        <f t="shared" ca="1" si="9"/>
        <v>141</v>
      </c>
      <c r="K17" t="str">
        <f t="shared" ca="1" si="6"/>
        <v xml:space="preserve">Gouveia, L. </v>
      </c>
      <c r="L17" t="str">
        <f t="shared" ca="1" si="7"/>
        <v xml:space="preserve">Quental, C. </v>
      </c>
    </row>
    <row r="18" spans="1:15" ht="15.75" customHeight="1">
      <c r="A18">
        <f ca="1">IFERROR(__xludf.DUMMYFUNCTION("""COMPUTED_VALUE"""),5)</f>
        <v>5</v>
      </c>
      <c r="B18" t="str">
        <f ca="1">IFERROR(__xludf.DUMMYFUNCTION("""COMPUTED_VALUE"""),"Gouveia, L. and Gouveia, J. (2003). *EFTWeb: A Model for the Enhanced Use 
of Educational Materials,* in Albalooshi, F. (ed.) Virtual Education Cases 
in Learning &amp; Teaching Technologies. Chapter VI. Idea Group Publishing. 
ISBN: 1-9317777-82-9, pp 75-90.")</f>
        <v>Gouveia, L. and Gouveia, J. (2003). *EFTWeb: A Model for the Enhanced Use 
of Educational Materials,* in Albalooshi, F. (ed.) Virtual Education Cases 
in Learning &amp; Teaching Technologies. Chapter VI. Idea Group Publishing. 
ISBN: 1-9317777-82-9, pp 75-90.</v>
      </c>
      <c r="C18" s="2">
        <f t="shared" ca="1" si="0"/>
        <v>29</v>
      </c>
      <c r="D18" t="str">
        <f t="shared" ca="1" si="8"/>
        <v xml:space="preserve">Gouveia, L. and Gouveia, J. </v>
      </c>
      <c r="E18" t="str">
        <f t="shared" ca="1" si="1"/>
        <v>2003</v>
      </c>
      <c r="F18" t="str">
        <f t="shared" ca="1" si="2"/>
        <v xml:space="preserve"> *EFTWeb: A Model for the Enhanced Use 
of Educational Materials,* in Albalooshi, F. </v>
      </c>
      <c r="G18" s="3">
        <f t="shared" ca="1" si="3"/>
        <v>34</v>
      </c>
      <c r="H18" s="2">
        <f t="shared" ca="1" si="4"/>
        <v>119</v>
      </c>
      <c r="I18" t="e">
        <f t="shared" ca="1" si="5"/>
        <v>#VALUE!</v>
      </c>
      <c r="J18" s="3" t="e">
        <f t="shared" ca="1" si="9"/>
        <v>#VALUE!</v>
      </c>
      <c r="K18" t="str">
        <f t="shared" ca="1" si="6"/>
        <v xml:space="preserve">Gouveia, L. ; Gouveia, J. </v>
      </c>
      <c r="L18" t="str">
        <f t="shared" ca="1" si="7"/>
        <v xml:space="preserve">Quental, C. </v>
      </c>
      <c r="M18" t="str">
        <f ca="1">IFERROR(__xludf.DUMMYFUNCTION("""COMPUTED_VALUE""")," Gouveia, J. ")</f>
        <v xml:space="preserve"> Gouveia, J. </v>
      </c>
    </row>
    <row r="19" spans="1:15" ht="15.75" customHeight="1">
      <c r="A19">
        <f ca="1">IFERROR(__xludf.DUMMYFUNCTION("""COMPUTED_VALUE"""),4)</f>
        <v>4</v>
      </c>
      <c r="B19" t="str">
        <f ca="1">IFERROR(__xludf.DUMMYFUNCTION("""COMPUTED_VALUE"""),"Rurato, P.; Gouveia, L. and Gouveia, J. (2002). *A Study on Adult Education 
and Distance Learning*. Mendez, A. et al. (eds) Educational Technology: 
International Conference on Information and Communication Technologies in 
Education. Junta de Extremadur"&amp;"a. Vol. I, pp 78-80. ISBN I-84-95251-77-9. 
paper [ pdf(22KB)]")</f>
        <v>Rurato, P.; Gouveia, L. and Gouveia, J. (2002). *A Study on Adult Education 
and Distance Learning*. Mendez, A. et al. (eds) Educational Technology: 
International Conference on Information and Communication Technologies in 
Education. Junta de Extremadura. Vol. I, pp 78-80. ISBN I-84-95251-77-9. 
paper [ pdf(22KB)]</v>
      </c>
      <c r="C19" s="2">
        <f t="shared" ca="1" si="0"/>
        <v>41</v>
      </c>
      <c r="D19" t="str">
        <f t="shared" ca="1" si="8"/>
        <v xml:space="preserve">Rurato, P.; Gouveia, L. and Gouveia, J. </v>
      </c>
      <c r="E19" t="str">
        <f t="shared" ca="1" si="1"/>
        <v>2002</v>
      </c>
      <c r="F19" t="str">
        <f t="shared" ca="1" si="2"/>
        <v xml:space="preserve"> *A Study on Adult Education 
and Distance Learning*. </v>
      </c>
      <c r="G19" s="3">
        <f t="shared" ca="1" si="3"/>
        <v>46</v>
      </c>
      <c r="H19" s="2">
        <f t="shared" ca="1" si="4"/>
        <v>100</v>
      </c>
      <c r="I19" t="e">
        <f t="shared" ca="1" si="5"/>
        <v>#VALUE!</v>
      </c>
      <c r="J19" s="3" t="e">
        <f t="shared" ca="1" si="9"/>
        <v>#VALUE!</v>
      </c>
      <c r="K19" t="str">
        <f t="shared" ca="1" si="6"/>
        <v xml:space="preserve">Rurato, P.; Gouveia, L. ; Gouveia, J. </v>
      </c>
      <c r="L19" t="str">
        <f t="shared" ca="1" si="7"/>
        <v xml:space="preserve">Quental, C. </v>
      </c>
      <c r="M19" t="str">
        <f ca="1">IFERROR(__xludf.DUMMYFUNCTION("""COMPUTED_VALUE""")," Gouveia, L. ")</f>
        <v xml:space="preserve"> Gouveia, L. </v>
      </c>
      <c r="N19" t="str">
        <f ca="1">IFERROR(__xludf.DUMMYFUNCTION("""COMPUTED_VALUE""")," Gouveia, J. ")</f>
        <v xml:space="preserve"> Gouveia, J. </v>
      </c>
    </row>
    <row r="20" spans="1:15" ht="15.75" customHeight="1">
      <c r="A20">
        <f ca="1">IFERROR(__xludf.DUMMYFUNCTION("""COMPUTED_VALUE"""),3)</f>
        <v>3</v>
      </c>
      <c r="B20" t="str">
        <f ca="1">IFERROR(__xludf.DUMMYFUNCTION("""COMPUTED_VALUE"""),"Gouveia, L. (2002). *A Proposal to Support Collaborative Learning: using a 
structure to share context*. Mendez, A. et al. (eds) Educational 
Technology: International Conference on Information and Communication 
Technologies in Education. Junta de Extrem"&amp;"adura. Vol. I, pp 63-67. ISBN 
I-84-95251-77-9. 
paper [ pdf(34KB)] ]")</f>
        <v>Gouveia, L. (2002). *A Proposal to Support Collaborative Learning: using a 
structure to share context*. Mendez, A. et al. (eds) Educational 
Technology: International Conference on Information and Communication 
Technologies in Education. Junta de Extremadura. Vol. I, pp 63-67. ISBN 
I-84-95251-77-9. 
paper [ pdf(34KB)] ]</v>
      </c>
      <c r="C20" s="2">
        <f t="shared" ca="1" si="0"/>
        <v>13</v>
      </c>
      <c r="D20" t="str">
        <f t="shared" ca="1" si="8"/>
        <v xml:space="preserve">Gouveia, L. </v>
      </c>
      <c r="E20" t="str">
        <f t="shared" ca="1" si="1"/>
        <v>2002</v>
      </c>
      <c r="F20" t="str">
        <f t="shared" ca="1" si="2"/>
        <v xml:space="preserve"> *A Proposal to Support Collaborative Learning: using a 
structure to share context*. </v>
      </c>
      <c r="G20" s="3">
        <f t="shared" ca="1" si="3"/>
        <v>18</v>
      </c>
      <c r="H20" s="2">
        <f t="shared" ca="1" si="4"/>
        <v>104</v>
      </c>
      <c r="I20" t="e">
        <f t="shared" ca="1" si="5"/>
        <v>#VALUE!</v>
      </c>
      <c r="J20" s="3" t="e">
        <f t="shared" ca="1" si="9"/>
        <v>#VALUE!</v>
      </c>
      <c r="K20" t="str">
        <f t="shared" ca="1" si="6"/>
        <v xml:space="preserve">Gouveia, L. </v>
      </c>
      <c r="L20" t="str">
        <f t="shared" ca="1" si="7"/>
        <v xml:space="preserve">Quental, C. </v>
      </c>
    </row>
    <row r="21" spans="1:15" ht="15.75" customHeight="1">
      <c r="A21">
        <f ca="1">IFERROR(__xludf.DUMMYFUNCTION("""COMPUTED_VALUE"""),2)</f>
        <v>2</v>
      </c>
      <c r="B21" t="str">
        <f ca="1">IFERROR(__xludf.DUMMYFUNCTION("""COMPUTED_VALUE"""),"Gouveia, L. and Gouveia, F. (2002). *Evaluation of a visualisation design 
for knowledge sharing and information discovery*. In J.Filipe, Sharp, B. 
and Miranda, P. (Eds.), 2002. Enterprise Information Systems III. Kluwer 
Academic Publishers, Dordrecht, "&amp;"The Netherlands. March 2002, ISBN 
1-4020-0563-6, pp 83-89.")</f>
        <v>Gouveia, L. and Gouveia, F. (2002). *Evaluation of a visualisation design 
for knowledge sharing and information discovery*. In J.Filipe, Sharp, B. 
and Miranda, P. (Eds.), 2002. Enterprise Information Systems III. Kluwer 
Academic Publishers, Dordrecht, The Netherlands. March 2002, ISBN 
1-4020-0563-6, pp 83-89.</v>
      </c>
      <c r="C21" s="2">
        <f t="shared" ca="1" si="0"/>
        <v>29</v>
      </c>
      <c r="D21" t="str">
        <f t="shared" ca="1" si="8"/>
        <v xml:space="preserve">Gouveia, L. and Gouveia, F. </v>
      </c>
      <c r="E21" t="str">
        <f t="shared" ca="1" si="1"/>
        <v>2002</v>
      </c>
      <c r="F21" t="str">
        <f t="shared" ca="1" si="2"/>
        <v xml:space="preserve"> *Evaluation of a visualisation design 
for knowledge sharing and information discovery*. </v>
      </c>
      <c r="G21" s="3">
        <f t="shared" ca="1" si="3"/>
        <v>34</v>
      </c>
      <c r="H21" s="2">
        <f t="shared" ca="1" si="4"/>
        <v>124</v>
      </c>
      <c r="I21" t="e">
        <f t="shared" ca="1" si="5"/>
        <v>#VALUE!</v>
      </c>
      <c r="J21" s="3" t="e">
        <f t="shared" ca="1" si="9"/>
        <v>#VALUE!</v>
      </c>
      <c r="K21" t="str">
        <f t="shared" ca="1" si="6"/>
        <v xml:space="preserve">Gouveia, L. ; Gouveia, F. </v>
      </c>
      <c r="L21" t="str">
        <f t="shared" ca="1" si="7"/>
        <v xml:space="preserve">Quental, C. </v>
      </c>
      <c r="M21" t="str">
        <f ca="1">IFERROR(__xludf.DUMMYFUNCTION("""COMPUTED_VALUE""")," Gouveia, F. ")</f>
        <v xml:space="preserve"> Gouveia, F. </v>
      </c>
    </row>
    <row r="22" spans="1:15" ht="15.75" customHeight="1">
      <c r="A22">
        <f ca="1">IFERROR(__xludf.DUMMYFUNCTION("""COMPUTED_VALUE"""),1)</f>
        <v>1</v>
      </c>
      <c r="B22" t="str">
        <f ca="1">IFERROR(__xludf.DUMMYFUNCTION("""COMPUTED_VALUE"""),"Gouveia, L. (2001). A technological related discussion on the potential of 
change in education, learning and training. in Ferrari, A. and Mealha, O. 
(eds.) Proceedings of TMR Euroconference. Universidade de Aveiro. Aveiro. 
Portugal, pp 53-60. ISBN 972-"&amp;"798-010-5. 
paper:  [ pdf (42KB) ]")</f>
        <v>Gouveia, L. (2001). A technological related discussion on the potential of 
change in education, learning and training. in Ferrari, A. and Mealha, O. 
(eds.) Proceedings of TMR Euroconference. Universidade de Aveiro. Aveiro. 
Portugal, pp 53-60. ISBN 972-798-010-5. 
paper:  [ pdf (42KB) ]</v>
      </c>
      <c r="C22" s="2">
        <f t="shared" ca="1" si="0"/>
        <v>13</v>
      </c>
      <c r="D22" t="str">
        <f t="shared" ca="1" si="8"/>
        <v xml:space="preserve">Gouveia, L. </v>
      </c>
      <c r="E22" t="str">
        <f t="shared" ca="1" si="1"/>
        <v>2001</v>
      </c>
      <c r="F22" t="str">
        <f t="shared" ca="1" si="2"/>
        <v xml:space="preserve"> A technological related discussion on the potential of 
change in education, learning and training. </v>
      </c>
      <c r="G22" s="3">
        <f t="shared" ca="1" si="3"/>
        <v>18</v>
      </c>
      <c r="H22" s="2">
        <f t="shared" ca="1" si="4"/>
        <v>119</v>
      </c>
      <c r="I22" t="e">
        <f t="shared" ca="1" si="5"/>
        <v>#VALUE!</v>
      </c>
      <c r="J22" s="3" t="e">
        <f t="shared" ca="1" si="9"/>
        <v>#VALUE!</v>
      </c>
      <c r="K22" t="str">
        <f t="shared" ca="1" si="6"/>
        <v xml:space="preserve">Gouveia, L. </v>
      </c>
      <c r="L22" t="str">
        <f t="shared" ca="1" si="7"/>
        <v xml:space="preserve">Quental, C. </v>
      </c>
    </row>
    <row r="23" spans="1:15" ht="15.75" customHeight="1">
      <c r="A23" t="str">
        <f ca="1">IFERROR(__xludf.DUMMYFUNCTION("""COMPUTED_VALUE"""),"_________")</f>
        <v>_________</v>
      </c>
      <c r="B23" t="str">
        <f ca="1">IFERROR(__xludf.DUMMYFUNCTION("""COMPUTED_VALUE"""),"em editoras nacionais / national editors")</f>
        <v>em editoras nacionais / national editors</v>
      </c>
      <c r="C23" s="2" t="e">
        <f t="shared" ca="1" si="0"/>
        <v>#VALUE!</v>
      </c>
      <c r="D23" t="e">
        <f t="shared" ca="1" si="8"/>
        <v>#VALUE!</v>
      </c>
      <c r="E23" t="e">
        <f t="shared" ca="1" si="1"/>
        <v>#VALUE!</v>
      </c>
      <c r="F23" t="e">
        <f t="shared" ca="1" si="2"/>
        <v>#VALUE!</v>
      </c>
      <c r="G23" s="3" t="e">
        <f t="shared" ca="1" si="3"/>
        <v>#VALUE!</v>
      </c>
      <c r="H23" s="2" t="e">
        <f t="shared" ca="1" si="4"/>
        <v>#VALUE!</v>
      </c>
      <c r="I23" t="e">
        <f t="shared" ca="1" si="5"/>
        <v>#VALUE!</v>
      </c>
      <c r="J23" s="3" t="e">
        <f t="shared" ca="1" si="9"/>
        <v>#VALUE!</v>
      </c>
      <c r="K23" t="e">
        <f t="shared" ca="1" si="6"/>
        <v>#VALUE!</v>
      </c>
      <c r="L23" t="str">
        <f t="shared" ca="1" si="7"/>
        <v xml:space="preserve">Quental, C. </v>
      </c>
    </row>
    <row r="24" spans="1:15" ht="15.75" customHeight="1">
      <c r="A24">
        <f ca="1">IFERROR(__xludf.DUMMYFUNCTION("""COMPUTED_VALUE"""),63)</f>
        <v>63</v>
      </c>
      <c r="B24" t="str">
        <f ca="1">IFERROR(__xludf.DUMMYFUNCTION("""COMPUTED_VALUE"""),"Araújo, P. e Gouveia, L. (2019). Gestão da Informação via Sistema Digital 
para a Educação Especial do Centro de Referência e Apoio a Educação 
Inclusiva - CRAEI. In Machado, M. (2019). Information Systems and 
Technology Management. Capítulo 20. Atena Ed"&amp;"itora. ISBN 978-85-7247-200-5. 
Pp 325-344. DOI 10.22533/at.ed.01219190320.
[ paper ]")</f>
        <v>Araújo, P. e Gouveia, L. (2019). Gestão da Informação via Sistema Digital 
para a Educação Especial do Centro de Referência e Apoio a Educação 
Inclusiva - CRAEI. In Machado, M. (2019). Information Systems and 
Technology Management. Capítulo 20. Atena Editora. ISBN 978-85-7247-200-5. 
Pp 325-344. DOI 10.22533/at.ed.01219190320.
[ paper ]</v>
      </c>
      <c r="C24" s="2">
        <f t="shared" ca="1" si="0"/>
        <v>26</v>
      </c>
      <c r="D24" t="str">
        <f t="shared" ca="1" si="8"/>
        <v xml:space="preserve">Araújo, P. e Gouveia, L. </v>
      </c>
      <c r="E24" t="str">
        <f t="shared" ca="1" si="1"/>
        <v>2019</v>
      </c>
      <c r="F24" t="str">
        <f t="shared" ca="1" si="2"/>
        <v xml:space="preserve"> Gestão da Informação via Sistema Digital 
para a Educação Especial do Centro de Referência e Apoio a Educação 
Inclusiva - CRAEI. </v>
      </c>
      <c r="G24" s="3">
        <f t="shared" ca="1" si="3"/>
        <v>31</v>
      </c>
      <c r="H24" s="2">
        <f t="shared" ca="1" si="4"/>
        <v>162</v>
      </c>
      <c r="I24" t="str">
        <f t="shared" ca="1" si="5"/>
        <v>In Machado, M. (2019).</v>
      </c>
      <c r="J24" s="3">
        <f t="shared" ca="1" si="9"/>
        <v>184</v>
      </c>
      <c r="K24" t="str">
        <f t="shared" ca="1" si="6"/>
        <v xml:space="preserve">Araújo, P. e Gouveia, L. </v>
      </c>
      <c r="L24" t="str">
        <f t="shared" ca="1" si="7"/>
        <v xml:space="preserve">Quental, C. </v>
      </c>
    </row>
    <row r="25" spans="1:15" ht="15.75" customHeight="1">
      <c r="A25">
        <f ca="1">IFERROR(__xludf.DUMMYFUNCTION("""COMPUTED_VALUE"""),62)</f>
        <v>62</v>
      </c>
      <c r="B25" t="str">
        <f ca="1">IFERROR(__xludf.DUMMYFUNCTION("""COMPUTED_VALUE"""),"Martins, E. e Gouveia, L. (2019). Google Drive na Aprendizagem 
Colaborativa. Educação e Tecnologias: Experiências, Desafios e 
Perspectivas. Ponta Grossa (PR): Atena Editora.
[ paper ]")</f>
        <v>Martins, E. e Gouveia, L. (2019). Google Drive na Aprendizagem 
Colaborativa. Educação e Tecnologias: Experiências, Desafios e 
Perspectivas. Ponta Grossa (PR): Atena Editora.
[ paper ]</v>
      </c>
      <c r="C25" s="2">
        <f t="shared" ca="1" si="0"/>
        <v>27</v>
      </c>
      <c r="D25" t="str">
        <f t="shared" ca="1" si="8"/>
        <v xml:space="preserve">Martins, E. e Gouveia, L. </v>
      </c>
      <c r="E25" t="str">
        <f t="shared" ca="1" si="1"/>
        <v>2019</v>
      </c>
      <c r="F25" t="str">
        <f t="shared" ca="1" si="2"/>
        <v xml:space="preserve"> Google Drive na Aprendizagem 
Colaborativa. </v>
      </c>
      <c r="G25" s="3">
        <f t="shared" ca="1" si="3"/>
        <v>32</v>
      </c>
      <c r="H25" s="2">
        <f t="shared" ca="1" si="4"/>
        <v>77</v>
      </c>
      <c r="I25" t="e">
        <f t="shared" ca="1" si="5"/>
        <v>#VALUE!</v>
      </c>
      <c r="J25" s="3" t="e">
        <f t="shared" ca="1" si="9"/>
        <v>#VALUE!</v>
      </c>
      <c r="K25" t="str">
        <f t="shared" ca="1" si="6"/>
        <v xml:space="preserve">Martins, E. e Gouveia, L. </v>
      </c>
      <c r="L25" t="str">
        <f t="shared" ca="1" si="7"/>
        <v xml:space="preserve">Quental, C. </v>
      </c>
    </row>
    <row r="26" spans="1:15" ht="15.75" customHeight="1">
      <c r="A26">
        <f ca="1">IFERROR(__xludf.DUMMYFUNCTION("""COMPUTED_VALUE"""),61)</f>
        <v>61</v>
      </c>
      <c r="B26" t="str">
        <f ca="1">IFERROR(__xludf.DUMMYFUNCTION("""COMPUTED_VALUE"""),"Martins, E. e Gouveia, L. (2019). Sala de Aula Invertida com WhatsApp. In 
Karina Durau (Org.). Demandas e Contextos da Educação no Século XXI, 
Capítulo 23, 254-263. Ponta Grossa (PR): Atena Editora. DOI 
10.22533/at.ed.82719040223.
[ paper ]")</f>
        <v>Martins, E. e Gouveia, L. (2019). Sala de Aula Invertida com WhatsApp. In 
Karina Durau (Org.). Demandas e Contextos da Educação no Século XXI, 
Capítulo 23, 254-263. Ponta Grossa (PR): Atena Editora. DOI 
10.22533/at.ed.82719040223.
[ paper ]</v>
      </c>
      <c r="C26" s="2">
        <f t="shared" ca="1" si="0"/>
        <v>27</v>
      </c>
      <c r="D26" t="str">
        <f t="shared" ca="1" si="8"/>
        <v xml:space="preserve">Martins, E. e Gouveia, L. </v>
      </c>
      <c r="E26" t="str">
        <f t="shared" ca="1" si="1"/>
        <v>2019</v>
      </c>
      <c r="F26" t="str">
        <f t="shared" ca="1" si="2"/>
        <v xml:space="preserve"> Sala de Aula Invertida com WhatsApp. </v>
      </c>
      <c r="G26" s="3">
        <f t="shared" ca="1" si="3"/>
        <v>32</v>
      </c>
      <c r="H26" s="2">
        <f t="shared" ca="1" si="4"/>
        <v>70</v>
      </c>
      <c r="I26" t="str">
        <f t="shared" ca="1" si="5"/>
        <v>In 
Karina Durau (Org.).</v>
      </c>
      <c r="J26" s="3">
        <f t="shared" ca="1" si="9"/>
        <v>94</v>
      </c>
      <c r="K26" t="str">
        <f t="shared" ca="1" si="6"/>
        <v xml:space="preserve">Martins, E. e Gouveia, L. </v>
      </c>
      <c r="L26" t="str">
        <f t="shared" ca="1" si="7"/>
        <v xml:space="preserve">Quental, C. </v>
      </c>
    </row>
    <row r="27" spans="1:15" ht="15.75" customHeight="1">
      <c r="A27">
        <f ca="1">IFERROR(__xludf.DUMMYFUNCTION("""COMPUTED_VALUE"""),60)</f>
        <v>60</v>
      </c>
      <c r="B27" t="str">
        <f ca="1">IFERROR(__xludf.DUMMYFUNCTION("""COMPUTED_VALUE"""),"Martins, E. e Gouveia, L. (2018). O Uso do WhatsApp no Ensino. In: Michélle 
Barreto Justus (Org.). Ensino, Pesquisa e Realizações, Capítulo 21, 
209-216. Ponta Grossa (PR): Atena Editora. DOI 10.22533/at.ed.06318121221
[ paper ]")</f>
        <v>Martins, E. e Gouveia, L. (2018). O Uso do WhatsApp no Ensino. In: Michélle 
Barreto Justus (Org.). Ensino, Pesquisa e Realizações, Capítulo 21, 
209-216. Ponta Grossa (PR): Atena Editora. DOI 10.22533/at.ed.06318121221
[ paper ]</v>
      </c>
      <c r="C27" s="2">
        <f t="shared" ca="1" si="0"/>
        <v>27</v>
      </c>
      <c r="D27" t="str">
        <f t="shared" ca="1" si="8"/>
        <v xml:space="preserve">Martins, E. e Gouveia, L. </v>
      </c>
      <c r="E27" t="str">
        <f t="shared" ca="1" si="1"/>
        <v>2018</v>
      </c>
      <c r="F27" t="str">
        <f t="shared" ca="1" si="2"/>
        <v xml:space="preserve"> O Uso do WhatsApp no Ensino. </v>
      </c>
      <c r="G27" s="3">
        <f t="shared" ca="1" si="3"/>
        <v>32</v>
      </c>
      <c r="H27" s="2">
        <f t="shared" ca="1" si="4"/>
        <v>62</v>
      </c>
      <c r="I27" t="str">
        <f t="shared" ca="1" si="5"/>
        <v>In: Michélle 
Barreto Justus (Org.).</v>
      </c>
      <c r="J27" s="3">
        <f t="shared" ca="1" si="9"/>
        <v>98</v>
      </c>
      <c r="K27" t="str">
        <f t="shared" ca="1" si="6"/>
        <v xml:space="preserve">Martins, E. e Gouveia, L. </v>
      </c>
      <c r="L27" t="str">
        <f t="shared" ca="1" si="7"/>
        <v xml:space="preserve">Quental, C. </v>
      </c>
    </row>
    <row r="28" spans="1:15" ht="15.75" customHeight="1">
      <c r="A28">
        <f ca="1">IFERROR(__xludf.DUMMYFUNCTION("""COMPUTED_VALUE"""),59)</f>
        <v>59</v>
      </c>
      <c r="B28" t="str">
        <f ca="1">IFERROR(__xludf.DUMMYFUNCTION("""COMPUTED_VALUE"""),"Martins, E.; Geraldes, W.; Afonseca, U.; Gouveia, L. (2018). Uso do Kahoot 
como Ferramenta de Aprendizagem. In: Francisca Júlia Camargo Dresch. (Org). 
Impactos das Tecnologias nas Ciências Humanas e Sociais Aplicadas v. 2. 
1ed, Capitulo 12, pp 153-159."&amp;" Ponta Grossa (PR): Atena Editora. DOI: 
10.22533/at.ed.758180511 
[ paper ]")</f>
        <v>Martins, E.; Geraldes, W.; Afonseca, U.; Gouveia, L. (2018). Uso do Kahoot 
como Ferramenta de Aprendizagem. In: Francisca Júlia Camargo Dresch. (Org). 
Impactos das Tecnologias nas Ciências Humanas e Sociais Aplicadas v. 2. 
1ed, Capitulo 12, pp 153-159. Ponta Grossa (PR): Atena Editora. DOI: 
10.22533/at.ed.758180511 
[ paper ]</v>
      </c>
      <c r="C28" s="2">
        <f t="shared" ca="1" si="0"/>
        <v>54</v>
      </c>
      <c r="D28" t="str">
        <f t="shared" ca="1" si="8"/>
        <v xml:space="preserve">Martins, E.; Geraldes, W.; Afonseca, U.; Gouveia, L. </v>
      </c>
      <c r="E28" t="str">
        <f t="shared" ca="1" si="1"/>
        <v>2018</v>
      </c>
      <c r="F28" t="str">
        <f t="shared" ca="1" si="2"/>
        <v xml:space="preserve"> Uso do Kahoot 
como Ferramenta de Aprendizagem. </v>
      </c>
      <c r="G28" s="3">
        <f t="shared" ca="1" si="3"/>
        <v>59</v>
      </c>
      <c r="H28" s="2">
        <f t="shared" ca="1" si="4"/>
        <v>108</v>
      </c>
      <c r="I28" t="str">
        <f t="shared" ca="1" si="5"/>
        <v>In: Francisca Júlia Camargo Dresch. (Org).</v>
      </c>
      <c r="J28" s="3">
        <f t="shared" ca="1" si="9"/>
        <v>150</v>
      </c>
      <c r="K28" t="str">
        <f t="shared" ca="1" si="6"/>
        <v xml:space="preserve">Martins, E.; Geraldes, W.; Afonseca, U.; Gouveia, L. </v>
      </c>
      <c r="L28" t="str">
        <f t="shared" ca="1" si="7"/>
        <v xml:space="preserve">Quental, C. </v>
      </c>
      <c r="M28" t="str">
        <f ca="1">IFERROR(__xludf.DUMMYFUNCTION("""COMPUTED_VALUE""")," Geraldes, W.")</f>
        <v xml:space="preserve"> Geraldes, W.</v>
      </c>
      <c r="N28" t="str">
        <f ca="1">IFERROR(__xludf.DUMMYFUNCTION("""COMPUTED_VALUE""")," Afonseca, U.")</f>
        <v xml:space="preserve"> Afonseca, U.</v>
      </c>
      <c r="O28" t="str">
        <f ca="1">IFERROR(__xludf.DUMMYFUNCTION("""COMPUTED_VALUE""")," Gouveia, L. ")</f>
        <v xml:space="preserve"> Gouveia, L. </v>
      </c>
    </row>
    <row r="29" spans="1:15" ht="15.75" customHeight="1">
      <c r="A29">
        <f ca="1">IFERROR(__xludf.DUMMYFUNCTION("""COMPUTED_VALUE"""),58)</f>
        <v>58</v>
      </c>
      <c r="B29" t="str">
        <f ca="1">IFERROR(__xludf.DUMMYFUNCTION("""COMPUTED_VALUE"""),"Martins, E. R.; Geraldes, W. B.; Afonseca, U. R.; Gouveia, L. M. B. (2018). 
Tecnologias Móveis em Contexto Educativo. In: Francisca Júlia Camargo 
Dresch. (Org.). Impactos das Tecnologias nas Ciências Humanas e Sociais 
Aplicadas; v. 2. 1ed, Capitulo 14,"&amp;" pp 168-177. Ponta Grossa (PR): Atena 
Editora. DOI: 10.22533/at.ed.758180511 
[ paper ]")</f>
        <v>Martins, E. R.; Geraldes, W. B.; Afonseca, U. R.; Gouveia, L. M. B. (2018). 
Tecnologias Móveis em Contexto Educativo. In: Francisca Júlia Camargo 
Dresch. (Org.). Impactos das Tecnologias nas Ciências Humanas e Sociais 
Aplicadas; v. 2. 1ed, Capitulo 14, pp 168-177. Ponta Grossa (PR): Atena 
Editora. DOI: 10.22533/at.ed.758180511 
[ paper ]</v>
      </c>
      <c r="C29" s="2">
        <f t="shared" ca="1" si="0"/>
        <v>69</v>
      </c>
      <c r="D29" t="str">
        <f t="shared" ca="1" si="8"/>
        <v xml:space="preserve">Martins, E. R.; Geraldes, W. B.; Afonseca, U. R.; Gouveia, L. M. B. </v>
      </c>
      <c r="E29" t="str">
        <f t="shared" ca="1" si="1"/>
        <v>2018</v>
      </c>
      <c r="F29" t="str">
        <f t="shared" ca="1" si="2"/>
        <v xml:space="preserve"> 
Tecnologias Móveis em Contexto Educativo. </v>
      </c>
      <c r="G29" s="3">
        <f t="shared" ca="1" si="3"/>
        <v>74</v>
      </c>
      <c r="H29" s="2">
        <f t="shared" ca="1" si="4"/>
        <v>118</v>
      </c>
      <c r="I29" t="str">
        <f t="shared" ca="1" si="5"/>
        <v>In: Francisca Júlia Camargo 
Dresch. (Org.).</v>
      </c>
      <c r="J29" s="3">
        <f t="shared" ca="1" si="9"/>
        <v>162</v>
      </c>
      <c r="K29" t="str">
        <f t="shared" ca="1" si="6"/>
        <v xml:space="preserve">Martins, E. R.; Geraldes, W. B.; Afonseca, U. R.; Gouveia, L. M. B. </v>
      </c>
      <c r="L29" t="str">
        <f t="shared" ca="1" si="7"/>
        <v xml:space="preserve">Quental, C. </v>
      </c>
      <c r="M29" t="str">
        <f ca="1">IFERROR(__xludf.DUMMYFUNCTION("""COMPUTED_VALUE""")," Geraldes, W. B.")</f>
        <v xml:space="preserve"> Geraldes, W. B.</v>
      </c>
      <c r="N29" t="str">
        <f ca="1">IFERROR(__xludf.DUMMYFUNCTION("""COMPUTED_VALUE""")," Afonseca, U. R.")</f>
        <v xml:space="preserve"> Afonseca, U. R.</v>
      </c>
      <c r="O29" t="str">
        <f ca="1">IFERROR(__xludf.DUMMYFUNCTION("""COMPUTED_VALUE""")," Gouveia, L. M. B. ")</f>
        <v xml:space="preserve"> Gouveia, L. M. B. </v>
      </c>
    </row>
    <row r="30" spans="1:15" ht="15.75" customHeight="1">
      <c r="A30">
        <f ca="1">IFERROR(__xludf.DUMMYFUNCTION("""COMPUTED_VALUE"""),57)</f>
        <v>57</v>
      </c>
      <c r="B30" t="str">
        <f ca="1">IFERROR(__xludf.DUMMYFUNCTION("""COMPUTED_VALUE"""),"Silva, C. e Gouveia, L. (2017). A Transparência e o e-government: um 
componente essencial para a democratização da informação. Boletim de Gestão 
Pública, N. 5 - Novembro/Dezembro. Instituto de Pesquisa e Estratégia 
Econômica do Ceará (IPECE). Governo d"&amp;"o Estado do Ceará. Brasil, pp 21-27.
[ boletim ]")</f>
        <v>Silva, C. e Gouveia, L. (2017). A Transparência e o e-government: um 
componente essencial para a democratização da informação. Boletim de Gestão 
Pública, N. 5 - Novembro/Dezembro. Instituto de Pesquisa e Estratégia 
Econômica do Ceará (IPECE). Governo do Estado do Ceará. Brasil, pp 21-27.
[ boletim ]</v>
      </c>
      <c r="C30" s="2">
        <f t="shared" ca="1" si="0"/>
        <v>25</v>
      </c>
      <c r="D30" t="str">
        <f t="shared" ca="1" si="8"/>
        <v xml:space="preserve">Silva, C. e Gouveia, L. </v>
      </c>
      <c r="E30" t="str">
        <f t="shared" ca="1" si="1"/>
        <v>2017</v>
      </c>
      <c r="F30" t="str">
        <f t="shared" ca="1" si="2"/>
        <v xml:space="preserve"> A Transparência e o e-government: um 
componente essencial para a democratização da informação. </v>
      </c>
      <c r="G30" s="3">
        <f t="shared" ca="1" si="3"/>
        <v>30</v>
      </c>
      <c r="H30" s="2">
        <f t="shared" ca="1" si="4"/>
        <v>127</v>
      </c>
      <c r="I30" t="str">
        <f t="shared" ca="1" si="5"/>
        <v>Boletim de Gestão 
Pública, N. 5 - Novembro/Dezembro. Instituto de Pesquisa e Estratégia 
Econômica do Ceará (IPECE).</v>
      </c>
      <c r="J30" s="3">
        <f t="shared" ca="1" si="9"/>
        <v>244</v>
      </c>
      <c r="K30" t="str">
        <f t="shared" ca="1" si="6"/>
        <v xml:space="preserve">Silva, C. e Gouveia, L. </v>
      </c>
      <c r="L30" t="str">
        <f t="shared" ca="1" si="7"/>
        <v xml:space="preserve">Quental, C. </v>
      </c>
    </row>
    <row r="31" spans="1:15" ht="15.75" customHeight="1">
      <c r="A31">
        <f ca="1">IFERROR(__xludf.DUMMYFUNCTION("""COMPUTED_VALUE"""),56)</f>
        <v>56</v>
      </c>
      <c r="B31" t="str">
        <f ca="1">IFERROR(__xludf.DUMMYFUNCTION("""COMPUTED_VALUE"""),"Khan, S. and Gouveia, L. (2017). Requirement for a Minimum Service Level 
Model for Cloud Providers and Users. In GADI (coord). (2018). Gabinete de 
Relações Internacionais e Apoio ao Desenvolvimento Institucional, 
Universidade Fernando Pessoa. eBook, At"&amp;"as dos Dias da Investigação na UFP 
2017 (UFP Research Days Proceedings). Porto. ISBN 978-989-643-144-9. 
[ ebook ]")</f>
        <v>Khan, S. and Gouveia, L. (2017). Requirement for a Minimum Service Level 
Model for Cloud Providers and Users. In GADI (coord). (2018). Gabinete de 
Relações Internacionais e Apoio ao Desenvolvimento Institucional, 
Universidade Fernando Pessoa. eBook, Atas dos Dias da Investigação na UFP 
2017 (UFP Research Days Proceedings). Porto. ISBN 978-989-643-144-9. 
[ ebook ]</v>
      </c>
      <c r="C31" s="2">
        <f t="shared" ca="1" si="0"/>
        <v>26</v>
      </c>
      <c r="D31" t="str">
        <f t="shared" ca="1" si="8"/>
        <v xml:space="preserve">Khan, S. and Gouveia, L. </v>
      </c>
      <c r="E31" t="str">
        <f t="shared" ca="1" si="1"/>
        <v>2017</v>
      </c>
      <c r="F31" t="str">
        <f t="shared" ca="1" si="2"/>
        <v xml:space="preserve"> Requirement for a Minimum Service Level 
Model for Cloud Providers and Users. </v>
      </c>
      <c r="G31" s="3">
        <f t="shared" ca="1" si="3"/>
        <v>31</v>
      </c>
      <c r="H31" s="2">
        <f t="shared" ca="1" si="4"/>
        <v>110</v>
      </c>
      <c r="I31" t="str">
        <f t="shared" ca="1" si="5"/>
        <v>In GADI (coord).</v>
      </c>
      <c r="J31" s="3">
        <f t="shared" ca="1" si="9"/>
        <v>126</v>
      </c>
      <c r="K31" t="str">
        <f t="shared" ca="1" si="6"/>
        <v xml:space="preserve">Khan, S. ; Gouveia, L. </v>
      </c>
      <c r="L31" t="str">
        <f t="shared" ca="1" si="7"/>
        <v xml:space="preserve">Quental, C. </v>
      </c>
      <c r="M31" t="str">
        <f ca="1">IFERROR(__xludf.DUMMYFUNCTION("""COMPUTED_VALUE""")," Gouveia, L. ")</f>
        <v xml:space="preserve"> Gouveia, L. </v>
      </c>
    </row>
    <row r="32" spans="1:15" ht="15.75" customHeight="1">
      <c r="A32">
        <f ca="1">IFERROR(__xludf.DUMMYFUNCTION("""COMPUTED_VALUE"""),55)</f>
        <v>55</v>
      </c>
      <c r="B32" t="str">
        <f ca="1">IFERROR(__xludf.DUMMYFUNCTION("""COMPUTED_VALUE"""),"Erdem, M. and Gouveia, L. (2017). The Concept of Tourism Security and 
Importance of ICT Usage in Portugal. In GADI (coord). (2018). Gabinete de 
Relações Internacionais e Apoio ao Desenvolvimento Institucional, 
Universidade Fernando Pessoa. eBook, Atas "&amp;"dos Dias da Investigação na UFP 
2017 (UFP Research Days Proceedings). Porto. ISBN 978-989-643-144-9. 
[ ebook ]")</f>
        <v>Erdem, M. and Gouveia, L. (2017). The Concept of Tourism Security and 
Importance of ICT Usage in Portugal. In GADI (coord). (2018). Gabinete de 
Relações Internacionais e Apoio ao Desenvolvimento Institucional, 
Universidade Fernando Pessoa. eBook, Atas dos Dias da Investigação na UFP 
2017 (UFP Research Days Proceedings). Porto. ISBN 978-989-643-144-9. 
[ ebook ]</v>
      </c>
      <c r="C32" s="2">
        <f t="shared" ca="1" si="0"/>
        <v>27</v>
      </c>
      <c r="D32" t="str">
        <f t="shared" ca="1" si="8"/>
        <v xml:space="preserve">Erdem, M. and Gouveia, L. </v>
      </c>
      <c r="E32" t="str">
        <f t="shared" ca="1" si="1"/>
        <v>2017</v>
      </c>
      <c r="F32" t="str">
        <f t="shared" ca="1" si="2"/>
        <v xml:space="preserve"> The Concept of Tourism Security and 
Importance of ICT Usage in Portugal. </v>
      </c>
      <c r="G32" s="3">
        <f t="shared" ca="1" si="3"/>
        <v>32</v>
      </c>
      <c r="H32" s="2">
        <f t="shared" ca="1" si="4"/>
        <v>107</v>
      </c>
      <c r="I32" t="str">
        <f t="shared" ca="1" si="5"/>
        <v>In GADI (coord).</v>
      </c>
      <c r="J32" s="3">
        <f t="shared" ca="1" si="9"/>
        <v>123</v>
      </c>
      <c r="K32" t="str">
        <f t="shared" ca="1" si="6"/>
        <v xml:space="preserve">Erdem, M. ; Gouveia, L. </v>
      </c>
      <c r="L32" t="str">
        <f t="shared" ca="1" si="7"/>
        <v xml:space="preserve">Quental, C. </v>
      </c>
      <c r="M32" t="str">
        <f ca="1">IFERROR(__xludf.DUMMYFUNCTION("""COMPUTED_VALUE""")," Gouveia, L. ")</f>
        <v xml:space="preserve"> Gouveia, L. </v>
      </c>
    </row>
    <row r="33" spans="1:14" ht="15.75" customHeight="1">
      <c r="A33">
        <f ca="1">IFERROR(__xludf.DUMMYFUNCTION("""COMPUTED_VALUE"""),54)</f>
        <v>54</v>
      </c>
      <c r="B33" t="str">
        <f ca="1">IFERROR(__xludf.DUMMYFUNCTION("""COMPUTED_VALUE"""),"Alvre, P.; Gouveia, L. and Sousa, S. (2017). The impact of interface 
animations on the user experience: directing customer’s attention in online 
shopping sites. In GADI (coord). (2018). Gabinete de Relações 
Internacionais e Apoio ao Desenvolvimento Ins"&amp;"titucional, Universidade 
Fernando Pessoa. eBook, Atas dos Dias da Investigação na UFP 2017 (UFP 
Research Days Proceedings). Porto. ISBN 978-989-643-144-9. 
[ ebook ]")</f>
        <v>Alvre, P.; Gouveia, L. and Sousa, S. (2017). The impact of interface 
animations on the user experience: directing customer’s attention in online 
shopping sites. In GADI (coord). (2018). Gabinete de Relações 
Internacionais e Apoio ao Desenvolvimento Institucional, Universidade 
Fernando Pessoa. eBook, Atas dos Dias da Investigação na UFP 2017 (UFP 
Research Days Proceedings). Porto. ISBN 978-989-643-144-9. 
[ ebook ]</v>
      </c>
      <c r="C33" s="2">
        <f t="shared" ca="1" si="0"/>
        <v>38</v>
      </c>
      <c r="D33" t="str">
        <f t="shared" ca="1" si="8"/>
        <v xml:space="preserve">Alvre, P.; Gouveia, L. and Sousa, S. </v>
      </c>
      <c r="E33" t="str">
        <f t="shared" ca="1" si="1"/>
        <v>2017</v>
      </c>
      <c r="F33" t="str">
        <f t="shared" ca="1" si="2"/>
        <v xml:space="preserve"> The impact of interface 
animations on the user experience: directing customer’s attention in online 
shopping sites. </v>
      </c>
      <c r="G33" s="3">
        <f t="shared" ca="1" si="3"/>
        <v>43</v>
      </c>
      <c r="H33" s="2">
        <f t="shared" ca="1" si="4"/>
        <v>162</v>
      </c>
      <c r="I33" t="str">
        <f t="shared" ca="1" si="5"/>
        <v>In GADI (coord).</v>
      </c>
      <c r="J33" s="3">
        <f t="shared" ca="1" si="9"/>
        <v>178</v>
      </c>
      <c r="K33" t="str">
        <f t="shared" ca="1" si="6"/>
        <v xml:space="preserve">Alvre, P.; Gouveia, L. ; Sousa, S. </v>
      </c>
      <c r="L33" t="str">
        <f t="shared" ca="1" si="7"/>
        <v xml:space="preserve">Quental, C. </v>
      </c>
      <c r="M33" t="str">
        <f ca="1">IFERROR(__xludf.DUMMYFUNCTION("""COMPUTED_VALUE""")," Gouveia, L. ")</f>
        <v xml:space="preserve"> Gouveia, L. </v>
      </c>
      <c r="N33" t="str">
        <f ca="1">IFERROR(__xludf.DUMMYFUNCTION("""COMPUTED_VALUE""")," Sousa, S. ")</f>
        <v xml:space="preserve"> Sousa, S. </v>
      </c>
    </row>
    <row r="34" spans="1:14" ht="15.75" customHeight="1">
      <c r="A34">
        <f ca="1">IFERROR(__xludf.DUMMYFUNCTION("""COMPUTED_VALUE"""),53)</f>
        <v>53</v>
      </c>
      <c r="B34" t="str">
        <f ca="1">IFERROR(__xludf.DUMMYFUNCTION("""COMPUTED_VALUE"""),"Lourenço, M.; Rurato, P. e Gouveia, L. (2017). (Re)aprendizagem do 
professor do ensino superior face ao triângulo educação, tecnologia e 
aprendizagem no Ensino a Distância. In GADI (coord). (2018). Gabinete de 
Relações Internacionais e Apoio ao Desenvo"&amp;"lvimento Institucional, 
Universidade Fernando Pessoa. eBook, Atas dos Dias da Investigação na UFP 
2017 (UFP Research Days Proceedings). Porto. ISBN 978-989-643-144-9.
[ ebook ]")</f>
        <v>Lourenço, M.; Rurato, P. e Gouveia, L. (2017). (Re)aprendizagem do 
professor do ensino superior face ao triângulo educação, tecnologia e 
aprendizagem no Ensino a Distância. In GADI (coord). (2018). Gabinete de 
Relações Internacionais e Apoio ao Desenvolvimento Institucional, 
Universidade Fernando Pessoa. eBook, Atas dos Dias da Investigação na UFP 
2017 (UFP Research Days Proceedings). Porto. ISBN 978-989-643-144-9.
[ ebook ]</v>
      </c>
      <c r="C34" s="2">
        <f t="shared" ca="1" si="0"/>
        <v>40</v>
      </c>
      <c r="D34" t="str">
        <f t="shared" ca="1" si="8"/>
        <v xml:space="preserve">Lourenço, M.; Rurato, P. e Gouveia, L. </v>
      </c>
      <c r="E34" t="str">
        <f t="shared" ca="1" si="1"/>
        <v>2017</v>
      </c>
      <c r="F34" t="str">
        <f t="shared" ca="1" si="2"/>
        <v xml:space="preserve"> (Re)aprendizagem do 
professor do ensino superior face ao triângulo educação, tecnologia e 
aprendizagem no Ensino a Distância. </v>
      </c>
      <c r="G34" s="3">
        <f t="shared" ca="1" si="3"/>
        <v>45</v>
      </c>
      <c r="H34" s="2">
        <f t="shared" ca="1" si="4"/>
        <v>174</v>
      </c>
      <c r="I34" t="str">
        <f t="shared" ca="1" si="5"/>
        <v>In GADI (coord).</v>
      </c>
      <c r="J34" s="3">
        <f t="shared" ca="1" si="9"/>
        <v>190</v>
      </c>
      <c r="K34" t="str">
        <f t="shared" ca="1" si="6"/>
        <v xml:space="preserve">Lourenço, M.; Rurato, P. e Gouveia, L. </v>
      </c>
      <c r="L34" t="str">
        <f t="shared" ca="1" si="7"/>
        <v xml:space="preserve">Quental, C. </v>
      </c>
      <c r="M34" t="str">
        <f ca="1">IFERROR(__xludf.DUMMYFUNCTION("""COMPUTED_VALUE""")," Rurato, P. e Gouveia, L. ")</f>
        <v xml:space="preserve"> Rurato, P. e Gouveia, L. </v>
      </c>
    </row>
    <row r="35" spans="1:14" ht="15.75" customHeight="1">
      <c r="A35">
        <f ca="1">IFERROR(__xludf.DUMMYFUNCTION("""COMPUTED_VALUE"""),52)</f>
        <v>52</v>
      </c>
      <c r="B35" t="str">
        <f ca="1">IFERROR(__xludf.DUMMYFUNCTION("""COMPUTED_VALUE"""),"Cordeiro, I.; Gouveia, L. e Cardoso, P. (2017). A atração dos consumidores 
para o comércio tradicional em um contexto digital: requisitos e 
expetativas. In GADI (coord). (2018). Gabinete de Relações Internacionais e 
Apoio ao Desenvolvimento Institucion"&amp;"al, Universidade Fernando Pessoa. 
eBook, Atas dos Dias da Investigação na UFP 2017 (UFP Research Days 
Proceedings). Porto. ISBN 978-989-643-144-9.
[ ebook ]")</f>
        <v>Cordeiro, I.; Gouveia, L. e Cardoso, P. (2017). A atração dos consumidores 
para o comércio tradicional em um contexto digital: requisitos e 
expetativas. In GADI (coord). (2018). Gabinete de Relações Internacionais e 
Apoio ao Desenvolvimento Institucional, Universidade Fernando Pessoa. 
eBook, Atas dos Dias da Investigação na UFP 2017 (UFP Research Days 
Proceedings). Porto. ISBN 978-989-643-144-9.
[ ebook ]</v>
      </c>
      <c r="C35" s="2">
        <f t="shared" ca="1" si="0"/>
        <v>41</v>
      </c>
      <c r="D35" t="str">
        <f t="shared" ca="1" si="8"/>
        <v xml:space="preserve">Cordeiro, I.; Gouveia, L. e Cardoso, P. </v>
      </c>
      <c r="E35" t="str">
        <f t="shared" ca="1" si="1"/>
        <v>2017</v>
      </c>
      <c r="F35" t="str">
        <f t="shared" ca="1" si="2"/>
        <v xml:space="preserve"> A atração dos consumidores 
para o comércio tradicional em um contexto digital: requisitos e 
expetativas. </v>
      </c>
      <c r="G35" s="3">
        <f t="shared" ca="1" si="3"/>
        <v>46</v>
      </c>
      <c r="H35" s="2">
        <f t="shared" ca="1" si="4"/>
        <v>154</v>
      </c>
      <c r="I35" t="str">
        <f t="shared" ca="1" si="5"/>
        <v>In GADI (coord).</v>
      </c>
      <c r="J35" s="3">
        <f t="shared" ca="1" si="9"/>
        <v>170</v>
      </c>
      <c r="K35" t="str">
        <f t="shared" ca="1" si="6"/>
        <v xml:space="preserve">Cordeiro, I.; Gouveia, L. e Cardoso, P. </v>
      </c>
      <c r="L35" t="str">
        <f t="shared" ca="1" si="7"/>
        <v xml:space="preserve">Quental, C. </v>
      </c>
      <c r="M35" t="str">
        <f ca="1">IFERROR(__xludf.DUMMYFUNCTION("""COMPUTED_VALUE""")," Gouveia, L. e Cardoso, P. ")</f>
        <v xml:space="preserve"> Gouveia, L. e Cardoso, P. </v>
      </c>
    </row>
    <row r="36" spans="1:14" ht="15.75" customHeight="1">
      <c r="A36">
        <f ca="1">IFERROR(__xludf.DUMMYFUNCTION("""COMPUTED_VALUE"""),51)</f>
        <v>51</v>
      </c>
      <c r="B36" t="str">
        <f ca="1">IFERROR(__xludf.DUMMYFUNCTION("""COMPUTED_VALUE"""),"Stenio, R. e Gouveia, L. (2017). Uso de modelos matemáticos interpretados 
em plataforma digital como estratégia para o ensino e aprendizagem da 
matemática. In GADI (coord). (2018). Gabinete de Relações Internacionais e 
Apoio ao Desenvolvimento Instituc"&amp;"ional, Universidade Fernando Pessoa. 
eBook, Atas dos Dias da Investigação na UFP 2017 (UFP Research Days 
Proceedings). Porto. ISBN 978-989-643-144-9.
[ ebook ]")</f>
        <v>Stenio, R. e Gouveia, L. (2017). Uso de modelos matemáticos interpretados 
em plataforma digital como estratégia para o ensino e aprendizagem da 
matemática. In GADI (coord). (2018). Gabinete de Relações Internacionais e 
Apoio ao Desenvolvimento Institucional, Universidade Fernando Pessoa. 
eBook, Atas dos Dias da Investigação na UFP 2017 (UFP Research Days 
Proceedings). Porto. ISBN 978-989-643-144-9.
[ ebook ]</v>
      </c>
      <c r="C36" s="2">
        <f t="shared" ca="1" si="0"/>
        <v>26</v>
      </c>
      <c r="D36" t="str">
        <f t="shared" ca="1" si="8"/>
        <v xml:space="preserve">Stenio, R. e Gouveia, L. </v>
      </c>
      <c r="E36" t="str">
        <f t="shared" ca="1" si="1"/>
        <v>2017</v>
      </c>
      <c r="F36" t="str">
        <f t="shared" ca="1" si="2"/>
        <v xml:space="preserve"> Uso de modelos matemáticos interpretados 
em plataforma digital como estratégia para o ensino e aprendizagem da 
matemática. </v>
      </c>
      <c r="G36" s="3">
        <f t="shared" ca="1" si="3"/>
        <v>31</v>
      </c>
      <c r="H36" s="2">
        <f t="shared" ca="1" si="4"/>
        <v>157</v>
      </c>
      <c r="I36" t="str">
        <f t="shared" ca="1" si="5"/>
        <v>In GADI (coord).</v>
      </c>
      <c r="J36" s="3">
        <f t="shared" ca="1" si="9"/>
        <v>173</v>
      </c>
      <c r="K36" t="str">
        <f t="shared" ca="1" si="6"/>
        <v xml:space="preserve">Stenio, R. e Gouveia, L. </v>
      </c>
      <c r="L36" t="str">
        <f t="shared" ca="1" si="7"/>
        <v xml:space="preserve">Quental, C. </v>
      </c>
    </row>
    <row r="37" spans="1:14" ht="15.75" customHeight="1">
      <c r="A37">
        <f ca="1">IFERROR(__xludf.DUMMYFUNCTION("""COMPUTED_VALUE"""),50)</f>
        <v>50</v>
      </c>
      <c r="B37" t="str">
        <f ca="1">IFERROR(__xludf.DUMMYFUNCTION("""COMPUTED_VALUE"""),"Morgado, R. e Gouveia, L. (2017). A importância da proteção do ciberespaço. 
In GADI (coord). (2018). Gabinete de Relações Internacionais e Apoio ao 
Desenvolvimento Institucional, Universidade Fernando Pessoa. eBook, Atas 
dos Dias da Investigação na UFP"&amp;" 2017 (UFP Research Days Proceedings). 
Porto. ISBN 978-989-643-144-9.
[ ebook ]")</f>
        <v>Morgado, R. e Gouveia, L. (2017). A importância da proteção do ciberespaço. 
In GADI (coord). (2018). Gabinete de Relações Internacionais e Apoio ao 
Desenvolvimento Institucional, Universidade Fernando Pessoa. eBook, Atas 
dos Dias da Investigação na UFP 2017 (UFP Research Days Proceedings). 
Porto. ISBN 978-989-643-144-9.
[ ebook ]</v>
      </c>
      <c r="C37" s="2">
        <f t="shared" ca="1" si="0"/>
        <v>27</v>
      </c>
      <c r="D37" t="str">
        <f t="shared" ca="1" si="8"/>
        <v xml:space="preserve">Morgado, R. e Gouveia, L. </v>
      </c>
      <c r="E37" t="str">
        <f t="shared" ca="1" si="1"/>
        <v>2017</v>
      </c>
      <c r="F37" t="str">
        <f t="shared" ca="1" si="2"/>
        <v xml:space="preserve"> A importância da proteção do ciberespaço. </v>
      </c>
      <c r="G37" s="3">
        <f t="shared" ca="1" si="3"/>
        <v>32</v>
      </c>
      <c r="H37" s="2">
        <f t="shared" ca="1" si="4"/>
        <v>75</v>
      </c>
      <c r="I37" t="str">
        <f t="shared" ca="1" si="5"/>
        <v xml:space="preserve">
In GADI (coord).</v>
      </c>
      <c r="J37" s="3">
        <f t="shared" ca="1" si="9"/>
        <v>92</v>
      </c>
      <c r="K37" t="str">
        <f t="shared" ca="1" si="6"/>
        <v xml:space="preserve">Morgado, R. e Gouveia, L. </v>
      </c>
      <c r="L37" t="str">
        <f t="shared" ca="1" si="7"/>
        <v xml:space="preserve">Quental, C. </v>
      </c>
    </row>
    <row r="38" spans="1:14" ht="15.75" customHeight="1">
      <c r="A38">
        <f ca="1">IFERROR(__xludf.DUMMYFUNCTION("""COMPUTED_VALUE"""),49)</f>
        <v>49</v>
      </c>
      <c r="B38" t="str">
        <f ca="1">IFERROR(__xludf.DUMMYFUNCTION("""COMPUTED_VALUE"""),"Menezes, N. e Gouveia, L. (2017). O recurso a tecnologias de informação e 
comunicação para suporte da atividade em sala de aula: uma proposta de 
modelo. In GADI (coord). (2018). Gabinete de Relações Internacionais e 
Apoio ao Desenvolvimento Institucion"&amp;"al, Universidade Fernando Pessoa. 
eBook, Atas dos Dias da Investigação na UFP 2017 (UFP Research Days 
Proceedings). Porto. ISBN 978-989-643-144-9.
[ ebook ]")</f>
        <v>Menezes, N. e Gouveia, L. (2017). O recurso a tecnologias de informação e 
comunicação para suporte da atividade em sala de aula: uma proposta de 
modelo. In GADI (coord). (2018). Gabinete de Relações Internacionais e 
Apoio ao Desenvolvimento Institucional, Universidade Fernando Pessoa. 
eBook, Atas dos Dias da Investigação na UFP 2017 (UFP Research Days 
Proceedings). Porto. ISBN 978-989-643-144-9.
[ ebook ]</v>
      </c>
      <c r="C38" s="2">
        <f t="shared" ca="1" si="0"/>
        <v>27</v>
      </c>
      <c r="D38" t="str">
        <f t="shared" ca="1" si="8"/>
        <v xml:space="preserve">Menezes, N. e Gouveia, L. </v>
      </c>
      <c r="E38" t="str">
        <f t="shared" ca="1" si="1"/>
        <v>2017</v>
      </c>
      <c r="F38" t="str">
        <f t="shared" ca="1" si="2"/>
        <v xml:space="preserve"> O recurso a tecnologias de informação e 
comunicação para suporte da atividade em sala de aula: uma proposta de 
modelo. </v>
      </c>
      <c r="G38" s="3">
        <f t="shared" ca="1" si="3"/>
        <v>32</v>
      </c>
      <c r="H38" s="2">
        <f t="shared" ca="1" si="4"/>
        <v>154</v>
      </c>
      <c r="I38" t="str">
        <f t="shared" ca="1" si="5"/>
        <v>In GADI (coord).</v>
      </c>
      <c r="J38" s="3">
        <f t="shared" ca="1" si="9"/>
        <v>170</v>
      </c>
      <c r="K38" t="str">
        <f t="shared" ca="1" si="6"/>
        <v xml:space="preserve">Menezes, N. e Gouveia, L. </v>
      </c>
      <c r="L38" t="str">
        <f t="shared" ca="1" si="7"/>
        <v xml:space="preserve">Quental, C. </v>
      </c>
    </row>
    <row r="39" spans="1:14" ht="15.75" customHeight="1">
      <c r="A39">
        <f ca="1">IFERROR(__xludf.DUMMYFUNCTION("""COMPUTED_VALUE"""),48)</f>
        <v>48</v>
      </c>
      <c r="B39" t="str">
        <f ca="1">IFERROR(__xludf.DUMMYFUNCTION("""COMPUTED_VALUE"""),"Oliveira, M. e Gouveia, L. (2017). Estudo da viabilidade da técnica de 
densidade radiográfica para mensuração de densidade óssea. In GADI (coord). 
(2018). Gabinete de Relações Internacionais e Apoio ao Desenvolvimento 
Institucional, Universidade Fernan"&amp;"do Pessoa. eBook, Atas dos Dias da 
Investigação na UFP 2017 (UFP Research Days Proceedings). Porto. ISBN 
978-989-643-144-9.
[ ebook ]")</f>
        <v>Oliveira, M. e Gouveia, L. (2017). Estudo da viabilidade da técnica de 
densidade radiográfica para mensuração de densidade óssea. In GADI (coord). 
(2018). Gabinete de Relações Internacionais e Apoio ao Desenvolvimento 
Institucional, Universidade Fernando Pessoa. eBook, Atas dos Dias da 
Investigação na UFP 2017 (UFP Research Days Proceedings). Porto. ISBN 
978-989-643-144-9.
[ ebook ]</v>
      </c>
      <c r="C39" s="2">
        <f t="shared" ca="1" si="0"/>
        <v>28</v>
      </c>
      <c r="D39" t="str">
        <f t="shared" ca="1" si="8"/>
        <v xml:space="preserve">Oliveira, M. e Gouveia, L. </v>
      </c>
      <c r="E39" t="str">
        <f t="shared" ca="1" si="1"/>
        <v>2017</v>
      </c>
      <c r="F39" t="str">
        <f t="shared" ca="1" si="2"/>
        <v xml:space="preserve"> Estudo da viabilidade da técnica de 
densidade radiográfica para mensuração de densidade óssea. </v>
      </c>
      <c r="G39" s="3">
        <f t="shared" ca="1" si="3"/>
        <v>33</v>
      </c>
      <c r="H39" s="2">
        <f t="shared" ca="1" si="4"/>
        <v>130</v>
      </c>
      <c r="I39" t="str">
        <f t="shared" ca="1" si="5"/>
        <v>In GADI (coord).</v>
      </c>
      <c r="J39" s="3">
        <f t="shared" ca="1" si="9"/>
        <v>146</v>
      </c>
      <c r="K39" t="str">
        <f t="shared" ca="1" si="6"/>
        <v xml:space="preserve">Oliveira, M. e Gouveia, L. </v>
      </c>
      <c r="L39" t="str">
        <f t="shared" ca="1" si="7"/>
        <v xml:space="preserve">Quental, C. </v>
      </c>
    </row>
    <row r="40" spans="1:14" ht="15.75" customHeight="1">
      <c r="A40">
        <f ca="1">IFERROR(__xludf.DUMMYFUNCTION("""COMPUTED_VALUE"""),47)</f>
        <v>47</v>
      </c>
      <c r="B40" t="str">
        <f ca="1">IFERROR(__xludf.DUMMYFUNCTION("""COMPUTED_VALUE"""),"Rocha, L. e Gouveia, L. (2017). A Economia compartilhada e os fatores que a 
influenciam. In GADI (coord). (2018). Gabinete de Relações Internacionais e 
Apoio ao Desenvolvimento Institucional, Universidade Fernando Pessoa. 
eBook, Atas dos Dias da Invest"&amp;"igação na UFP 2017 (UFP Research Days 
Proceedings). Porto. ISBN 978-989-643-144-9.
[ ebook ]")</f>
        <v>Rocha, L. e Gouveia, L. (2017). A Economia compartilhada e os fatores que a 
influenciam. In GADI (coord). (2018). Gabinete de Relações Internacionais e 
Apoio ao Desenvolvimento Institucional, Universidade Fernando Pessoa. 
eBook, Atas dos Dias da Investigação na UFP 2017 (UFP Research Days 
Proceedings). Porto. ISBN 978-989-643-144-9.
[ ebook ]</v>
      </c>
      <c r="C40" s="2">
        <f t="shared" ca="1" si="0"/>
        <v>25</v>
      </c>
      <c r="D40" t="str">
        <f t="shared" ca="1" si="8"/>
        <v xml:space="preserve">Rocha, L. e Gouveia, L. </v>
      </c>
      <c r="E40" t="str">
        <f t="shared" ca="1" si="1"/>
        <v>2017</v>
      </c>
      <c r="F40" t="str">
        <f t="shared" ca="1" si="2"/>
        <v xml:space="preserve"> A Economia compartilhada e os fatores que a 
influenciam. </v>
      </c>
      <c r="G40" s="3">
        <f t="shared" ca="1" si="3"/>
        <v>30</v>
      </c>
      <c r="H40" s="2">
        <f t="shared" ca="1" si="4"/>
        <v>89</v>
      </c>
      <c r="I40" t="str">
        <f t="shared" ca="1" si="5"/>
        <v>In GADI (coord).</v>
      </c>
      <c r="J40" s="3">
        <f t="shared" ca="1" si="9"/>
        <v>105</v>
      </c>
      <c r="K40" t="str">
        <f t="shared" ca="1" si="6"/>
        <v xml:space="preserve">Rocha, L. e Gouveia, L. </v>
      </c>
      <c r="L40" t="str">
        <f t="shared" ca="1" si="7"/>
        <v xml:space="preserve">Quental, C. </v>
      </c>
    </row>
    <row r="41" spans="1:14" ht="15.75" customHeight="1">
      <c r="A41">
        <f ca="1">IFERROR(__xludf.DUMMYFUNCTION("""COMPUTED_VALUE"""),46)</f>
        <v>46</v>
      </c>
      <c r="B41" t="str">
        <f ca="1">IFERROR(__xludf.DUMMYFUNCTION("""COMPUTED_VALUE"""),"Santos, F. e Gouveia, L. (2017). Relação dos fatores críticos de sucesso em 
gestão do conhecimento para empresas e alunos de Administração de Empresas 
no contexto brasileiro. In GADI (coord). (2018). Gabinete de Relações 
Internacionais e Apoio ao Desen"&amp;"volvimento Institucional, Universidade 
Fernando Pessoa. eBook, Atas dos Dias da Investigação na UFP 2017 (UFP 
Research Days Proceedings). Porto. ISBN 978-989-643-144-9.
[ ebook ]")</f>
        <v>Santos, F. e Gouveia, L. (2017). Relação dos fatores críticos de sucesso em 
gestão do conhecimento para empresas e alunos de Administração de Empresas 
no contexto brasileiro. In GADI (coord). (2018). Gabinete de Relações 
Internacionais e Apoio ao Desenvolvimento Institucional, Universidade 
Fernando Pessoa. eBook, Atas dos Dias da Investigação na UFP 2017 (UFP 
Research Days Proceedings). Porto. ISBN 978-989-643-144-9.
[ ebook ]</v>
      </c>
      <c r="C41" s="2">
        <f t="shared" ca="1" si="0"/>
        <v>26</v>
      </c>
      <c r="D41" t="str">
        <f t="shared" ca="1" si="8"/>
        <v xml:space="preserve">Santos, F. e Gouveia, L. </v>
      </c>
      <c r="E41" t="str">
        <f t="shared" ca="1" si="1"/>
        <v>2017</v>
      </c>
      <c r="F41" t="str">
        <f t="shared" ca="1" si="2"/>
        <v xml:space="preserve"> Relação dos fatores críticos de sucesso em 
gestão do conhecimento para empresas e alunos de Administração de Empresas 
no contexto brasileiro. </v>
      </c>
      <c r="G41" s="3">
        <f t="shared" ca="1" si="3"/>
        <v>31</v>
      </c>
      <c r="H41" s="2">
        <f t="shared" ca="1" si="4"/>
        <v>176</v>
      </c>
      <c r="I41" t="str">
        <f t="shared" ca="1" si="5"/>
        <v>In GADI (coord).</v>
      </c>
      <c r="J41" s="3">
        <f t="shared" ca="1" si="9"/>
        <v>192</v>
      </c>
      <c r="K41" t="str">
        <f t="shared" ca="1" si="6"/>
        <v xml:space="preserve">Santos, F. e Gouveia, L. </v>
      </c>
      <c r="L41" t="str">
        <f t="shared" ca="1" si="7"/>
        <v xml:space="preserve">Quental, C. </v>
      </c>
    </row>
    <row r="42" spans="1:14" ht="15.75" customHeight="1">
      <c r="A42">
        <f ca="1">IFERROR(__xludf.DUMMYFUNCTION("""COMPUTED_VALUE"""),45)</f>
        <v>45</v>
      </c>
      <c r="B42" t="str">
        <f ca="1">IFERROR(__xludf.DUMMYFUNCTION("""COMPUTED_VALUE"""),"Nogueira, D. e Gouveia, L. (2017). Estudo preliminar sobre competências nas 
redes digitais como estratégia de fortalecimento da Rede Nacional de 
Escolas de Governo do Brasil. In GADI (coord). (2018). Gabinete de Relações 
Internacionais e Apoio ao Desen"&amp;"volvimento Institucional, Universidade 
Fernando Pessoa. eBook, Atas dos Dias da Investigação na UFP 2017 (UFP 
Research Days Proceedings). Porto. ISBN 978-989-643-144-9.
[ ebook ]")</f>
        <v>Nogueira, D. e Gouveia, L. (2017). Estudo preliminar sobre competências nas 
redes digitais como estratégia de fortalecimento da Rede Nacional de 
Escolas de Governo do Brasil. In GADI (coord). (2018). Gabinete de Relações 
Internacionais e Apoio ao Desenvolvimento Institucional, Universidade 
Fernando Pessoa. eBook, Atas dos Dias da Investigação na UFP 2017 (UFP 
Research Days Proceedings). Porto. ISBN 978-989-643-144-9.
[ ebook ]</v>
      </c>
      <c r="C42" s="2">
        <f t="shared" ca="1" si="0"/>
        <v>28</v>
      </c>
      <c r="D42" t="str">
        <f t="shared" ca="1" si="8"/>
        <v xml:space="preserve">Nogueira, D. e Gouveia, L. </v>
      </c>
      <c r="E42" t="str">
        <f t="shared" ca="1" si="1"/>
        <v>2017</v>
      </c>
      <c r="F42" t="str">
        <f t="shared" ca="1" si="2"/>
        <v xml:space="preserve"> Estudo preliminar sobre competências nas 
redes digitais como estratégia de fortalecimento da Rede Nacional de 
Escolas de Governo do Brasil. </v>
      </c>
      <c r="G42" s="3">
        <f t="shared" ca="1" si="3"/>
        <v>33</v>
      </c>
      <c r="H42" s="2">
        <f t="shared" ca="1" si="4"/>
        <v>176</v>
      </c>
      <c r="I42" t="str">
        <f t="shared" ca="1" si="5"/>
        <v>In GADI (coord).</v>
      </c>
      <c r="J42" s="3">
        <f t="shared" ca="1" si="9"/>
        <v>192</v>
      </c>
      <c r="K42" t="str">
        <f t="shared" ca="1" si="6"/>
        <v xml:space="preserve">Nogueira, D. e Gouveia, L. </v>
      </c>
      <c r="L42" t="str">
        <f t="shared" ca="1" si="7"/>
        <v xml:space="preserve">Quental, C. </v>
      </c>
    </row>
    <row r="43" spans="1:14" ht="15.75" customHeight="1">
      <c r="A43">
        <f ca="1">IFERROR(__xludf.DUMMYFUNCTION("""COMPUTED_VALUE"""),44)</f>
        <v>44</v>
      </c>
      <c r="B43" t="str">
        <f ca="1">IFERROR(__xludf.DUMMYFUNCTION("""COMPUTED_VALUE"""),"Silva, C. e Gouveia, L. (2017). Transparência, ‘e-government’ e segurança 
da informação: uma contribuição para a sua discussão no contexto do poder 
público. In GADI (coord). (2018). Gabinete de Relações Internacionais e 
Apoio ao Desenvolvimento Institu"&amp;"cional, Universidade Fernando Pessoa. 
eBook, Atas dos Dias da Investigação na UFP 2017 (UFP Research Days 
Proceedings). Porto. ISBN 978-989-643-144-9.
[ ebook ]")</f>
        <v>Silva, C. e Gouveia, L. (2017). Transparência, ‘e-government’ e segurança 
da informação: uma contribuição para a sua discussão no contexto do poder 
público. In GADI (coord). (2018). Gabinete de Relações Internacionais e 
Apoio ao Desenvolvimento Institucional, Universidade Fernando Pessoa. 
eBook, Atas dos Dias da Investigação na UFP 2017 (UFP Research Days 
Proceedings). Porto. ISBN 978-989-643-144-9.
[ ebook ]</v>
      </c>
      <c r="C43" s="2">
        <f t="shared" ca="1" si="0"/>
        <v>25</v>
      </c>
      <c r="D43" t="str">
        <f t="shared" ca="1" si="8"/>
        <v xml:space="preserve">Silva, C. e Gouveia, L. </v>
      </c>
      <c r="E43" t="str">
        <f t="shared" ca="1" si="1"/>
        <v>2017</v>
      </c>
      <c r="F43" t="str">
        <f t="shared" ca="1" si="2"/>
        <v xml:space="preserve"> Transparência, ‘e-government’ e segurança 
da informação: uma contribuição para a sua discussão no contexto do poder 
público. </v>
      </c>
      <c r="G43" s="3">
        <f t="shared" ca="1" si="3"/>
        <v>30</v>
      </c>
      <c r="H43" s="2">
        <f t="shared" ca="1" si="4"/>
        <v>158</v>
      </c>
      <c r="I43" t="str">
        <f t="shared" ca="1" si="5"/>
        <v>In GADI (coord).</v>
      </c>
      <c r="J43" s="3">
        <f t="shared" ca="1" si="9"/>
        <v>174</v>
      </c>
      <c r="K43" t="str">
        <f t="shared" ca="1" si="6"/>
        <v xml:space="preserve">Silva, C. e Gouveia, L. </v>
      </c>
      <c r="L43" t="str">
        <f t="shared" ca="1" si="7"/>
        <v xml:space="preserve">Quental, C. </v>
      </c>
    </row>
    <row r="44" spans="1:14" ht="15.75" customHeight="1">
      <c r="A44">
        <f ca="1">IFERROR(__xludf.DUMMYFUNCTION("""COMPUTED_VALUE"""),43)</f>
        <v>43</v>
      </c>
      <c r="B44" t="str">
        <f ca="1">IFERROR(__xludf.DUMMYFUNCTION("""COMPUTED_VALUE"""),"Quental, C. e Gouveia, L. (2017). Mediação digital para participação 
pública: experiências de utilização em organizações sindicais. In GADI 
(coord). (2018). Gabinete de Relações Internacionais e Apoio ao 
Desenvolvimento Institucional, Universidade Fern"&amp;"ando Pessoa. eBook, Atas 
dos Dias da Investigação na UFP 2017 (UFP Research Days Proceedings). 
Porto. ISBN 978-989-643-144-9.
[ ebook ]")</f>
        <v>Quental, C. e Gouveia, L. (2017). Mediação digital para participação 
pública: experiências de utilização em organizações sindicais. In GADI 
(coord). (2018). Gabinete de Relações Internacionais e Apoio ao 
Desenvolvimento Institucional, Universidade Fernando Pessoa. eBook, Atas 
dos Dias da Investigação na UFP 2017 (UFP Research Days Proceedings). 
Porto. ISBN 978-989-643-144-9.
[ ebook ]</v>
      </c>
      <c r="C44" s="2">
        <f t="shared" ca="1" si="0"/>
        <v>27</v>
      </c>
      <c r="D44" t="str">
        <f t="shared" ca="1" si="8"/>
        <v xml:space="preserve">Quental, C. e Gouveia, L. </v>
      </c>
      <c r="E44" t="str">
        <f t="shared" ca="1" si="1"/>
        <v>2017</v>
      </c>
      <c r="F44" t="str">
        <f t="shared" ca="1" si="2"/>
        <v xml:space="preserve"> Mediação digital para participação 
pública: experiências de utilização em organizações sindicais. </v>
      </c>
      <c r="G44" s="3">
        <f t="shared" ca="1" si="3"/>
        <v>32</v>
      </c>
      <c r="H44" s="2">
        <f t="shared" ca="1" si="4"/>
        <v>132</v>
      </c>
      <c r="I44" t="str">
        <f t="shared" ca="1" si="5"/>
        <v>In GADI 
(coord).</v>
      </c>
      <c r="J44" s="3">
        <f t="shared" ca="1" si="9"/>
        <v>149</v>
      </c>
      <c r="K44" t="str">
        <f t="shared" ca="1" si="6"/>
        <v xml:space="preserve">Quental, C. e Gouveia, L. </v>
      </c>
      <c r="L44" t="str">
        <f t="shared" ca="1" si="7"/>
        <v xml:space="preserve">Quental, C. </v>
      </c>
    </row>
    <row r="45" spans="1:14" ht="15.75" customHeight="1">
      <c r="A45">
        <f ca="1">IFERROR(__xludf.DUMMYFUNCTION("""COMPUTED_VALUE"""),42)</f>
        <v>42</v>
      </c>
      <c r="B45" t="str">
        <f ca="1">IFERROR(__xludf.DUMMYFUNCTION("""COMPUTED_VALUE"""),"Araújo, A. e Gouveia, L. (2017). O digital nas instituições de ensino 
superior: justificação para o diagnóstico sobre a percepção de gestores, 
professores e alunos. In GADI (coord). (2018). Gabinete de Relações 
Internacionais e Apoio ao Desenvolvimento"&amp;" Institucional, Universidade 
Fernando Pessoa. eBook, Atas dos Dias da Investigação na UFP 2017 (UFP 
Research Days Proceedings). Porto. ISBN 978-989-643-144-9.
[ ebook ]")</f>
        <v>Araújo, A. e Gouveia, L. (2017). O digital nas instituições de ensino 
superior: justificação para o diagnóstico sobre a percepção de gestores, 
professores e alunos. In GADI (coord). (2018). Gabinete de Relações 
Internacionais e Apoio ao Desenvolvimento Institucional, Universidade 
Fernando Pessoa. eBook, Atas dos Dias da Investigação na UFP 2017 (UFP 
Research Days Proceedings). Porto. ISBN 978-989-643-144-9.
[ ebook ]</v>
      </c>
      <c r="C45" s="2">
        <f t="shared" ca="1" si="0"/>
        <v>26</v>
      </c>
      <c r="D45" t="str">
        <f t="shared" ca="1" si="8"/>
        <v xml:space="preserve">Araújo, A. e Gouveia, L. </v>
      </c>
      <c r="E45" t="str">
        <f t="shared" ca="1" si="1"/>
        <v>2017</v>
      </c>
      <c r="F45" t="str">
        <f t="shared" ca="1" si="2"/>
        <v xml:space="preserve"> O digital nas instituições de ensino 
superior: justificação para o diagnóstico sobre a percepção de gestores, 
professores e alunos. </v>
      </c>
      <c r="G45" s="3">
        <f t="shared" ca="1" si="3"/>
        <v>31</v>
      </c>
      <c r="H45" s="2">
        <f t="shared" ca="1" si="4"/>
        <v>166</v>
      </c>
      <c r="I45" t="str">
        <f t="shared" ca="1" si="5"/>
        <v>In GADI (coord).</v>
      </c>
      <c r="J45" s="3">
        <f t="shared" ca="1" si="9"/>
        <v>182</v>
      </c>
      <c r="K45" t="str">
        <f t="shared" ca="1" si="6"/>
        <v xml:space="preserve">Araújo, A. e Gouveia, L. </v>
      </c>
      <c r="L45" t="str">
        <f t="shared" ca="1" si="7"/>
        <v xml:space="preserve">Quental, C. </v>
      </c>
    </row>
    <row r="46" spans="1:14" ht="15.75" customHeight="1">
      <c r="A46">
        <f ca="1">IFERROR(__xludf.DUMMYFUNCTION("""COMPUTED_VALUE"""),41)</f>
        <v>41</v>
      </c>
      <c r="B46" t="str">
        <f ca="1">IFERROR(__xludf.DUMMYFUNCTION("""COMPUTED_VALUE"""),"Robalo, A. e Gouveia, L. (2017). A introdução das TICs em sala de aula no 
ensino primário: formação de professores na província do Huambo para o 
projeto Meu Kamba. In GADI (coord). (2018). Gabinete de Relações 
Internacionais e Apoio ao Desenvolvimento "&amp;"Institucional, Universidade 
Fernando Pessoa. eBook, Atas dos Dias da Investigação na UFP 2017 (UFP 
Research Days Proceedings). Porto. ISBN 978-989-643-144-9.
[ ebook ]")</f>
        <v>Robalo, A. e Gouveia, L. (2017). A introdução das TICs em sala de aula no 
ensino primário: formação de professores na província do Huambo para o 
projeto Meu Kamba. In GADI (coord). (2018). Gabinete de Relações 
Internacionais e Apoio ao Desenvolvimento Institucional, Universidade 
Fernando Pessoa. eBook, Atas dos Dias da Investigação na UFP 2017 (UFP 
Research Days Proceedings). Porto. ISBN 978-989-643-144-9.
[ ebook ]</v>
      </c>
      <c r="C46" s="2">
        <f t="shared" ca="1" si="0"/>
        <v>26</v>
      </c>
      <c r="D46" t="str">
        <f t="shared" ca="1" si="8"/>
        <v xml:space="preserve">Robalo, A. e Gouveia, L. </v>
      </c>
      <c r="E46" t="str">
        <f t="shared" ca="1" si="1"/>
        <v>2017</v>
      </c>
      <c r="F46" t="str">
        <f t="shared" ca="1" si="2"/>
        <v xml:space="preserve"> A introdução das TICs em sala de aula no 
ensino primário: formação de professores na província do Huambo para o 
projeto Meu Kamba. </v>
      </c>
      <c r="G46" s="3">
        <f t="shared" ca="1" si="3"/>
        <v>31</v>
      </c>
      <c r="H46" s="2">
        <f t="shared" ca="1" si="4"/>
        <v>165</v>
      </c>
      <c r="I46" t="str">
        <f t="shared" ca="1" si="5"/>
        <v>In GADI (coord).</v>
      </c>
      <c r="J46" s="3">
        <f t="shared" ca="1" si="9"/>
        <v>181</v>
      </c>
      <c r="K46" t="str">
        <f t="shared" ca="1" si="6"/>
        <v xml:space="preserve">Robalo, A. e Gouveia, L. </v>
      </c>
      <c r="L46" t="str">
        <f t="shared" ca="1" si="7"/>
        <v xml:space="preserve">Quental, C. </v>
      </c>
    </row>
    <row r="47" spans="1:14" ht="15.75" customHeight="1">
      <c r="A47">
        <f ca="1">IFERROR(__xludf.DUMMYFUNCTION("""COMPUTED_VALUE"""),40)</f>
        <v>40</v>
      </c>
      <c r="B47" t="str">
        <f ca="1">IFERROR(__xludf.DUMMYFUNCTION("""COMPUTED_VALUE"""),"Correia, A. e Gouveia, L. (2017). Cidades Digitais: uma perspetiva 
diferenciada dos espaços na cidade. In GADI (coord). (2018). Gabinete de 
Relações Internacionais e Apoio ao Desenvolvimento Institucional, 
Universidade Fernando Pessoa. eBook, Atas dos "&amp;"Dias da Investigação na UFP 
2017 (UFP Research Days Proceedings). Porto. ISBN 978-989-643-144-9.
[ ebook ]")</f>
        <v>Correia, A. e Gouveia, L. (2017). Cidades Digitais: uma perspetiva 
diferenciada dos espaços na cidade. In GADI (coord). (2018). Gabinete de 
Relações Internacionais e Apoio ao Desenvolvimento Institucional, 
Universidade Fernando Pessoa. eBook, Atas dos Dias da Investigação na UFP 
2017 (UFP Research Days Proceedings). Porto. ISBN 978-989-643-144-9.
[ ebook ]</v>
      </c>
      <c r="C47" s="2">
        <f t="shared" ca="1" si="0"/>
        <v>27</v>
      </c>
      <c r="D47" t="str">
        <f t="shared" ca="1" si="8"/>
        <v xml:space="preserve">Correia, A. e Gouveia, L. </v>
      </c>
      <c r="E47" t="str">
        <f t="shared" ca="1" si="1"/>
        <v>2017</v>
      </c>
      <c r="F47" t="str">
        <f t="shared" ca="1" si="2"/>
        <v xml:space="preserve"> Cidades Digitais: uma perspetiva 
diferenciada dos espaços na cidade. </v>
      </c>
      <c r="G47" s="3">
        <f t="shared" ca="1" si="3"/>
        <v>32</v>
      </c>
      <c r="H47" s="2">
        <f t="shared" ca="1" si="4"/>
        <v>103</v>
      </c>
      <c r="I47" t="str">
        <f t="shared" ca="1" si="5"/>
        <v>In GADI (coord).</v>
      </c>
      <c r="J47" s="3">
        <f t="shared" ca="1" si="9"/>
        <v>119</v>
      </c>
      <c r="K47" t="str">
        <f t="shared" ca="1" si="6"/>
        <v xml:space="preserve">Correia, A. e Gouveia, L. </v>
      </c>
      <c r="L47" t="str">
        <f t="shared" ca="1" si="7"/>
        <v xml:space="preserve">Quental, C. </v>
      </c>
    </row>
    <row r="48" spans="1:14" ht="15.75" customHeight="1">
      <c r="A48">
        <f ca="1">IFERROR(__xludf.DUMMYFUNCTION("""COMPUTED_VALUE"""),39)</f>
        <v>39</v>
      </c>
      <c r="B48" t="str">
        <f ca="1">IFERROR(__xludf.DUMMYFUNCTION("""COMPUTED_VALUE"""),"Cavalcante, A. e Gouveia, L. (2017). A influência do digital para a imagem 
do turismo no nordeste brasileiro. In GADI (coord). (2018). Gabinete de 
Relações Internacionais e Apoio ao Desenvolvimento Institucional, 
Universidade Fernando Pessoa. eBook, At"&amp;"as dos Dias da Investigação na UFP 
2017 (UFP Research Days Proceedings). Porto. ISBN 978-989-643-144-9.
[ ebook ]")</f>
        <v>Cavalcante, A. e Gouveia, L. (2017). A influência do digital para a imagem 
do turismo no nordeste brasileiro. In GADI (coord). (2018). Gabinete de 
Relações Internacionais e Apoio ao Desenvolvimento Institucional, 
Universidade Fernando Pessoa. eBook, Atas dos Dias da Investigação na UFP 
2017 (UFP Research Days Proceedings). Porto. ISBN 978-989-643-144-9.
[ ebook ]</v>
      </c>
      <c r="C48" s="2">
        <f t="shared" ca="1" si="0"/>
        <v>30</v>
      </c>
      <c r="D48" t="str">
        <f t="shared" ca="1" si="8"/>
        <v xml:space="preserve">Cavalcante, A. e Gouveia, L. </v>
      </c>
      <c r="E48" t="str">
        <f t="shared" ca="1" si="1"/>
        <v>2017</v>
      </c>
      <c r="F48" t="str">
        <f t="shared" ca="1" si="2"/>
        <v xml:space="preserve"> A influência do digital para a imagem 
do turismo no nordeste brasileiro. </v>
      </c>
      <c r="G48" s="3">
        <f t="shared" ca="1" si="3"/>
        <v>35</v>
      </c>
      <c r="H48" s="2">
        <f t="shared" ca="1" si="4"/>
        <v>110</v>
      </c>
      <c r="I48" t="str">
        <f t="shared" ca="1" si="5"/>
        <v>In GADI (coord).</v>
      </c>
      <c r="J48" s="3">
        <f t="shared" ca="1" si="9"/>
        <v>126</v>
      </c>
      <c r="K48" t="str">
        <f t="shared" ca="1" si="6"/>
        <v xml:space="preserve">Cavalcante, A. e Gouveia, L. </v>
      </c>
      <c r="L48" t="str">
        <f t="shared" ca="1" si="7"/>
        <v xml:space="preserve">Quental, C. </v>
      </c>
    </row>
    <row r="49" spans="1:13" ht="15.75" customHeight="1">
      <c r="A49">
        <f ca="1">IFERROR(__xludf.DUMMYFUNCTION("""COMPUTED_VALUE"""),38)</f>
        <v>38</v>
      </c>
      <c r="B49" t="str">
        <f ca="1">IFERROR(__xludf.DUMMYFUNCTION("""COMPUTED_VALUE"""),"Gouveia, L. (2017). Transformação Digital: Desafios e Implicações na 
Perspectiva da Informação. In Moreira, F.; Oliveira, M.; Gonçalves, R. e 
Costa, C. (2017). Transformação Digital: oportunidades e amaeaças para uma 
competitividade mais inteligente. 1"&amp;"ª edição, dezembro. Capítulo 2, pp 5-28. 
Faro: Silabas e Desafios. ISBN: 978-989-8842-28-2.
[ ebook ]")</f>
        <v>Gouveia, L. (2017). Transformação Digital: Desafios e Implicações na 
Perspectiva da Informação. In Moreira, F.; Oliveira, M.; Gonçalves, R. e 
Costa, C. (2017). Transformação Digital: oportunidades e amaeaças para uma 
competitividade mais inteligente. 1ª edição, dezembro. Capítulo 2, pp 5-28. 
Faro: Silabas e Desafios. ISBN: 978-989-8842-28-2.
[ ebook ]</v>
      </c>
      <c r="C49" s="2">
        <f t="shared" ca="1" si="0"/>
        <v>13</v>
      </c>
      <c r="D49" t="str">
        <f t="shared" ca="1" si="8"/>
        <v xml:space="preserve">Gouveia, L. </v>
      </c>
      <c r="E49" t="str">
        <f t="shared" ca="1" si="1"/>
        <v>2017</v>
      </c>
      <c r="F49" t="str">
        <f t="shared" ca="1" si="2"/>
        <v xml:space="preserve"> Transformação Digital: Desafios e Implicações na 
Perspectiva da Informação. </v>
      </c>
      <c r="G49" s="3">
        <f t="shared" ca="1" si="3"/>
        <v>18</v>
      </c>
      <c r="H49" s="2">
        <f t="shared" ca="1" si="4"/>
        <v>96</v>
      </c>
      <c r="I49" t="str">
        <f t="shared" ca="1" si="5"/>
        <v>In Moreira, F.; Oliveira, M.; Gonçalves, R. e 
Costa, C. (2017).</v>
      </c>
      <c r="J49" s="3">
        <f t="shared" ca="1" si="9"/>
        <v>160</v>
      </c>
      <c r="K49" t="str">
        <f t="shared" ca="1" si="6"/>
        <v xml:space="preserve">Gouveia, L. </v>
      </c>
      <c r="L49" t="str">
        <f t="shared" ca="1" si="7"/>
        <v xml:space="preserve">Quental, C. </v>
      </c>
    </row>
    <row r="50" spans="1:13" ht="15.75" customHeight="1">
      <c r="A50">
        <f ca="1">IFERROR(__xludf.DUMMYFUNCTION("""COMPUTED_VALUE"""),37)</f>
        <v>37</v>
      </c>
      <c r="B50" t="str">
        <f ca="1">IFERROR(__xludf.DUMMYFUNCTION("""COMPUTED_VALUE"""),"Silva, C. e Gouveia, L. (2017). A Transparência e Sua Importância Para o 
Poder Público. Boletim de Gestão Pública, N. 4 - Setembro/Outubro. 
Instituto de Pesquisa e Estratégia Econômica do Ceará (IPECE). Governo do 
Estado do Ceará. Brasil, pp 4-7.  
[ b"&amp;"oletim ]")</f>
        <v>Silva, C. e Gouveia, L. (2017). A Transparência e Sua Importância Para o 
Poder Público. Boletim de Gestão Pública, N. 4 - Setembro/Outubro. 
Instituto de Pesquisa e Estratégia Econômica do Ceará (IPECE). Governo do 
Estado do Ceará. Brasil, pp 4-7.  
[ boletim ]</v>
      </c>
      <c r="C50" s="2">
        <f t="shared" ca="1" si="0"/>
        <v>25</v>
      </c>
      <c r="D50" t="str">
        <f t="shared" ca="1" si="8"/>
        <v xml:space="preserve">Silva, C. e Gouveia, L. </v>
      </c>
      <c r="E50" t="str">
        <f t="shared" ca="1" si="1"/>
        <v>2017</v>
      </c>
      <c r="F50" t="str">
        <f t="shared" ca="1" si="2"/>
        <v xml:space="preserve"> A Transparência e Sua Importância Para o 
Poder Público. </v>
      </c>
      <c r="G50" s="3">
        <f t="shared" ca="1" si="3"/>
        <v>30</v>
      </c>
      <c r="H50" s="2">
        <f t="shared" ca="1" si="4"/>
        <v>88</v>
      </c>
      <c r="I50" t="str">
        <f t="shared" ca="1" si="5"/>
        <v>Boletim de Gestão Pública, N. 4 - Setembro/Outubro. 
Instituto de Pesquisa e Estratégia Econômica do Ceará (IPECE).</v>
      </c>
      <c r="J50" s="3">
        <f t="shared" ca="1" si="9"/>
        <v>203</v>
      </c>
      <c r="K50" t="str">
        <f t="shared" ca="1" si="6"/>
        <v xml:space="preserve">Silva, C. e Gouveia, L. </v>
      </c>
      <c r="L50" t="str">
        <f t="shared" ca="1" si="7"/>
        <v xml:space="preserve">Quental, C. </v>
      </c>
    </row>
    <row r="51" spans="1:13" ht="15.75" customHeight="1">
      <c r="A51">
        <f ca="1">IFERROR(__xludf.DUMMYFUNCTION("""COMPUTED_VALUE"""),36)</f>
        <v>36</v>
      </c>
      <c r="B51" t="str">
        <f ca="1">IFERROR(__xludf.DUMMYFUNCTION("""COMPUTED_VALUE"""),"Morgado, R. e Gouveia, L. (2016). O recurso e a contribuição potencial da 
inteligência artificial para a cibersegurança em ambientes digitais. 
Coordenação Gabinete de Relações Internacionais e Apoio ao Desenvolvimento 
Institucional, Universidade Fernan"&amp;"do Pessoa. eBook, Atas dos Dias da 
Investigação na UFP 2016. Porto, pp 185-191. ISBN 978-989-643-141-9.
[ ebook ]")</f>
        <v>Morgado, R. e Gouveia, L. (2016). O recurso e a contribuição potencial da 
inteligência artificial para a cibersegurança em ambientes digitais. 
Coordenação Gabinete de Relações Internacionais e Apoio ao Desenvolvimento 
Institucional, Universidade Fernando Pessoa. eBook, Atas dos Dias da 
Investigação na UFP 2016. Porto, pp 185-191. ISBN 978-989-643-141-9.
[ ebook ]</v>
      </c>
      <c r="C51" s="2">
        <f t="shared" ca="1" si="0"/>
        <v>27</v>
      </c>
      <c r="D51" t="str">
        <f t="shared" ca="1" si="8"/>
        <v xml:space="preserve">Morgado, R. e Gouveia, L. </v>
      </c>
      <c r="E51" t="str">
        <f t="shared" ca="1" si="1"/>
        <v>2016</v>
      </c>
      <c r="F51" t="str">
        <f t="shared" ca="1" si="2"/>
        <v xml:space="preserve"> O recurso e a contribuição potencial da 
inteligência artificial para a cibersegurança em ambientes digitais. </v>
      </c>
      <c r="G51" s="3">
        <f t="shared" ca="1" si="3"/>
        <v>32</v>
      </c>
      <c r="H51" s="2">
        <f t="shared" ca="1" si="4"/>
        <v>143</v>
      </c>
      <c r="I51" t="e">
        <f t="shared" ca="1" si="5"/>
        <v>#VALUE!</v>
      </c>
      <c r="J51" s="3" t="e">
        <f t="shared" ca="1" si="9"/>
        <v>#VALUE!</v>
      </c>
      <c r="K51" t="str">
        <f t="shared" ca="1" si="6"/>
        <v xml:space="preserve">Morgado, R. e Gouveia, L. </v>
      </c>
      <c r="L51" t="str">
        <f t="shared" ca="1" si="7"/>
        <v xml:space="preserve">Quental, C. </v>
      </c>
    </row>
    <row r="52" spans="1:13" ht="15.75" customHeight="1">
      <c r="A52">
        <f ca="1">IFERROR(__xludf.DUMMYFUNCTION("""COMPUTED_VALUE"""),35)</f>
        <v>35</v>
      </c>
      <c r="B52" t="str">
        <f ca="1">IFERROR(__xludf.DUMMYFUNCTION("""COMPUTED_VALUE"""),"Correia, A. e Gouveia, L. (2016). A região norte NUT III como valor 
acrescentado para o desenvolvimento digital da região e o potencial do 
Porto como Smart City. Coordenação Gabinete de Relações Internacionais e 
Apoio ao Desenvolvimento Institucional, "&amp;"Universidade Fernando Pessoa. 
eBook, Atas dos Dias da Investigação na UFP 2016. Porto, pp 192-205. ISBN 
978-989-643-141-9.
[ ebook ]")</f>
        <v>Correia, A. e Gouveia, L. (2016). A região norte NUT III como valor 
acrescentado para o desenvolvimento digital da região e o potencial do 
Porto como Smart City. Coordenação Gabinete de Relações Internacionais e 
Apoio ao Desenvolvimento Institucional, Universidade Fernando Pessoa. 
eBook, Atas dos Dias da Investigação na UFP 2016. Porto, pp 192-205. ISBN 
978-989-643-141-9.
[ ebook ]</v>
      </c>
      <c r="C52" s="2">
        <f t="shared" ca="1" si="0"/>
        <v>27</v>
      </c>
      <c r="D52" t="str">
        <f t="shared" ca="1" si="8"/>
        <v xml:space="preserve">Correia, A. e Gouveia, L. </v>
      </c>
      <c r="E52" t="str">
        <f t="shared" ca="1" si="1"/>
        <v>2016</v>
      </c>
      <c r="F52" t="str">
        <f t="shared" ca="1" si="2"/>
        <v xml:space="preserve"> A região norte NUT III como valor 
acrescentado para o desenvolvimento digital da região e o potencial do 
Porto como Smart City. </v>
      </c>
      <c r="G52" s="3">
        <f t="shared" ca="1" si="3"/>
        <v>32</v>
      </c>
      <c r="H52" s="2">
        <f t="shared" ca="1" si="4"/>
        <v>163</v>
      </c>
      <c r="I52" t="e">
        <f t="shared" ca="1" si="5"/>
        <v>#VALUE!</v>
      </c>
      <c r="J52" s="3" t="e">
        <f t="shared" ca="1" si="9"/>
        <v>#VALUE!</v>
      </c>
      <c r="K52" t="str">
        <f t="shared" ca="1" si="6"/>
        <v xml:space="preserve">Correia, A. e Gouveia, L. </v>
      </c>
      <c r="L52" t="str">
        <f t="shared" ca="1" si="7"/>
        <v xml:space="preserve">Quental, C. </v>
      </c>
    </row>
    <row r="53" spans="1:13" ht="15.75" customHeight="1">
      <c r="A53">
        <f ca="1">IFERROR(__xludf.DUMMYFUNCTION("""COMPUTED_VALUE"""),34)</f>
        <v>34</v>
      </c>
      <c r="B53" t="str">
        <f ca="1">IFERROR(__xludf.DUMMYFUNCTION("""COMPUTED_VALUE"""),"Araújo, P.; Gouveia, L. e Toldy, T. (2016). Esfera Pública Digital: uso de 
uma plataforma digital para a gestão da informação da Educação Especial. 
Coordenação Gabinete de Relações Internacionais e Apoio ao Desenvolvimento 
Institucional, Universidade F"&amp;"ernando Pessoa. eBook, Atas dos Dias da 
Investigação na UFP 2016. Porto, pp 126-142. ISBN 978-989-643-141-9.
[ ebook ]")</f>
        <v>Araújo, P.; Gouveia, L. e Toldy, T. (2016). Esfera Pública Digital: uso de 
uma plataforma digital para a gestão da informação da Educação Especial. 
Coordenação Gabinete de Relações Internacionais e Apoio ao Desenvolvimento 
Institucional, Universidade Fernando Pessoa. eBook, Atas dos Dias da 
Investigação na UFP 2016. Porto, pp 126-142. ISBN 978-989-643-141-9.
[ ebook ]</v>
      </c>
      <c r="C53" s="2">
        <f t="shared" ca="1" si="0"/>
        <v>37</v>
      </c>
      <c r="D53" t="str">
        <f t="shared" ca="1" si="8"/>
        <v xml:space="preserve">Araújo, P.; Gouveia, L. e Toldy, T. </v>
      </c>
      <c r="E53" t="str">
        <f t="shared" ca="1" si="1"/>
        <v>2016</v>
      </c>
      <c r="F53" t="str">
        <f t="shared" ca="1" si="2"/>
        <v xml:space="preserve"> Esfera Pública Digital: uso de 
uma plataforma digital para a gestão da informação da Educação Especial. </v>
      </c>
      <c r="G53" s="3">
        <f t="shared" ca="1" si="3"/>
        <v>42</v>
      </c>
      <c r="H53" s="2">
        <f t="shared" ca="1" si="4"/>
        <v>148</v>
      </c>
      <c r="I53" t="e">
        <f t="shared" ca="1" si="5"/>
        <v>#VALUE!</v>
      </c>
      <c r="J53" s="3" t="e">
        <f t="shared" ca="1" si="9"/>
        <v>#VALUE!</v>
      </c>
      <c r="K53" t="str">
        <f t="shared" ca="1" si="6"/>
        <v xml:space="preserve">Araújo, P.; Gouveia, L. e Toldy, T. </v>
      </c>
      <c r="L53" t="str">
        <f t="shared" ca="1" si="7"/>
        <v xml:space="preserve">Quental, C. </v>
      </c>
      <c r="M53" t="str">
        <f ca="1">IFERROR(__xludf.DUMMYFUNCTION("""COMPUTED_VALUE""")," Gouveia, L. e Toldy, T. ")</f>
        <v xml:space="preserve"> Gouveia, L. e Toldy, T. </v>
      </c>
    </row>
    <row r="54" spans="1:13" ht="15.75" customHeight="1">
      <c r="A54">
        <f ca="1">IFERROR(__xludf.DUMMYFUNCTION("""COMPUTED_VALUE"""),33)</f>
        <v>33</v>
      </c>
      <c r="B54" t="str">
        <f ca="1">IFERROR(__xludf.DUMMYFUNCTION("""COMPUTED_VALUE"""),"Menezes, N. e Gouveia, L. (2016). O recurso a tecnologias de informação e 
comunicação para suporte da atividade em sala de aula. Coordenação Gabinete 
de Relações Internacionais e Apoio ao Desenvolvimento Institucional, 
Universidade Fernando Pessoa. eBo"&amp;"ok, Atas dos Dias da Investigação na UFP 
2016. Porto, pp 206-212. ISBN 978-989-643-141-9.
[ ebook ]")</f>
        <v>Menezes, N. e Gouveia, L. (2016). O recurso a tecnologias de informação e 
comunicação para suporte da atividade em sala de aula. Coordenação Gabinete 
de Relações Internacionais e Apoio ao Desenvolvimento Institucional, 
Universidade Fernando Pessoa. eBook, Atas dos Dias da Investigação na UFP 
2016. Porto, pp 206-212. ISBN 978-989-643-141-9.
[ ebook ]</v>
      </c>
      <c r="C54" s="2">
        <f t="shared" ca="1" si="0"/>
        <v>27</v>
      </c>
      <c r="D54" t="str">
        <f t="shared" ca="1" si="8"/>
        <v xml:space="preserve">Menezes, N. e Gouveia, L. </v>
      </c>
      <c r="E54" t="str">
        <f t="shared" ca="1" si="1"/>
        <v>2016</v>
      </c>
      <c r="F54" t="str">
        <f t="shared" ca="1" si="2"/>
        <v xml:space="preserve"> O recurso a tecnologias de informação e 
comunicação para suporte da atividade em sala de aula. </v>
      </c>
      <c r="G54" s="3">
        <f t="shared" ca="1" si="3"/>
        <v>32</v>
      </c>
      <c r="H54" s="2">
        <f t="shared" ca="1" si="4"/>
        <v>129</v>
      </c>
      <c r="I54" t="e">
        <f t="shared" ca="1" si="5"/>
        <v>#VALUE!</v>
      </c>
      <c r="J54" s="3" t="e">
        <f t="shared" ca="1" si="9"/>
        <v>#VALUE!</v>
      </c>
      <c r="K54" t="str">
        <f t="shared" ca="1" si="6"/>
        <v xml:space="preserve">Menezes, N. e Gouveia, L. </v>
      </c>
      <c r="L54" t="str">
        <f t="shared" ca="1" si="7"/>
        <v xml:space="preserve">Quental, C. </v>
      </c>
    </row>
    <row r="55" spans="1:13" ht="15.75" customHeight="1">
      <c r="A55">
        <f ca="1">IFERROR(__xludf.DUMMYFUNCTION("""COMPUTED_VALUE"""),32)</f>
        <v>32</v>
      </c>
      <c r="B55" t="str">
        <f ca="1">IFERROR(__xludf.DUMMYFUNCTION("""COMPUTED_VALUE"""),"Lourenço, M.; Rurato, P. e Gouveia, L. (2016). Educação, tecnologia, 
aprendizagem: exaltação à negociação: a busca da Relevância. Coordenação 
Gabinete de Relações Internacionais e Apoio ao Desenvolvimento 
Institucional, Universidade Fernando Pessoa. eB"&amp;"ook, Atas dos Dias da 
Investigação na UFP 2016. Porto, pp 121-125. ISBN 978-989-643-141-9.
[ ebook ]")</f>
        <v>Lourenço, M.; Rurato, P. e Gouveia, L. (2016). Educação, tecnologia, 
aprendizagem: exaltação à negociação: a busca da Relevância. Coordenação 
Gabinete de Relações Internacionais e Apoio ao Desenvolvimento 
Institucional, Universidade Fernando Pessoa. eBook, Atas dos Dias da 
Investigação na UFP 2016. Porto, pp 121-125. ISBN 978-989-643-141-9.
[ ebook ]</v>
      </c>
      <c r="C55" s="2">
        <f t="shared" ca="1" si="0"/>
        <v>40</v>
      </c>
      <c r="D55" t="str">
        <f t="shared" ca="1" si="8"/>
        <v xml:space="preserve">Lourenço, M.; Rurato, P. e Gouveia, L. </v>
      </c>
      <c r="E55" t="str">
        <f t="shared" ca="1" si="1"/>
        <v>2016</v>
      </c>
      <c r="F55" t="str">
        <f t="shared" ca="1" si="2"/>
        <v xml:space="preserve"> Educação, tecnologia, 
aprendizagem: exaltação à negociação: a busca da Relevância. </v>
      </c>
      <c r="G55" s="3">
        <f t="shared" ca="1" si="3"/>
        <v>45</v>
      </c>
      <c r="H55" s="2">
        <f t="shared" ca="1" si="4"/>
        <v>130</v>
      </c>
      <c r="I55" t="e">
        <f t="shared" ca="1" si="5"/>
        <v>#VALUE!</v>
      </c>
      <c r="J55" s="3" t="e">
        <f t="shared" ca="1" si="9"/>
        <v>#VALUE!</v>
      </c>
      <c r="K55" t="str">
        <f t="shared" ca="1" si="6"/>
        <v xml:space="preserve">Lourenço, M.; Rurato, P. e Gouveia, L. </v>
      </c>
      <c r="L55" t="str">
        <f t="shared" ca="1" si="7"/>
        <v xml:space="preserve">Quental, C. </v>
      </c>
      <c r="M55" t="str">
        <f ca="1">IFERROR(__xludf.DUMMYFUNCTION("""COMPUTED_VALUE""")," Rurato, P. e Gouveia, L. ")</f>
        <v xml:space="preserve"> Rurato, P. e Gouveia, L. </v>
      </c>
    </row>
    <row r="56" spans="1:13" ht="15.75" customHeight="1">
      <c r="A56">
        <f ca="1">IFERROR(__xludf.DUMMYFUNCTION("""COMPUTED_VALUE"""),31)</f>
        <v>31</v>
      </c>
      <c r="B56" t="str">
        <f ca="1">IFERROR(__xludf.DUMMYFUNCTION("""COMPUTED_VALUE"""),"Lopes, S.; Gouveia, L. e Reis, P. (2016). O modelo de ensino do ‘flipped 
classroom’ (sala de aula invertida) no âmbito do ensino superior. 
Coordenação Gabinete de Relações Internacionais e Apoio ao Desenvolvimento 
Institucional, Universidade Fernando P"&amp;"essoa. eBook, Atas dos Dias da 
Investigação na UFP 2016. Porto, pp 164-171. ISBN 978-989-643-141-9.  
[ ebook ]")</f>
        <v>Lopes, S.; Gouveia, L. e Reis, P. (2016). O modelo de ensino do ‘flipped 
classroom’ (sala de aula invertida) no âmbito do ensino superior. 
Coordenação Gabinete de Relações Internacionais e Apoio ao Desenvolvimento 
Institucional, Universidade Fernando Pessoa. eBook, Atas dos Dias da 
Investigação na UFP 2016. Porto, pp 164-171. ISBN 978-989-643-141-9.  
[ ebook ]</v>
      </c>
      <c r="C56" s="2">
        <f t="shared" ca="1" si="0"/>
        <v>35</v>
      </c>
      <c r="D56" t="str">
        <f t="shared" ca="1" si="8"/>
        <v xml:space="preserve">Lopes, S.; Gouveia, L. e Reis, P. </v>
      </c>
      <c r="E56" t="str">
        <f t="shared" ca="1" si="1"/>
        <v>2016</v>
      </c>
      <c r="F56" t="str">
        <f t="shared" ca="1" si="2"/>
        <v xml:space="preserve"> O modelo de ensino do ‘flipped 
classroom’ (sala de aula invertida) no âmbito do ensino superior. </v>
      </c>
      <c r="G56" s="3">
        <f t="shared" ca="1" si="3"/>
        <v>40</v>
      </c>
      <c r="H56" s="2">
        <f t="shared" ca="1" si="4"/>
        <v>139</v>
      </c>
      <c r="I56" t="e">
        <f t="shared" ca="1" si="5"/>
        <v>#VALUE!</v>
      </c>
      <c r="J56" s="3" t="e">
        <f t="shared" ca="1" si="9"/>
        <v>#VALUE!</v>
      </c>
      <c r="K56" t="str">
        <f t="shared" ca="1" si="6"/>
        <v xml:space="preserve">Lopes, S.; Gouveia, L. e Reis, P. </v>
      </c>
      <c r="L56" t="str">
        <f t="shared" ca="1" si="7"/>
        <v xml:space="preserve">Quental, C. </v>
      </c>
      <c r="M56" t="str">
        <f ca="1">IFERROR(__xludf.DUMMYFUNCTION("""COMPUTED_VALUE""")," Gouveia, L. e Reis, P. ")</f>
        <v xml:space="preserve"> Gouveia, L. e Reis, P. </v>
      </c>
    </row>
    <row r="57" spans="1:13" ht="15.75" customHeight="1">
      <c r="A57">
        <f ca="1">IFERROR(__xludf.DUMMYFUNCTION("""COMPUTED_VALUE"""),30)</f>
        <v>30</v>
      </c>
      <c r="B57" t="str">
        <f ca="1">IFERROR(__xludf.DUMMYFUNCTION("""COMPUTED_VALUE"""),"Peres, P. e Gouveia, L. (2015). *Planeamento e Gestão da Mudança nos 
Processos de Implementação de Sistemas dee/b-learning*. Gabinete de 
Relações Internacionais e Apoio ao Desenvolvimento Institucional (2015). 
Atas dos Dias da Investigação na UFP / Res"&amp;"earch Days Proceedings 2015. 
Universidade Fernando Pessoa. Porto, pp 15-20. ISBN 978-989-643-130-3
[ ebook ]")</f>
        <v>Peres, P. e Gouveia, L. (2015). *Planeamento e Gestão da Mudança nos 
Processos de Implementação de Sistemas dee/b-learning*. Gabinete de 
Relações Internacionais e Apoio ao Desenvolvimento Institucional (2015). 
Atas dos Dias da Investigação na UFP / Research Days Proceedings 2015. 
Universidade Fernando Pessoa. Porto, pp 15-20. ISBN 978-989-643-130-3
[ ebook ]</v>
      </c>
      <c r="C57" s="2">
        <f t="shared" ca="1" si="0"/>
        <v>25</v>
      </c>
      <c r="D57" t="str">
        <f t="shared" ca="1" si="8"/>
        <v xml:space="preserve">Peres, P. e Gouveia, L. </v>
      </c>
      <c r="E57" t="str">
        <f t="shared" ca="1" si="1"/>
        <v>2015</v>
      </c>
      <c r="F57" t="str">
        <f t="shared" ca="1" si="2"/>
        <v xml:space="preserve"> *Planeamento e Gestão da Mudança nos 
Processos de Implementação de Sistemas dee/b-learning*. </v>
      </c>
      <c r="G57" s="3">
        <f t="shared" ca="1" si="3"/>
        <v>30</v>
      </c>
      <c r="H57" s="2">
        <f t="shared" ca="1" si="4"/>
        <v>125</v>
      </c>
      <c r="I57" t="str">
        <f t="shared" ca="1" si="5"/>
        <v>Gabinete de 
Relações Internacionais e Apoio ao Desenvolvimento Institucional (2015).</v>
      </c>
      <c r="J57" s="3">
        <f t="shared" ca="1" si="9"/>
        <v>210</v>
      </c>
      <c r="K57" t="str">
        <f t="shared" ca="1" si="6"/>
        <v xml:space="preserve">Peres, P. e Gouveia, L. </v>
      </c>
      <c r="L57" t="str">
        <f t="shared" ca="1" si="7"/>
        <v xml:space="preserve">Quental, C. </v>
      </c>
    </row>
    <row r="58" spans="1:13" ht="15.75" customHeight="1">
      <c r="A58">
        <f ca="1">IFERROR(__xludf.DUMMYFUNCTION("""COMPUTED_VALUE"""),29)</f>
        <v>29</v>
      </c>
      <c r="B58" t="str">
        <f ca="1">IFERROR(__xludf.DUMMYFUNCTION("""COMPUTED_VALUE"""),"Leal, J. e Gouveia, L. (2015). *MOOC: qual o papel na reconceptualização da 
Universidade?* Gabinete de Relações Internacionais e Apoio ao 
Desenvolvimento Institucional (2015). Atas dos Dias da Investigação na UFP 
/ Research Days Proceedings 2015. Unive"&amp;"rsidade Fernando Pessoa. Porto, pp 
21-27. ISBN 978-989-643-130-3
[ ebook ]")</f>
        <v>Leal, J. e Gouveia, L. (2015). *MOOC: qual o papel na reconceptualização da 
Universidade?* Gabinete de Relações Internacionais e Apoio ao 
Desenvolvimento Institucional (2015). Atas dos Dias da Investigação na UFP 
/ Research Days Proceedings 2015. Universidade Fernando Pessoa. Porto, pp 
21-27. ISBN 978-989-643-130-3
[ ebook ]</v>
      </c>
      <c r="C58" s="2">
        <f t="shared" ca="1" si="0"/>
        <v>24</v>
      </c>
      <c r="D58" t="str">
        <f t="shared" ca="1" si="8"/>
        <v xml:space="preserve">Leal, J. e Gouveia, L. </v>
      </c>
      <c r="E58" t="str">
        <f t="shared" ca="1" si="1"/>
        <v>2015</v>
      </c>
      <c r="F58" t="str">
        <f t="shared" ca="1" si="2"/>
        <v xml:space="preserve"> *MOOC: qual o papel na reconceptualização da 
Universidade?* Gabinete de Relações Internacionais e Apoio ao 
Desenvolvimento Institucional (2015). </v>
      </c>
      <c r="G58" s="3">
        <f t="shared" ca="1" si="3"/>
        <v>29</v>
      </c>
      <c r="H58" s="2">
        <f t="shared" ca="1" si="4"/>
        <v>177</v>
      </c>
      <c r="I58" t="e">
        <f t="shared" ca="1" si="5"/>
        <v>#VALUE!</v>
      </c>
      <c r="J58" s="3" t="e">
        <f t="shared" ca="1" si="9"/>
        <v>#VALUE!</v>
      </c>
      <c r="K58" t="str">
        <f t="shared" ca="1" si="6"/>
        <v xml:space="preserve">Leal, J. e Gouveia, L. </v>
      </c>
      <c r="L58" t="str">
        <f t="shared" ca="1" si="7"/>
        <v xml:space="preserve">Quental, C. </v>
      </c>
    </row>
    <row r="59" spans="1:13" ht="15.75" customHeight="1">
      <c r="A59">
        <f ca="1">IFERROR(__xludf.DUMMYFUNCTION("""COMPUTED_VALUE"""),28)</f>
        <v>28</v>
      </c>
      <c r="B59" t="str">
        <f ca="1">IFERROR(__xludf.DUMMYFUNCTION("""COMPUTED_VALUE"""),"Robalo, A. e Gouveia, L. (2015). *O contributo da Mediateca do Huambo na 
promoção de competências TIC para professores*.  Gabinete de Relações 
Internacionais e Apoio ao Desenvolvimento Institucional (2015). Atas dos 
Dias da Investigação na UFP / Resear"&amp;"ch Days Proceedings 2015. Universidade 
Fernando Pessoa. Porto, pp 35-47. ISBN 978-989-643-130-3 
[ ebook ]")</f>
        <v>Robalo, A. e Gouveia, L. (2015). *O contributo da Mediateca do Huambo na 
promoção de competências TIC para professores*.  Gabinete de Relações 
Internacionais e Apoio ao Desenvolvimento Institucional (2015). Atas dos 
Dias da Investigação na UFP / Research Days Proceedings 2015. Universidade 
Fernando Pessoa. Porto, pp 35-47. ISBN 978-989-643-130-3 
[ ebook ]</v>
      </c>
      <c r="C59" s="2">
        <f t="shared" ca="1" si="0"/>
        <v>26</v>
      </c>
      <c r="D59" t="str">
        <f t="shared" ca="1" si="8"/>
        <v xml:space="preserve">Robalo, A. e Gouveia, L. </v>
      </c>
      <c r="E59" t="str">
        <f t="shared" ca="1" si="1"/>
        <v>2015</v>
      </c>
      <c r="F59" t="str">
        <f t="shared" ca="1" si="2"/>
        <v xml:space="preserve"> *O contributo da Mediateca do Huambo na 
promoção de competências TIC para professores*. </v>
      </c>
      <c r="G59" s="3">
        <f t="shared" ca="1" si="3"/>
        <v>31</v>
      </c>
      <c r="H59" s="2">
        <f t="shared" ca="1" si="4"/>
        <v>121</v>
      </c>
      <c r="I59" t="str">
        <f t="shared" ca="1" si="5"/>
        <v xml:space="preserve"> Gabinete de Relações 
Internacionais e Apoio ao Desenvolvimento Institucional (2015).</v>
      </c>
      <c r="J59" s="3">
        <f t="shared" ca="1" si="9"/>
        <v>207</v>
      </c>
      <c r="K59" t="str">
        <f t="shared" ca="1" si="6"/>
        <v xml:space="preserve">Robalo, A. e Gouveia, L. </v>
      </c>
      <c r="L59" t="str">
        <f t="shared" ca="1" si="7"/>
        <v xml:space="preserve">Quental, C. </v>
      </c>
    </row>
    <row r="60" spans="1:13" ht="15.75" customHeight="1">
      <c r="A60">
        <f ca="1">IFERROR(__xludf.DUMMYFUNCTION("""COMPUTED_VALUE"""),27)</f>
        <v>27</v>
      </c>
      <c r="B60" t="str">
        <f ca="1">IFERROR(__xludf.DUMMYFUNCTION("""COMPUTED_VALUE"""),"Martins, O. e Gouveia, L. (2015). *Bibliotecas académicas, lugar ou ponto 
de acesso?*  Gabinete de Relações Internacionais e Apoio ao Desenvolvimento 
Institucional (2015). Atas dos Dias da Investigação na UFP / Research Days 
Proceedings 2015. Universid"&amp;"ade Fernando Pessoa. Porto, pp 49-65. ISBN 
978-989-643-130-3
[ ebook ]")</f>
        <v>Martins, O. e Gouveia, L. (2015). *Bibliotecas académicas, lugar ou ponto 
de acesso?*  Gabinete de Relações Internacionais e Apoio ao Desenvolvimento 
Institucional (2015). Atas dos Dias da Investigação na UFP / Research Days 
Proceedings 2015. Universidade Fernando Pessoa. Porto, pp 49-65. ISBN 
978-989-643-130-3
[ ebook ]</v>
      </c>
      <c r="C60" s="2">
        <f t="shared" ca="1" si="0"/>
        <v>27</v>
      </c>
      <c r="D60" t="str">
        <f t="shared" ca="1" si="8"/>
        <v xml:space="preserve">Martins, O. e Gouveia, L. </v>
      </c>
      <c r="E60" t="str">
        <f t="shared" ca="1" si="1"/>
        <v>2015</v>
      </c>
      <c r="F60" t="str">
        <f t="shared" ca="1" si="2"/>
        <v xml:space="preserve"> *Bibliotecas académicas, lugar ou ponto 
de acesso?*  Gabinete de Relações Internacionais e Apoio ao Desenvolvimento 
Institucional (2015). </v>
      </c>
      <c r="G60" s="3">
        <f t="shared" ca="1" si="3"/>
        <v>32</v>
      </c>
      <c r="H60" s="2">
        <f t="shared" ca="1" si="4"/>
        <v>173</v>
      </c>
      <c r="I60" t="e">
        <f t="shared" ca="1" si="5"/>
        <v>#VALUE!</v>
      </c>
      <c r="J60" s="3" t="e">
        <f t="shared" ca="1" si="9"/>
        <v>#VALUE!</v>
      </c>
      <c r="K60" t="str">
        <f t="shared" ca="1" si="6"/>
        <v xml:space="preserve">Martins, O. e Gouveia, L. </v>
      </c>
      <c r="L60" t="str">
        <f t="shared" ca="1" si="7"/>
        <v xml:space="preserve">Quental, C. </v>
      </c>
    </row>
    <row r="61" spans="1:13" ht="15.75" customHeight="1">
      <c r="A61">
        <f ca="1">IFERROR(__xludf.DUMMYFUNCTION("""COMPUTED_VALUE"""),26)</f>
        <v>26</v>
      </c>
      <c r="B61" t="str">
        <f ca="1">IFERROR(__xludf.DUMMYFUNCTION("""COMPUTED_VALUE"""),"Alfredo, P. e Gouveia, L. (2015). *Contribuições para a discussão de um 
modelo de governo electrónico local para Angola*. Gabinete de Relações 
Internacionais e Apoio ao Desenvolvimento Institucional (2015). Atas dos 
Dias da Investigação na UFP / Resear"&amp;"ch Days Proceedings 2015. Universidade 
Fernando Pessoa. Porto, pp 66-84. ISBN 978-989-643-130-3
[ ebook ]")</f>
        <v>Alfredo, P. e Gouveia, L. (2015). *Contribuições para a discussão de um 
modelo de governo electrónico local para Angola*. Gabinete de Relações 
Internacionais e Apoio ao Desenvolvimento Institucional (2015). Atas dos 
Dias da Investigação na UFP / Research Days Proceedings 2015. Universidade 
Fernando Pessoa. Porto, pp 66-84. ISBN 978-989-643-130-3
[ ebook ]</v>
      </c>
      <c r="C61" s="2">
        <f t="shared" ca="1" si="0"/>
        <v>27</v>
      </c>
      <c r="D61" t="str">
        <f t="shared" ca="1" si="8"/>
        <v xml:space="preserve">Alfredo, P. e Gouveia, L. </v>
      </c>
      <c r="E61" t="str">
        <f t="shared" ca="1" si="1"/>
        <v>2015</v>
      </c>
      <c r="F61" t="str">
        <f t="shared" ca="1" si="2"/>
        <v xml:space="preserve"> *Contribuições para a discussão de um 
modelo de governo electrónico local para Angola*. </v>
      </c>
      <c r="G61" s="3">
        <f t="shared" ca="1" si="3"/>
        <v>32</v>
      </c>
      <c r="H61" s="2">
        <f t="shared" ca="1" si="4"/>
        <v>122</v>
      </c>
      <c r="I61" t="str">
        <f t="shared" ca="1" si="5"/>
        <v>Gabinete de Relações 
Internacionais e Apoio ao Desenvolvimento Institucional (2015).</v>
      </c>
      <c r="J61" s="3">
        <f t="shared" ca="1" si="9"/>
        <v>207</v>
      </c>
      <c r="K61" t="str">
        <f t="shared" ca="1" si="6"/>
        <v xml:space="preserve">Alfredo, P. e Gouveia, L. </v>
      </c>
      <c r="L61" t="str">
        <f t="shared" ca="1" si="7"/>
        <v xml:space="preserve">Quental, C. </v>
      </c>
    </row>
    <row r="62" spans="1:13" ht="15.75" customHeight="1">
      <c r="A62">
        <f ca="1">IFERROR(__xludf.DUMMYFUNCTION("""COMPUTED_VALUE"""),25)</f>
        <v>25</v>
      </c>
      <c r="B62" t="str">
        <f ca="1">IFERROR(__xludf.DUMMYFUNCTION("""COMPUTED_VALUE"""),"Abrantes, S. e Gouveia, L. (2015). *Um estudo empírico sobre a adopção de 
meios digitais para suporte à aprendizagem colaborativa*. Gabinete de 
Relações Internacionais e Apoio ao Desenvolvimento Institucional (2015). 
Atas dos Dias da Investigação na UF"&amp;"P / Research Days Proceedings 2015. 
Universidade Fernando Pessoa. Porto, pp 85-99. ISBN 978-989-643-130-3
[ ebook ]")</f>
        <v>Abrantes, S. e Gouveia, L. (2015). *Um estudo empírico sobre a adopção de 
meios digitais para suporte à aprendizagem colaborativa*. Gabinete de 
Relações Internacionais e Apoio ao Desenvolvimento Institucional (2015). 
Atas dos Dias da Investigação na UFP / Research Days Proceedings 2015. 
Universidade Fernando Pessoa. Porto, pp 85-99. ISBN 978-989-643-130-3
[ ebook ]</v>
      </c>
      <c r="C62" s="2">
        <f t="shared" ca="1" si="0"/>
        <v>28</v>
      </c>
      <c r="D62" t="str">
        <f t="shared" ca="1" si="8"/>
        <v xml:space="preserve">Abrantes, S. e Gouveia, L. </v>
      </c>
      <c r="E62" t="str">
        <f t="shared" ca="1" si="1"/>
        <v>2015</v>
      </c>
      <c r="F62" t="str">
        <f t="shared" ca="1" si="2"/>
        <v xml:space="preserve"> *Um estudo empírico sobre a adopção de 
meios digitais para suporte à aprendizagem colaborativa*. </v>
      </c>
      <c r="G62" s="3">
        <f t="shared" ca="1" si="3"/>
        <v>33</v>
      </c>
      <c r="H62" s="2">
        <f t="shared" ca="1" si="4"/>
        <v>132</v>
      </c>
      <c r="I62" t="str">
        <f t="shared" ca="1" si="5"/>
        <v>Gabinete de 
Relações Internacionais e Apoio ao Desenvolvimento Institucional (2015).</v>
      </c>
      <c r="J62" s="3">
        <f t="shared" ca="1" si="9"/>
        <v>217</v>
      </c>
      <c r="K62" t="str">
        <f t="shared" ca="1" si="6"/>
        <v xml:space="preserve">Abrantes, S. e Gouveia, L. </v>
      </c>
      <c r="L62" t="str">
        <f t="shared" ca="1" si="7"/>
        <v xml:space="preserve">Quental, C. </v>
      </c>
    </row>
    <row r="63" spans="1:13" ht="15.75" customHeight="1">
      <c r="A63">
        <f ca="1">IFERROR(__xludf.DUMMYFUNCTION("""COMPUTED_VALUE"""),24)</f>
        <v>24</v>
      </c>
      <c r="B63" t="str">
        <f ca="1">IFERROR(__xludf.DUMMYFUNCTION("""COMPUTED_VALUE"""),"Silva, P. and Gouveia, L. (2015). *The impact of digital in learning 
spaces: an analysis on the perspective of teachers in higher education*. 
Gabinete de Relações Internacionais e Apoio ao Desenvolvimento 
Institucional (2015). Atas dos Dias da Investig"&amp;"ação na UFP / Research Days 
Proceedings 2015. Universidade Fernando Pessoa. Porto, pp 100-108. ISBN 
978-989-643-130-
[ ebook ]")</f>
        <v>Silva, P. and Gouveia, L. (2015). *The impact of digital in learning 
spaces: an analysis on the perspective of teachers in higher education*. 
Gabinete de Relações Internacionais e Apoio ao Desenvolvimento 
Institucional (2015). Atas dos Dias da Investigação na UFP / Research Days 
Proceedings 2015. Universidade Fernando Pessoa. Porto, pp 100-108. ISBN 
978-989-643-130-
[ ebook ]</v>
      </c>
      <c r="C63" s="2">
        <f t="shared" ca="1" si="0"/>
        <v>27</v>
      </c>
      <c r="D63" t="str">
        <f t="shared" ca="1" si="8"/>
        <v xml:space="preserve">Silva, P. and Gouveia, L. </v>
      </c>
      <c r="E63" t="str">
        <f t="shared" ca="1" si="1"/>
        <v>2015</v>
      </c>
      <c r="F63" t="str">
        <f t="shared" ca="1" si="2"/>
        <v xml:space="preserve"> *The impact of digital in learning 
spaces: an analysis on the perspective of teachers in higher education*. </v>
      </c>
      <c r="G63" s="3">
        <f t="shared" ca="1" si="3"/>
        <v>32</v>
      </c>
      <c r="H63" s="2">
        <f t="shared" ca="1" si="4"/>
        <v>142</v>
      </c>
      <c r="I63" t="str">
        <f t="shared" ca="1" si="5"/>
        <v xml:space="preserve">
Gabinete de Relações Internacionais e Apoio ao Desenvolvimento 
Institucional (2015).</v>
      </c>
      <c r="J63" s="3">
        <f t="shared" ca="1" si="9"/>
        <v>228</v>
      </c>
      <c r="K63" t="str">
        <f t="shared" ca="1" si="6"/>
        <v xml:space="preserve">Silva, P. ; Gouveia, L. </v>
      </c>
      <c r="L63" t="str">
        <f t="shared" ca="1" si="7"/>
        <v xml:space="preserve">Quental, C. </v>
      </c>
      <c r="M63" t="str">
        <f ca="1">IFERROR(__xludf.DUMMYFUNCTION("""COMPUTED_VALUE""")," Gouveia, L. ")</f>
        <v xml:space="preserve"> Gouveia, L. </v>
      </c>
    </row>
    <row r="64" spans="1:13" ht="15.75" customHeight="1">
      <c r="A64">
        <f ca="1">IFERROR(__xludf.DUMMYFUNCTION("""COMPUTED_VALUE"""),23)</f>
        <v>23</v>
      </c>
      <c r="B64" t="str">
        <f ca="1">IFERROR(__xludf.DUMMYFUNCTION("""COMPUTED_VALUE"""),"Ferreira, A. e Gouveia, L. (2015). *O ensino e os novos sistemas de 
computação*. Gabinete de Relações Internacionais e Apoio ao Desenvolvimento 
Institucional (2015). Atas dos Dias da Investigação na UFP / Research Days 
Proceedings 2015. Universidade Fe"&amp;"rnando Pessoa. Porto, pp 109-111. ISBN 
978-989-643-130-3
[ ebook ]")</f>
        <v>Ferreira, A. e Gouveia, L. (2015). *O ensino e os novos sistemas de 
computação*. Gabinete de Relações Internacionais e Apoio ao Desenvolvimento 
Institucional (2015). Atas dos Dias da Investigação na UFP / Research Days 
Proceedings 2015. Universidade Fernando Pessoa. Porto, pp 109-111. ISBN 
978-989-643-130-3
[ ebook ]</v>
      </c>
      <c r="C64" s="2">
        <f t="shared" ca="1" si="0"/>
        <v>28</v>
      </c>
      <c r="D64" t="str">
        <f t="shared" ca="1" si="8"/>
        <v xml:space="preserve">Ferreira, A. e Gouveia, L. </v>
      </c>
      <c r="E64" t="str">
        <f t="shared" ca="1" si="1"/>
        <v>2015</v>
      </c>
      <c r="F64" t="str">
        <f t="shared" ca="1" si="2"/>
        <v xml:space="preserve"> *O ensino e os novos sistemas de 
computação*. </v>
      </c>
      <c r="G64" s="3">
        <f t="shared" ca="1" si="3"/>
        <v>33</v>
      </c>
      <c r="H64" s="2">
        <f t="shared" ca="1" si="4"/>
        <v>81</v>
      </c>
      <c r="I64" t="str">
        <f t="shared" ca="1" si="5"/>
        <v>Gabinete de Relações Internacionais e Apoio ao Desenvolvimento 
Institucional (2015).</v>
      </c>
      <c r="J64" s="3">
        <f t="shared" ca="1" si="9"/>
        <v>166</v>
      </c>
      <c r="K64" t="str">
        <f t="shared" ca="1" si="6"/>
        <v xml:space="preserve">Ferreira, A. e Gouveia, L. </v>
      </c>
      <c r="L64" t="str">
        <f t="shared" ca="1" si="7"/>
        <v xml:space="preserve">Quental, C. </v>
      </c>
    </row>
    <row r="65" spans="1:14" ht="15.75" customHeight="1">
      <c r="A65">
        <f ca="1">IFERROR(__xludf.DUMMYFUNCTION("""COMPUTED_VALUE"""),22)</f>
        <v>22</v>
      </c>
      <c r="B65" t="str">
        <f ca="1">IFERROR(__xludf.DUMMYFUNCTION("""COMPUTED_VALUE"""),"Gouveia, L. (2015). Uma reflexão sobre o digital e o impacte no trabalho. 
Lugares de trabalho, Espaços de Aprendizagem. Ferreira, C.; Castro, K. e 
Coimbra, J. (editores). (2015). A relevância da formação para o trabalho. 
Porto: IEFP. Instituto Emprego "&amp;"e Formação Profissional. Delegação Regional 
do Norte. ISBN 978-989-638-056-4, pp 151-160.
[ paper ]")</f>
        <v>Gouveia, L. (2015). Uma reflexão sobre o digital e o impacte no trabalho. 
Lugares de trabalho, Espaços de Aprendizagem. Ferreira, C.; Castro, K. e 
Coimbra, J. (editores). (2015). A relevância da formação para o trabalho. 
Porto: IEFP. Instituto Emprego e Formação Profissional. Delegação Regional 
do Norte. ISBN 978-989-638-056-4, pp 151-160.
[ paper ]</v>
      </c>
      <c r="C65" s="2">
        <f t="shared" ca="1" si="0"/>
        <v>13</v>
      </c>
      <c r="D65" t="str">
        <f t="shared" ca="1" si="8"/>
        <v xml:space="preserve">Gouveia, L. </v>
      </c>
      <c r="E65" t="str">
        <f t="shared" ca="1" si="1"/>
        <v>2015</v>
      </c>
      <c r="F65" t="str">
        <f t="shared" ca="1" si="2"/>
        <v xml:space="preserve"> Uma reflexão sobre o digital e o impacte no trabalho. </v>
      </c>
      <c r="G65" s="3">
        <f t="shared" ca="1" si="3"/>
        <v>18</v>
      </c>
      <c r="H65" s="2">
        <f t="shared" ca="1" si="4"/>
        <v>73</v>
      </c>
      <c r="I65" t="str">
        <f t="shared" ca="1" si="5"/>
        <v xml:space="preserve">
Lugares de trabalho, Espaços de Aprendizagem. Ferreira, C.; Castro, K. e 
Coimbra, J. (editores).</v>
      </c>
      <c r="J65" s="3">
        <f t="shared" ca="1" si="9"/>
        <v>171</v>
      </c>
      <c r="K65" t="str">
        <f t="shared" ca="1" si="6"/>
        <v xml:space="preserve">Gouveia, L. </v>
      </c>
      <c r="L65" t="str">
        <f t="shared" ca="1" si="7"/>
        <v xml:space="preserve">Quental, C. </v>
      </c>
    </row>
    <row r="66" spans="1:14" ht="15.75" customHeight="1">
      <c r="A66">
        <f ca="1">IFERROR(__xludf.DUMMYFUNCTION("""COMPUTED_VALUE"""),21)</f>
        <v>21</v>
      </c>
      <c r="B66" t="str">
        <f ca="1">IFERROR(__xludf.DUMMYFUNCTION("""COMPUTED_VALUE"""),"Gouveia, L. (2013). *O Digital e as Redes como mecanismos de inovação na 
participação pública*. in Lira, S.; Ramos, C. e Leão, I. (2012). De Re 
Publica: Ensaios em torno da ideia republicana. Edições Universidade 
Fernando Pessoa, pp 305-330. ISBN: 9789"&amp;"896430955.")</f>
        <v>Gouveia, L. (2013). *O Digital e as Redes como mecanismos de inovação na 
participação pública*. in Lira, S.; Ramos, C. e Leão, I. (2012). De Re 
Publica: Ensaios em torno da ideia republicana. Edições Universidade 
Fernando Pessoa, pp 305-330. ISBN: 9789896430955.</v>
      </c>
      <c r="C66" s="2">
        <f t="shared" ca="1" si="0"/>
        <v>13</v>
      </c>
      <c r="D66" t="str">
        <f t="shared" ca="1" si="8"/>
        <v xml:space="preserve">Gouveia, L. </v>
      </c>
      <c r="E66" t="str">
        <f t="shared" ca="1" si="1"/>
        <v>2013</v>
      </c>
      <c r="F66" t="str">
        <f t="shared" ca="1" si="2"/>
        <v xml:space="preserve"> *O Digital e as Redes como mecanismos de inovação na 
participação pública*. </v>
      </c>
      <c r="G66" s="3">
        <f t="shared" ca="1" si="3"/>
        <v>18</v>
      </c>
      <c r="H66" s="2">
        <f t="shared" ca="1" si="4"/>
        <v>96</v>
      </c>
      <c r="I66" t="str">
        <f t="shared" ca="1" si="5"/>
        <v>in Lira, S.; Ramos, C. e Leão, I. (2012).</v>
      </c>
      <c r="J66" s="3">
        <f t="shared" ca="1" si="9"/>
        <v>137</v>
      </c>
      <c r="K66" t="str">
        <f t="shared" ca="1" si="6"/>
        <v xml:space="preserve">Gouveia, L. </v>
      </c>
      <c r="L66" t="str">
        <f t="shared" ca="1" si="7"/>
        <v xml:space="preserve">Quental, C. </v>
      </c>
    </row>
    <row r="67" spans="1:14" ht="15.75" customHeight="1">
      <c r="A67">
        <f ca="1">IFERROR(__xludf.DUMMYFUNCTION("""COMPUTED_VALUE"""),20)</f>
        <v>20</v>
      </c>
      <c r="B67" t="str">
        <f ca="1">IFERROR(__xludf.DUMMYFUNCTION("""COMPUTED_VALUE"""),"Gouveia, L. (2012). *Tecnologias de Informação Documental: impacte do 
Digital i*n Freitas, J.; Gouveia, L. e Regedor, A. (2012). Ciência da 
Informação. Contributos para o seu estudo. Porto: Edições Universidade 
Fernando Pessoa, pp 41-69. ISBN: 978-989-"&amp;"643-090-0.")</f>
        <v>Gouveia, L. (2012). *Tecnologias de Informação Documental: impacte do 
Digital i*n Freitas, J.; Gouveia, L. e Regedor, A. (2012). Ciência da 
Informação. Contributos para o seu estudo. Porto: Edições Universidade 
Fernando Pessoa, pp 41-69. ISBN: 978-989-643-090-0.</v>
      </c>
      <c r="C67" s="2">
        <f t="shared" ca="1" si="0"/>
        <v>13</v>
      </c>
      <c r="D67" t="str">
        <f t="shared" ca="1" si="8"/>
        <v xml:space="preserve">Gouveia, L. </v>
      </c>
      <c r="E67" t="str">
        <f t="shared" ca="1" si="1"/>
        <v>2012</v>
      </c>
      <c r="F67" t="str">
        <f t="shared" ca="1" si="2"/>
        <v xml:space="preserve"> *Tecnologias de Informação Documental: impacte do 
Digital i*n Freitas, J.;</v>
      </c>
      <c r="G67" s="3">
        <f t="shared" ca="1" si="3"/>
        <v>18</v>
      </c>
      <c r="H67" s="2">
        <f t="shared" ca="1" si="4"/>
        <v>94</v>
      </c>
      <c r="I67" t="str">
        <f t="shared" ca="1" si="5"/>
        <v xml:space="preserve"> Gouveia, L. e Regedor, A. (2012).</v>
      </c>
      <c r="J67" s="3">
        <f t="shared" ca="1" si="9"/>
        <v>128</v>
      </c>
      <c r="K67" t="str">
        <f t="shared" ca="1" si="6"/>
        <v xml:space="preserve">Gouveia, L. </v>
      </c>
      <c r="L67" t="str">
        <f t="shared" ca="1" si="7"/>
        <v xml:space="preserve">Quental, C. </v>
      </c>
    </row>
    <row r="68" spans="1:14" ht="15.75" customHeight="1">
      <c r="A68">
        <f ca="1">IFERROR(__xludf.DUMMYFUNCTION("""COMPUTED_VALUE"""),19)</f>
        <v>19</v>
      </c>
      <c r="B68" t="str">
        <f ca="1">IFERROR(__xludf.DUMMYFUNCTION("""COMPUTED_VALUE"""),"Abrantes, S. e Gouveia, L. (2009). *A experiência do fluxo no uso de jogos 
para suporte à aprendizagem de Matemática no Ensino Básico*. In  Dias, P.; 
Osório, A. e Ramos, A. (orgs) (2009). O Digital e o Currículo. Universidade 
do Minho Centro de Competê"&amp;"ncia, Maio, pp 63-81. ISBN 978-972-98456-4-2.")</f>
        <v>Abrantes, S. e Gouveia, L. (2009). *A experiência do fluxo no uso de jogos 
para suporte à aprendizagem de Matemática no Ensino Básico*. In  Dias, P.; 
Osório, A. e Ramos, A. (orgs) (2009). O Digital e o Currículo. Universidade 
do Minho Centro de Competência, Maio, pp 63-81. ISBN 978-972-98456-4-2.</v>
      </c>
      <c r="C68" s="2">
        <f t="shared" ca="1" si="0"/>
        <v>28</v>
      </c>
      <c r="D68" t="str">
        <f t="shared" ca="1" si="8"/>
        <v xml:space="preserve">Abrantes, S. e Gouveia, L. </v>
      </c>
      <c r="E68" t="str">
        <f t="shared" ca="1" si="1"/>
        <v>2009</v>
      </c>
      <c r="F68" t="str">
        <f t="shared" ca="1" si="2"/>
        <v xml:space="preserve"> *A experiência do fluxo no uso de jogos 
para suporte à aprendizagem de Matemática no Ensino Básico*. </v>
      </c>
      <c r="G68" s="3">
        <f t="shared" ca="1" si="3"/>
        <v>33</v>
      </c>
      <c r="H68" s="2">
        <f t="shared" ca="1" si="4"/>
        <v>136</v>
      </c>
      <c r="I68" t="str">
        <f t="shared" ca="1" si="5"/>
        <v>In  Dias, P.; 
Osório, A. e Ramos, A. (orgs) (2009).</v>
      </c>
      <c r="J68" s="3">
        <f t="shared" ca="1" si="9"/>
        <v>188</v>
      </c>
      <c r="K68" t="str">
        <f t="shared" ca="1" si="6"/>
        <v xml:space="preserve">Abrantes, S. e Gouveia, L. </v>
      </c>
      <c r="L68" t="str">
        <f t="shared" ca="1" si="7"/>
        <v xml:space="preserve">Quental, C. </v>
      </c>
    </row>
    <row r="69" spans="1:14" ht="15.75" customHeight="1">
      <c r="A69">
        <f ca="1">IFERROR(__xludf.DUMMYFUNCTION("""COMPUTED_VALUE"""),18)</f>
        <v>18</v>
      </c>
      <c r="B69" t="str">
        <f ca="1">IFERROR(__xludf.DUMMYFUNCTION("""COMPUTED_VALUE"""),"Gouveia, L. (2008). *As TIC e o  E-Business como alavanca dos Processos de 
Negócio*. In Vários autores. (2008). Empresas 2.0. A Tecnologia como 
Suporte à Gestão do Futuro. AEP. Porto. Parte V, Capítulo 12, pp 245-271. 
ISBN: 978-972-8702-33-5.
artigo [ "&amp;"pdf (62KB) ] | ebook completo [ pdf (5,52MB) ]")</f>
        <v>Gouveia, L. (2008). *As TIC e o  E-Business como alavanca dos Processos de 
Negócio*. In Vários autores. (2008). Empresas 2.0. A Tecnologia como 
Suporte à Gestão do Futuro. AEP. Porto. Parte V, Capítulo 12, pp 245-271. 
ISBN: 978-972-8702-33-5.
artigo [ pdf (62KB) ] | ebook completo [ pdf (5,52MB) ]</v>
      </c>
      <c r="C69" s="2">
        <f t="shared" ca="1" si="0"/>
        <v>13</v>
      </c>
      <c r="D69" t="str">
        <f t="shared" ca="1" si="8"/>
        <v xml:space="preserve">Gouveia, L. </v>
      </c>
      <c r="E69" t="str">
        <f t="shared" ca="1" si="1"/>
        <v>2008</v>
      </c>
      <c r="F69" t="str">
        <f t="shared" ca="1" si="2"/>
        <v xml:space="preserve"> *As TIC e o  E-Business como alavanca dos Processos de 
Negócio*. </v>
      </c>
      <c r="G69" s="3">
        <f t="shared" ca="1" si="3"/>
        <v>18</v>
      </c>
      <c r="H69" s="2">
        <f t="shared" ca="1" si="4"/>
        <v>85</v>
      </c>
      <c r="I69" t="str">
        <f t="shared" ca="1" si="5"/>
        <v>In Vários autores. (2008).</v>
      </c>
      <c r="J69" s="3">
        <f t="shared" ca="1" si="9"/>
        <v>111</v>
      </c>
      <c r="K69" t="str">
        <f t="shared" ca="1" si="6"/>
        <v xml:space="preserve">Gouveia, L. </v>
      </c>
      <c r="L69" t="str">
        <f t="shared" ca="1" si="7"/>
        <v xml:space="preserve">Quental, C. </v>
      </c>
    </row>
    <row r="70" spans="1:14" ht="15.75" customHeight="1">
      <c r="A70">
        <f ca="1">IFERROR(__xludf.DUMMYFUNCTION("""COMPUTED_VALUE"""),17)</f>
        <v>17</v>
      </c>
      <c r="B70" t="str">
        <f ca="1">IFERROR(__xludf.DUMMYFUNCTION("""COMPUTED_VALUE"""),"Gouveia, L. (2006). *A Gestão da Informação: um ensaio sobre a sua 
relevância no contexto organizacional*. In CXO (2006). Information 
Lifecycle Management. Criar a empresa centrada Informação. Biblioteca de 
Gestão &amp; TI. CXO Media. DL nº 250834, pp 174-"&amp;"180.
texto [ pdf (36KB) ]")</f>
        <v>Gouveia, L. (2006). *A Gestão da Informação: um ensaio sobre a sua 
relevância no contexto organizacional*. In CXO (2006). Information 
Lifecycle Management. Criar a empresa centrada Informação. Biblioteca de 
Gestão &amp; TI. CXO Media. DL nº 250834, pp 174-180.
texto [ pdf (36KB) ]</v>
      </c>
      <c r="C70" s="2">
        <f t="shared" ca="1" si="0"/>
        <v>13</v>
      </c>
      <c r="D70" t="str">
        <f t="shared" ca="1" si="8"/>
        <v xml:space="preserve">Gouveia, L. </v>
      </c>
      <c r="E70" t="str">
        <f t="shared" ca="1" si="1"/>
        <v>2006</v>
      </c>
      <c r="F70" t="str">
        <f t="shared" ca="1" si="2"/>
        <v xml:space="preserve"> *A Gestão da Informação: um ensaio sobre a sua 
relevância no contexto organizacional*. </v>
      </c>
      <c r="G70" s="3">
        <f t="shared" ca="1" si="3"/>
        <v>18</v>
      </c>
      <c r="H70" s="2">
        <f t="shared" ca="1" si="4"/>
        <v>107</v>
      </c>
      <c r="I70" t="str">
        <f t="shared" ca="1" si="5"/>
        <v>In CXO (2006).</v>
      </c>
      <c r="J70" s="3">
        <f t="shared" ca="1" si="9"/>
        <v>121</v>
      </c>
      <c r="K70" t="str">
        <f t="shared" ca="1" si="6"/>
        <v xml:space="preserve">Gouveia, L. </v>
      </c>
      <c r="L70" t="str">
        <f t="shared" ca="1" si="7"/>
        <v xml:space="preserve">Quental, C. </v>
      </c>
    </row>
    <row r="71" spans="1:14" ht="15.75" customHeight="1">
      <c r="A71">
        <f ca="1">IFERROR(__xludf.DUMMYFUNCTION("""COMPUTED_VALUE"""),16)</f>
        <v>16</v>
      </c>
      <c r="B71" t="str">
        <f ca="1">IFERROR(__xludf.DUMMYFUNCTION("""COMPUTED_VALUE"""),"Xavier, J. e Gouveia, L. e Gouveia, J. (2004). *Cidades e Regiões 
Inteligentes – uma reflexão sobre o caso português*. In Gouveia, L. e Gaio, 
S. (orgs). Sociedade da Informação: balanço e implicações. Junho de 2004. 
Edições Universidade Fernando Pessoa"&amp;". ISBN 972-8830-18-1, pp 23-29.")</f>
        <v>Xavier, J. e Gouveia, L. e Gouveia, J. (2004). *Cidades e Regiões 
Inteligentes – uma reflexão sobre o caso português*. In Gouveia, L. e Gaio, 
S. (orgs). Sociedade da Informação: balanço e implicações. Junho de 2004. 
Edições Universidade Fernando Pessoa. ISBN 972-8830-18-1, pp 23-29.</v>
      </c>
      <c r="C71" s="2">
        <f t="shared" ca="1" si="0"/>
        <v>40</v>
      </c>
      <c r="D71" t="str">
        <f t="shared" ca="1" si="8"/>
        <v xml:space="preserve">Xavier, J. e Gouveia, L. e Gouveia, J. </v>
      </c>
      <c r="E71" t="str">
        <f t="shared" ca="1" si="1"/>
        <v>2004</v>
      </c>
      <c r="F71" t="str">
        <f t="shared" ca="1" si="2"/>
        <v xml:space="preserve"> *Cidades e Regiões 
Inteligentes – uma reflexão sobre o caso português*. </v>
      </c>
      <c r="G71" s="3">
        <f t="shared" ca="1" si="3"/>
        <v>45</v>
      </c>
      <c r="H71" s="2">
        <f t="shared" ca="1" si="4"/>
        <v>119</v>
      </c>
      <c r="I71" t="str">
        <f t="shared" ca="1" si="5"/>
        <v>In Gouveia, L. e Gaio, 
S. (orgs).</v>
      </c>
      <c r="J71" s="3">
        <f t="shared" ca="1" si="9"/>
        <v>153</v>
      </c>
      <c r="K71" t="str">
        <f t="shared" ca="1" si="6"/>
        <v xml:space="preserve">Xavier, J. e Gouveia, L. e Gouveia, J. </v>
      </c>
      <c r="L71" t="str">
        <f t="shared" ca="1" si="7"/>
        <v xml:space="preserve">Quental, C. </v>
      </c>
    </row>
    <row r="72" spans="1:14" ht="15.75" customHeight="1">
      <c r="A72">
        <f ca="1">IFERROR(__xludf.DUMMYFUNCTION("""COMPUTED_VALUE"""),15)</f>
        <v>15</v>
      </c>
      <c r="B72" t="str">
        <f ca="1">IFERROR(__xludf.DUMMYFUNCTION("""COMPUTED_VALUE"""),"Rurato, P. e Gouveia, L. e Gouveia, J. (2004) *Educação de Adultos e Ensino 
à Distância: A Importância de conhecer as Características Individuais dos 
Adultos Aprendizes à Distância.* In Gouveia, L. e Gaio, S. (orgs). 
Sociedade da Informação: balanço e "&amp;"implicações. Junho de 2004. Edições 
Universidade Fernando Pessoa. ISBN 972-8830-18-1, pp 143-148.")</f>
        <v>Rurato, P. e Gouveia, L. e Gouveia, J. (2004) *Educação de Adultos e Ensino 
à Distância: A Importância de conhecer as Características Individuais dos 
Adultos Aprendizes à Distância.* In Gouveia, L. e Gaio, S. (orgs). 
Sociedade da Informação: balanço e implicações. Junho de 2004. Edições 
Universidade Fernando Pessoa. ISBN 972-8830-18-1, pp 143-148.</v>
      </c>
      <c r="C72" s="2">
        <f t="shared" ca="1" si="0"/>
        <v>40</v>
      </c>
      <c r="D72" t="str">
        <f t="shared" ca="1" si="8"/>
        <v xml:space="preserve">Rurato, P. e Gouveia, L. e Gouveia, J. </v>
      </c>
      <c r="E72" t="str">
        <f t="shared" ca="1" si="1"/>
        <v>2004</v>
      </c>
      <c r="F72" t="str">
        <f t="shared" ca="1" si="2"/>
        <v xml:space="preserve"> 
Sociedade da Informação: balanço e implicações. </v>
      </c>
      <c r="G72" s="3">
        <f t="shared" ca="1" si="3"/>
        <v>217</v>
      </c>
      <c r="H72" s="2">
        <f t="shared" ca="1" si="4"/>
        <v>267</v>
      </c>
      <c r="I72" t="e">
        <f t="shared" ca="1" si="5"/>
        <v>#VALUE!</v>
      </c>
      <c r="J72" s="3" t="e">
        <f t="shared" ca="1" si="9"/>
        <v>#VALUE!</v>
      </c>
      <c r="K72" t="str">
        <f t="shared" ca="1" si="6"/>
        <v xml:space="preserve">Rurato, P. e Gouveia, L. e Gouveia, J. </v>
      </c>
      <c r="L72" t="str">
        <f t="shared" ca="1" si="7"/>
        <v xml:space="preserve">Quental, C. </v>
      </c>
    </row>
    <row r="73" spans="1:14" ht="15.75" customHeight="1">
      <c r="A73">
        <f ca="1">IFERROR(__xludf.DUMMYFUNCTION("""COMPUTED_VALUE"""),14)</f>
        <v>14</v>
      </c>
      <c r="B73" t="str">
        <f ca="1">IFERROR(__xludf.DUMMYFUNCTION("""COMPUTED_VALUE"""),"Almeida, R. e Cerqueira, J. e Gouveia, L. (2004). *Gaia Global: 
Infra-estrutura Digital: Consolidação de Conceitos do Portal para o Cidadão*. 
In Gouveia, L. e Gaio, S. (orgs). Sociedade da Informação: balanço e 
implicações. Junho de 2004. Edições Unive"&amp;"rsidade Fernando Pessoa. ISBN 
972-8830-18-1, pp 87-104.")</f>
        <v>Almeida, R. e Cerqueira, J. e Gouveia, L. (2004). *Gaia Global: 
Infra-estrutura Digital: Consolidação de Conceitos do Portal para o Cidadão*. 
In Gouveia, L. e Gaio, S. (orgs). Sociedade da Informação: balanço e 
implicações. Junho de 2004. Edições Universidade Fernando Pessoa. ISBN 
972-8830-18-1, pp 87-104.</v>
      </c>
      <c r="C73" s="2">
        <f t="shared" ca="1" si="0"/>
        <v>43</v>
      </c>
      <c r="D73" t="str">
        <f t="shared" ca="1" si="8"/>
        <v xml:space="preserve">Almeida, R. e Cerqueira, J. e Gouveia, L. </v>
      </c>
      <c r="E73" t="str">
        <f t="shared" ca="1" si="1"/>
        <v>2004</v>
      </c>
      <c r="F73" t="str">
        <f t="shared" ca="1" si="2"/>
        <v xml:space="preserve"> *Gaia Global: 
Infra-estrutura Digital: Consolidação de Conceitos do Portal para o Cidadão*. </v>
      </c>
      <c r="G73" s="3">
        <f t="shared" ca="1" si="3"/>
        <v>48</v>
      </c>
      <c r="H73" s="2">
        <f t="shared" ca="1" si="4"/>
        <v>142</v>
      </c>
      <c r="I73" t="str">
        <f t="shared" ca="1" si="5"/>
        <v xml:space="preserve">
In Gouveia, L. e Gaio, S. (orgs).</v>
      </c>
      <c r="J73" s="3">
        <f t="shared" ca="1" si="9"/>
        <v>176</v>
      </c>
      <c r="K73" t="str">
        <f t="shared" ca="1" si="6"/>
        <v xml:space="preserve">Almeida, R. e Cerqueira, J. e Gouveia, L. </v>
      </c>
      <c r="L73" t="str">
        <f t="shared" ca="1" si="7"/>
        <v xml:space="preserve">Quental, C. </v>
      </c>
    </row>
    <row r="74" spans="1:14" ht="15.75" customHeight="1">
      <c r="A74">
        <f ca="1">IFERROR(__xludf.DUMMYFUNCTION("""COMPUTED_VALUE"""),13)</f>
        <v>13</v>
      </c>
      <c r="B74" t="str">
        <f ca="1">IFERROR(__xludf.DUMMYFUNCTION("""COMPUTED_VALUE"""),"Gouveia, L. e Gaio, S. (2004). *Introdução: balanço e implicações e 
Sociedade da Informação*. In Gouveia, L. e Gaio, S. (orgs). Sociedade da 
Informação: balanço e implicações. Junho de 2004. Edições Universidade 
Fernando Pessoa. ISBN 972-8830-18-1, pp "&amp;"15-17.")</f>
        <v>Gouveia, L. e Gaio, S. (2004). *Introdução: balanço e implicações e 
Sociedade da Informação*. In Gouveia, L. e Gaio, S. (orgs). Sociedade da 
Informação: balanço e implicações. Junho de 2004. Edições Universidade 
Fernando Pessoa. ISBN 972-8830-18-1, pp 15-17.</v>
      </c>
      <c r="C74" s="2">
        <f t="shared" ca="1" si="0"/>
        <v>24</v>
      </c>
      <c r="D74" t="str">
        <f t="shared" ca="1" si="8"/>
        <v xml:space="preserve">Gouveia, L. e Gaio, S. </v>
      </c>
      <c r="E74" t="str">
        <f t="shared" ca="1" si="1"/>
        <v>2004</v>
      </c>
      <c r="F74" t="str">
        <f t="shared" ca="1" si="2"/>
        <v xml:space="preserve"> *Introdução: balanço e implicações e 
Sociedade da Informação*. </v>
      </c>
      <c r="G74" s="3">
        <f t="shared" ca="1" si="3"/>
        <v>29</v>
      </c>
      <c r="H74" s="2">
        <f t="shared" ca="1" si="4"/>
        <v>94</v>
      </c>
      <c r="I74" t="str">
        <f t="shared" ca="1" si="5"/>
        <v>In Gouveia, L. e Gaio, S. (orgs).</v>
      </c>
      <c r="J74" s="3">
        <f t="shared" ca="1" si="9"/>
        <v>127</v>
      </c>
      <c r="K74" t="str">
        <f t="shared" ca="1" si="6"/>
        <v xml:space="preserve">Gouveia, L. e Gaio, S. </v>
      </c>
      <c r="L74" t="str">
        <f t="shared" ca="1" si="7"/>
        <v xml:space="preserve">Quental, C. </v>
      </c>
    </row>
    <row r="75" spans="1:14" ht="15.75" customHeight="1">
      <c r="A75">
        <f ca="1">IFERROR(__xludf.DUMMYFUNCTION("""COMPUTED_VALUE"""),12)</f>
        <v>12</v>
      </c>
      <c r="B75" t="str">
        <f ca="1">IFERROR(__xludf.DUMMYFUNCTION("""COMPUTED_VALUE"""),"Gouveia, L. and Gaio, S. (2004). *Introduction to information society* in 
Gouveia, L.and Gaio, S. (2004). Readings in Information Society. University 
Fernando Pessoa Press. March. ISBN 972-8830-14-9, pp 11-13.")</f>
        <v>Gouveia, L. and Gaio, S. (2004). *Introduction to information society* in 
Gouveia, L.and Gaio, S. (2004). Readings in Information Society. University 
Fernando Pessoa Press. March. ISBN 972-8830-14-9, pp 11-13.</v>
      </c>
      <c r="C75" s="2">
        <f t="shared" ca="1" si="0"/>
        <v>26</v>
      </c>
      <c r="D75" t="str">
        <f t="shared" ca="1" si="8"/>
        <v xml:space="preserve">Gouveia, L. and Gaio, S. </v>
      </c>
      <c r="E75" t="str">
        <f t="shared" ca="1" si="1"/>
        <v>2004</v>
      </c>
      <c r="F75" t="str">
        <f t="shared" ca="1" si="2"/>
        <v xml:space="preserve"> *Introduction to information society* in 
Gouveia, L.a</v>
      </c>
      <c r="G75" s="3">
        <f t="shared" ca="1" si="3"/>
        <v>31</v>
      </c>
      <c r="H75" s="2">
        <f t="shared" ca="1" si="4"/>
        <v>86</v>
      </c>
      <c r="I75" t="str">
        <f t="shared" ca="1" si="5"/>
        <v>nd Gaio, S. (2004).</v>
      </c>
      <c r="J75" s="3">
        <f t="shared" ca="1" si="9"/>
        <v>105</v>
      </c>
      <c r="K75" t="str">
        <f t="shared" ca="1" si="6"/>
        <v xml:space="preserve">Gouveia, L. ; Gaio, S. </v>
      </c>
      <c r="L75" t="str">
        <f t="shared" ca="1" si="7"/>
        <v xml:space="preserve">Quental, C. </v>
      </c>
      <c r="M75" t="str">
        <f ca="1">IFERROR(__xludf.DUMMYFUNCTION("""COMPUTED_VALUE""")," Gaio, S. ")</f>
        <v xml:space="preserve"> Gaio, S. </v>
      </c>
    </row>
    <row r="76" spans="1:14" ht="15.75" customHeight="1">
      <c r="A76">
        <f ca="1">IFERROR(__xludf.DUMMYFUNCTION("""COMPUTED_VALUE"""),11)</f>
        <v>11</v>
      </c>
      <c r="B76" t="str">
        <f ca="1">IFERROR(__xludf.DUMMYFUNCTION("""COMPUTED_VALUE"""),"Gouveia, L. and Xavier, J. and Gouveia, J.. (2004). *Gaia Global: a digital 
cities initiative* in Gouveia, L. and Gaio, S. (2004). Readings in 
Information Society. University Fernando Pessoa Press. March. ISBN 
972-8830-14-9, pp 17-37.")</f>
        <v>Gouveia, L. and Xavier, J. and Gouveia, J.. (2004). *Gaia Global: a digital 
cities initiative* in Gouveia, L. and Gaio, S. (2004). Readings in 
Information Society. University Fernando Pessoa Press. March. ISBN 
972-8830-14-9, pp 17-37.</v>
      </c>
      <c r="C76" s="2">
        <f t="shared" ca="1" si="0"/>
        <v>45</v>
      </c>
      <c r="D76" t="str">
        <f t="shared" ca="1" si="8"/>
        <v xml:space="preserve">Gouveia, L. and Xavier, J. and Gouveia, J.. </v>
      </c>
      <c r="E76" t="str">
        <f t="shared" ca="1" si="1"/>
        <v>2004</v>
      </c>
      <c r="F76" t="str">
        <f t="shared" ca="1" si="2"/>
        <v xml:space="preserve"> *Gaia Global: a digital 
cities initiative* in Gouveia, L. </v>
      </c>
      <c r="G76" s="3">
        <f t="shared" ca="1" si="3"/>
        <v>50</v>
      </c>
      <c r="H76" s="2">
        <f t="shared" ca="1" si="4"/>
        <v>110</v>
      </c>
      <c r="I76" t="str">
        <f t="shared" ca="1" si="5"/>
        <v>and Gaio, S. (2004).</v>
      </c>
      <c r="J76" s="3">
        <f t="shared" ca="1" si="9"/>
        <v>130</v>
      </c>
      <c r="K76" t="str">
        <f t="shared" ca="1" si="6"/>
        <v xml:space="preserve">Gouveia, L. ; Xavier, J. ; Gouveia, J.. </v>
      </c>
      <c r="L76" t="str">
        <f t="shared" ca="1" si="7"/>
        <v xml:space="preserve">Quental, C. </v>
      </c>
      <c r="M76" t="str">
        <f ca="1">IFERROR(__xludf.DUMMYFUNCTION("""COMPUTED_VALUE""")," Xavier, J. ")</f>
        <v xml:space="preserve"> Xavier, J. </v>
      </c>
      <c r="N76" t="str">
        <f ca="1">IFERROR(__xludf.DUMMYFUNCTION("""COMPUTED_VALUE""")," Gouveia, J.. ")</f>
        <v xml:space="preserve"> Gouveia, J.. </v>
      </c>
    </row>
    <row r="77" spans="1:14" ht="15.75" customHeight="1">
      <c r="A77">
        <f ca="1">IFERROR(__xludf.DUMMYFUNCTION("""COMPUTED_VALUE"""),10)</f>
        <v>10</v>
      </c>
      <c r="B77" t="str">
        <f ca="1">IFERROR(__xludf.DUMMYFUNCTION("""COMPUTED_VALUE"""),"Gouveia, L. (2004). *Why physical place for a digital oriented world* in 
Gouveia, L. and Gaio, S. (2004). Readings in Information Society. 
University Fernando Pessoa Press. March. ISBN 972-8830-14-9, pp 91-100.")</f>
        <v>Gouveia, L. (2004). *Why physical place for a digital oriented world* in 
Gouveia, L. and Gaio, S. (2004). Readings in Information Society. 
University Fernando Pessoa Press. March. ISBN 972-8830-14-9, pp 91-100.</v>
      </c>
      <c r="C77" s="2">
        <f t="shared" ca="1" si="0"/>
        <v>13</v>
      </c>
      <c r="D77" t="str">
        <f t="shared" ca="1" si="8"/>
        <v xml:space="preserve">Gouveia, L. </v>
      </c>
      <c r="E77" t="str">
        <f t="shared" ca="1" si="1"/>
        <v>2004</v>
      </c>
      <c r="F77" t="str">
        <f t="shared" ca="1" si="2"/>
        <v xml:space="preserve"> *Why physical place for a digital oriented world* in 
Gouveia, L. </v>
      </c>
      <c r="G77" s="3">
        <f t="shared" ca="1" si="3"/>
        <v>18</v>
      </c>
      <c r="H77" s="2">
        <f t="shared" ca="1" si="4"/>
        <v>85</v>
      </c>
      <c r="I77" t="str">
        <f t="shared" ca="1" si="5"/>
        <v>and Gaio, S. (2004).</v>
      </c>
      <c r="J77" s="3">
        <f t="shared" ca="1" si="9"/>
        <v>105</v>
      </c>
      <c r="K77" t="str">
        <f t="shared" ca="1" si="6"/>
        <v xml:space="preserve">Gouveia, L. </v>
      </c>
      <c r="L77" t="str">
        <f t="shared" ca="1" si="7"/>
        <v xml:space="preserve">Quental, C. </v>
      </c>
    </row>
    <row r="78" spans="1:14" ht="15.75" customHeight="1">
      <c r="A78">
        <f ca="1">IFERROR(__xludf.DUMMYFUNCTION("""COMPUTED_VALUE"""),9)</f>
        <v>9</v>
      </c>
      <c r="B78" t="str">
        <f ca="1">IFERROR(__xludf.DUMMYFUNCTION("""COMPUTED_VALUE"""),"Rurato, P. and Gouveia, L. and Gouveia, J. (2004). *Adult Education and 
Distance Learning: Issues, Barriers and Outcomes* in Gouveia, L. and Gaio, 
S. (2004). Readings in Information Society. University Fernando Pessoa 
Press. March, pp 133-141. ISBN 972"&amp;"-8830-14-9.")</f>
        <v>Rurato, P. and Gouveia, L. and Gouveia, J. (2004). *Adult Education and 
Distance Learning: Issues, Barriers and Outcomes* in Gouveia, L. and Gaio, 
S. (2004). Readings in Information Society. University Fernando Pessoa 
Press. March, pp 133-141. ISBN 972-8830-14-9.</v>
      </c>
      <c r="C78" s="2">
        <f t="shared" ca="1" si="0"/>
        <v>44</v>
      </c>
      <c r="D78" t="str">
        <f t="shared" ca="1" si="8"/>
        <v xml:space="preserve">Rurato, P. and Gouveia, L. and Gouveia, J. </v>
      </c>
      <c r="E78" t="str">
        <f t="shared" ca="1" si="1"/>
        <v>2004</v>
      </c>
      <c r="F78" t="str">
        <f t="shared" ca="1" si="2"/>
        <v xml:space="preserve"> *Adult Education and 
Distance Learning: Issues, Barriers and Outcomes* in Gouveia, L. </v>
      </c>
      <c r="G78" s="3">
        <f t="shared" ca="1" si="3"/>
        <v>49</v>
      </c>
      <c r="H78" s="2">
        <f t="shared" ca="1" si="4"/>
        <v>137</v>
      </c>
      <c r="I78" t="str">
        <f t="shared" ca="1" si="5"/>
        <v>and Gaio, 
S. (2004).</v>
      </c>
      <c r="J78" s="3">
        <f t="shared" ca="1" si="9"/>
        <v>158</v>
      </c>
      <c r="K78" t="str">
        <f t="shared" ca="1" si="6"/>
        <v xml:space="preserve">Rurato, P. ; Gouveia, L. ; Gouveia, J. </v>
      </c>
      <c r="L78" t="str">
        <f t="shared" ca="1" si="7"/>
        <v xml:space="preserve">Quental, C. </v>
      </c>
      <c r="M78" t="str">
        <f ca="1">IFERROR(__xludf.DUMMYFUNCTION("""COMPUTED_VALUE""")," Gouveia, L. ")</f>
        <v xml:space="preserve"> Gouveia, L. </v>
      </c>
      <c r="N78" t="str">
        <f ca="1">IFERROR(__xludf.DUMMYFUNCTION("""COMPUTED_VALUE""")," Gouveia, J. ")</f>
        <v xml:space="preserve"> Gouveia, J. </v>
      </c>
    </row>
    <row r="79" spans="1:14" ht="15.75" customHeight="1">
      <c r="A79">
        <f ca="1">IFERROR(__xludf.DUMMYFUNCTION("""COMPUTED_VALUE"""),8)</f>
        <v>8</v>
      </c>
      <c r="B79" t="str">
        <f ca="1">IFERROR(__xludf.DUMMYFUNCTION("""COMPUTED_VALUE"""),"Gouveia, L. (2003). *Cidades e Regiões Digitais: questões e desafios no 
digital*. In Gouveia, L.(organizador). (2003). Cidades e Regiões Digitais: 
impacte nas cidades e nas pessoas. Setembro de 2003. Edições Universidade 
Fernando Pessoa, pp 11-13. ISBN"&amp;": 972-8830-03-3")</f>
        <v>Gouveia, L. (2003). *Cidades e Regiões Digitais: questões e desafios no 
digital*. In Gouveia, L.(organizador). (2003). Cidades e Regiões Digitais: 
impacte nas cidades e nas pessoas. Setembro de 2003. Edições Universidade 
Fernando Pessoa, pp 11-13. ISBN: 972-8830-03-3</v>
      </c>
      <c r="C79" s="2">
        <f t="shared" ca="1" si="0"/>
        <v>13</v>
      </c>
      <c r="D79" t="str">
        <f t="shared" ca="1" si="8"/>
        <v xml:space="preserve">Gouveia, L. </v>
      </c>
      <c r="E79" t="str">
        <f t="shared" ca="1" si="1"/>
        <v>2003</v>
      </c>
      <c r="F79" t="str">
        <f t="shared" ca="1" si="2"/>
        <v xml:space="preserve"> *Cidades e Regiões Digitais: questões e desafios no 
digital*. </v>
      </c>
      <c r="G79" s="3">
        <f t="shared" ca="1" si="3"/>
        <v>18</v>
      </c>
      <c r="H79" s="2">
        <f t="shared" ca="1" si="4"/>
        <v>82</v>
      </c>
      <c r="I79" t="str">
        <f t="shared" ca="1" si="5"/>
        <v>In Gouveia, L.(organizador).</v>
      </c>
      <c r="J79" s="3">
        <f t="shared" ca="1" si="9"/>
        <v>110</v>
      </c>
      <c r="K79" t="str">
        <f t="shared" ca="1" si="6"/>
        <v xml:space="preserve">Gouveia, L. </v>
      </c>
      <c r="L79" t="str">
        <f t="shared" ca="1" si="7"/>
        <v xml:space="preserve">Quental, C. </v>
      </c>
    </row>
    <row r="80" spans="1:14" ht="15.75" customHeight="1">
      <c r="A80">
        <f ca="1">IFERROR(__xludf.DUMMYFUNCTION("""COMPUTED_VALUE"""),7)</f>
        <v>7</v>
      </c>
      <c r="B80" t="str">
        <f ca="1">IFERROR(__xludf.DUMMYFUNCTION("""COMPUTED_VALUE"""),"Xavier, J. e Gouveia, L. e Gouveia, J. (2003). G*aia Global - O Cidadão 
como umbigo da Cidade Digital*. In Gouveia, L. (org.) Cidades e Regiões 
Digitais: impacte nas cidades e nas pessoas. Setembro de 2003. Edições 
Universidade Fernando Pessoa, pp 135-"&amp;"155. ISBN: 972-8830-03-3")</f>
        <v>Xavier, J. e Gouveia, L. e Gouveia, J. (2003). G*aia Global - O Cidadão 
como umbigo da Cidade Digital*. In Gouveia, L. (org.) Cidades e Regiões 
Digitais: impacte nas cidades e nas pessoas. Setembro de 2003. Edições 
Universidade Fernando Pessoa, pp 135-155. ISBN: 972-8830-03-3</v>
      </c>
      <c r="C80" s="2">
        <f t="shared" ca="1" si="0"/>
        <v>40</v>
      </c>
      <c r="D80" t="str">
        <f t="shared" ca="1" si="8"/>
        <v xml:space="preserve">Xavier, J. e Gouveia, L. e Gouveia, J. </v>
      </c>
      <c r="E80" t="str">
        <f t="shared" ca="1" si="1"/>
        <v>2003</v>
      </c>
      <c r="F80" t="str">
        <f t="shared" ca="1" si="2"/>
        <v xml:space="preserve"> G*aia Global - O Cidadão 
como umbigo da Cidade Digital*. </v>
      </c>
      <c r="G80" s="3">
        <f t="shared" ca="1" si="3"/>
        <v>45</v>
      </c>
      <c r="H80" s="2">
        <f t="shared" ca="1" si="4"/>
        <v>104</v>
      </c>
      <c r="I80" t="e">
        <f t="shared" ca="1" si="5"/>
        <v>#VALUE!</v>
      </c>
      <c r="J80" s="3" t="e">
        <f t="shared" ca="1" si="9"/>
        <v>#VALUE!</v>
      </c>
      <c r="K80" t="str">
        <f t="shared" ca="1" si="6"/>
        <v xml:space="preserve">Xavier, J. e Gouveia, L. e Gouveia, J. </v>
      </c>
      <c r="L80" t="str">
        <f t="shared" ca="1" si="7"/>
        <v xml:space="preserve">Quental, C. </v>
      </c>
    </row>
    <row r="81" spans="1:14" ht="15.75" customHeight="1">
      <c r="A81">
        <f ca="1">IFERROR(__xludf.DUMMYFUNCTION("""COMPUTED_VALUE"""),6)</f>
        <v>6</v>
      </c>
      <c r="B81" t="str">
        <f ca="1">IFERROR(__xludf.DUMMYFUNCTION("""COMPUTED_VALUE"""),"Gouveia, L. e Gouveia, J. (2003), *Autarquias Digitais: promessas e 
desafios.* In Gouveia, L. (org.) Cidades e Regiões Digitais: impacte nas 
cidades e nas pessoas. Setembro de 2003. Edições Universidade Fernando 
Pessoa, pp 187-193. ISBN: 972-8830-03-3")</f>
        <v>Gouveia, L. e Gouveia, J. (2003), *Autarquias Digitais: promessas e 
desafios.* In Gouveia, L. (org.) Cidades e Regiões Digitais: impacte nas 
cidades e nas pessoas. Setembro de 2003. Edições Universidade Fernando 
Pessoa, pp 187-193. ISBN: 972-8830-03-3</v>
      </c>
      <c r="C81" s="2">
        <f t="shared" ca="1" si="0"/>
        <v>27</v>
      </c>
      <c r="D81" t="str">
        <f t="shared" ca="1" si="8"/>
        <v xml:space="preserve">Gouveia, L. e Gouveia, J. </v>
      </c>
      <c r="E81" t="str">
        <f t="shared" ca="1" si="1"/>
        <v>2003</v>
      </c>
      <c r="F81" t="e">
        <f t="shared" ca="1" si="2"/>
        <v>#VALUE!</v>
      </c>
      <c r="G81" s="3" t="e">
        <f t="shared" ca="1" si="3"/>
        <v>#VALUE!</v>
      </c>
      <c r="H81" s="2" t="e">
        <f t="shared" ca="1" si="4"/>
        <v>#VALUE!</v>
      </c>
      <c r="I81" t="e">
        <f t="shared" ca="1" si="5"/>
        <v>#VALUE!</v>
      </c>
      <c r="J81" s="3" t="e">
        <f t="shared" ca="1" si="9"/>
        <v>#VALUE!</v>
      </c>
      <c r="K81" t="str">
        <f t="shared" ca="1" si="6"/>
        <v xml:space="preserve">Gouveia, L. e Gouveia, J. </v>
      </c>
      <c r="L81" t="str">
        <f t="shared" ca="1" si="7"/>
        <v xml:space="preserve">Quental, C. </v>
      </c>
    </row>
    <row r="82" spans="1:14" ht="15.75" customHeight="1">
      <c r="A82">
        <f ca="1">IFERROR(__xludf.DUMMYFUNCTION("""COMPUTED_VALUE"""),5)</f>
        <v>5</v>
      </c>
      <c r="B82" t="str">
        <f ca="1">IFERROR(__xludf.DUMMYFUNCTION("""COMPUTED_VALUE"""),"Gouveia, L. and Gouveia, F. (2003). Virtual Environments and Kowledge 
Sharing. Tavares, L. and Pereira, M. (eds.) E-Portugal. Chapter 3: Sistemas 
e Processos, ACEP, pp 125-134.")</f>
        <v>Gouveia, L. and Gouveia, F. (2003). Virtual Environments and Kowledge 
Sharing. Tavares, L. and Pereira, M. (eds.) E-Portugal. Chapter 3: Sistemas 
e Processos, ACEP, pp 125-134.</v>
      </c>
      <c r="C82" s="2">
        <f t="shared" ca="1" si="0"/>
        <v>29</v>
      </c>
      <c r="D82" t="str">
        <f t="shared" ca="1" si="8"/>
        <v xml:space="preserve">Gouveia, L. and Gouveia, F. </v>
      </c>
      <c r="E82" t="str">
        <f t="shared" ca="1" si="1"/>
        <v>2003</v>
      </c>
      <c r="F82" t="str">
        <f t="shared" ca="1" si="2"/>
        <v xml:space="preserve"> Virtual Environments and Kowledge 
Sharing. </v>
      </c>
      <c r="G82" s="3">
        <f t="shared" ca="1" si="3"/>
        <v>34</v>
      </c>
      <c r="H82" s="2">
        <f t="shared" ca="1" si="4"/>
        <v>79</v>
      </c>
      <c r="I82" t="e">
        <f t="shared" ca="1" si="5"/>
        <v>#VALUE!</v>
      </c>
      <c r="J82" s="3" t="e">
        <f t="shared" ca="1" si="9"/>
        <v>#VALUE!</v>
      </c>
      <c r="K82" t="str">
        <f t="shared" ca="1" si="6"/>
        <v xml:space="preserve">Gouveia, L. ; Gouveia, F. </v>
      </c>
      <c r="L82" t="str">
        <f t="shared" ca="1" si="7"/>
        <v xml:space="preserve">Quental, C. </v>
      </c>
      <c r="M82" t="str">
        <f ca="1">IFERROR(__xludf.DUMMYFUNCTION("""COMPUTED_VALUE""")," Gouveia, F. ")</f>
        <v xml:space="preserve"> Gouveia, F. </v>
      </c>
    </row>
    <row r="83" spans="1:14" ht="15.75" customHeight="1">
      <c r="A83">
        <f ca="1">IFERROR(__xludf.DUMMYFUNCTION("""COMPUTED_VALUE"""),4)</f>
        <v>4</v>
      </c>
      <c r="B83" t="str">
        <f ca="1">IFERROR(__xludf.DUMMYFUNCTION("""COMPUTED_VALUE"""),"Lamas, D.; Gouveia, F. e Gouveia, L. (2001). *O Símbolo e a Interactividade 
no uso de computadores*. In Leão, I. (Org.). Actas do Congresso 
Internacional Literatura, Cinema e outras Artes. Edições Universidade 
Fernando Pessoa. ISBN 972-8184-64-6, pp 30"&amp;"3-310.
paper [ pdf (26KB) ]")</f>
        <v>Lamas, D.; Gouveia, F. e Gouveia, L. (2001). *O Símbolo e a Interactividade 
no uso de computadores*. In Leão, I. (Org.). Actas do Congresso 
Internacional Literatura, Cinema e outras Artes. Edições Universidade 
Fernando Pessoa. ISBN 972-8184-64-6, pp 303-310.
paper [ pdf (26KB) ]</v>
      </c>
      <c r="C83" s="2">
        <f t="shared" ca="1" si="0"/>
        <v>38</v>
      </c>
      <c r="D83" t="str">
        <f t="shared" ca="1" si="8"/>
        <v xml:space="preserve">Lamas, D.; Gouveia, F. e Gouveia, L. </v>
      </c>
      <c r="E83" t="str">
        <f t="shared" ca="1" si="1"/>
        <v>2001</v>
      </c>
      <c r="F83" t="str">
        <f t="shared" ca="1" si="2"/>
        <v xml:space="preserve"> *O Símbolo e a Interactividade 
no uso de computadores*. </v>
      </c>
      <c r="G83" s="3">
        <f t="shared" ca="1" si="3"/>
        <v>43</v>
      </c>
      <c r="H83" s="2">
        <f t="shared" ca="1" si="4"/>
        <v>101</v>
      </c>
      <c r="I83" t="str">
        <f t="shared" ca="1" si="5"/>
        <v>In Leão, I. (Org.).</v>
      </c>
      <c r="J83" s="3">
        <f t="shared" ca="1" si="9"/>
        <v>120</v>
      </c>
      <c r="K83" t="str">
        <f t="shared" ca="1" si="6"/>
        <v xml:space="preserve">Lamas, D.; Gouveia, F. e Gouveia, L. </v>
      </c>
      <c r="L83" t="str">
        <f t="shared" ca="1" si="7"/>
        <v xml:space="preserve">Quental, C. </v>
      </c>
      <c r="M83" t="str">
        <f ca="1">IFERROR(__xludf.DUMMYFUNCTION("""COMPUTED_VALUE""")," Gouveia, F. e Gouveia, L. ")</f>
        <v xml:space="preserve"> Gouveia, F. e Gouveia, L. </v>
      </c>
    </row>
    <row r="84" spans="1:14" ht="15.75" customHeight="1">
      <c r="A84">
        <f ca="1">IFERROR(__xludf.DUMMYFUNCTION("""COMPUTED_VALUE"""),3)</f>
        <v>3</v>
      </c>
      <c r="B84" t="str">
        <f ca="1">IFERROR(__xludf.DUMMYFUNCTION("""COMPUTED_VALUE"""),"Gouveia, L.; Gouveia, J. and Restivo, F. (2000) *EFTWeb: a working model to 
support Education, Learning and Training.* Valadares, L. and Pereira, M. 
(eds.). Nova Economia e Tecnologias de Informação: Desafios para Portugal, 
pp 400-410. Universidade Cat"&amp;"ólica Editora. ISBN 972-54-0019-4. 
paper [ pdf (47KB) an edited version of the CEPI´99 paper]")</f>
        <v>Gouveia, L.; Gouveia, J. and Restivo, F. (2000) *EFTWeb: a working model to 
support Education, Learning and Training.* Valadares, L. and Pereira, M. 
(eds.). Nova Economia e Tecnologias de Informação: Desafios para Portugal, 
pp 400-410. Universidade Católica Editora. ISBN 972-54-0019-4. 
paper [ pdf (47KB) an edited version of the CEPI´99 paper]</v>
      </c>
      <c r="C84" s="2">
        <f t="shared" ca="1" si="0"/>
        <v>42</v>
      </c>
      <c r="D84" t="str">
        <f t="shared" ca="1" si="8"/>
        <v xml:space="preserve">Gouveia, L.; Gouveia, J. and Restivo, F. </v>
      </c>
      <c r="E84" t="str">
        <f t="shared" ca="1" si="1"/>
        <v>2000</v>
      </c>
      <c r="F84" t="str">
        <f t="shared" ca="1" si="2"/>
        <v xml:space="preserve"> Nova Economia e Tecnologias de Informação: Desafios para Portugal, 
pp 400-410. </v>
      </c>
      <c r="G84" s="3">
        <f t="shared" ca="1" si="3"/>
        <v>157</v>
      </c>
      <c r="H84" s="2">
        <f t="shared" ca="1" si="4"/>
        <v>238</v>
      </c>
      <c r="I84" t="e">
        <f t="shared" ca="1" si="5"/>
        <v>#VALUE!</v>
      </c>
      <c r="J84" s="3" t="e">
        <f t="shared" ca="1" si="9"/>
        <v>#VALUE!</v>
      </c>
      <c r="K84" t="str">
        <f t="shared" ca="1" si="6"/>
        <v xml:space="preserve">Gouveia, L.; Gouveia, J. ; Restivo, F. </v>
      </c>
      <c r="L84" t="str">
        <f t="shared" ca="1" si="7"/>
        <v xml:space="preserve">Quental, C. </v>
      </c>
      <c r="M84" t="str">
        <f ca="1">IFERROR(__xludf.DUMMYFUNCTION("""COMPUTED_VALUE""")," Gouveia, J. ")</f>
        <v xml:space="preserve"> Gouveia, J. </v>
      </c>
      <c r="N84" t="str">
        <f ca="1">IFERROR(__xludf.DUMMYFUNCTION("""COMPUTED_VALUE""")," Restivo, F. ")</f>
        <v xml:space="preserve"> Restivo, F. </v>
      </c>
    </row>
    <row r="85" spans="1:14" ht="15.75" customHeight="1">
      <c r="A85">
        <f ca="1">IFERROR(__xludf.DUMMYFUNCTION("""COMPUTED_VALUE"""),2)</f>
        <v>2</v>
      </c>
      <c r="B85" t="str">
        <f ca="1">IFERROR(__xludf.DUMMYFUNCTION("""COMPUTED_VALUE"""),"Gouveia, L.; Gouveia, F. and Lamas, D. (2000). *Innovation in Business 
Processes: An experiment using CAIN.* Valadares, L. and Pereira, M. (eds.). 
Nova Economia e Tecnologias de Informação: Desafios para Portugal, pp 
368-377. Universidade Católica Edit"&amp;"ora.  ISBN 972-54-0019-4. 
paper [ pfd (48KB) an edited version of the CEPI´99 paper]")</f>
        <v>Gouveia, L.; Gouveia, F. and Lamas, D. (2000). *Innovation in Business 
Processes: An experiment using CAIN.* Valadares, L. and Pereira, M. (eds.). 
Nova Economia e Tecnologias de Informação: Desafios para Portugal, pp 
368-377. Universidade Católica Editora.  ISBN 972-54-0019-4. 
paper [ pfd (48KB) an edited version of the CEPI´99 paper]</v>
      </c>
      <c r="C85" s="2">
        <f t="shared" ca="1" si="0"/>
        <v>40</v>
      </c>
      <c r="D85" t="str">
        <f t="shared" ca="1" si="8"/>
        <v xml:space="preserve">Gouveia, L.; Gouveia, F. and Lamas, D. </v>
      </c>
      <c r="E85" t="str">
        <f t="shared" ca="1" si="1"/>
        <v>2000</v>
      </c>
      <c r="F85" t="str">
        <f t="shared" ca="1" si="2"/>
        <v xml:space="preserve"> *Innovation in Business 
Processes: An experiment using CAIN.*</v>
      </c>
      <c r="G85" s="3">
        <f t="shared" ca="1" si="3"/>
        <v>45</v>
      </c>
      <c r="H85" s="2">
        <f t="shared" ca="1" si="4"/>
        <v>108</v>
      </c>
      <c r="I85" t="str">
        <f t="shared" ca="1" si="5"/>
        <v xml:space="preserve"> Valadares, L. and Pereira, M. (eds.).</v>
      </c>
      <c r="J85" s="3">
        <f t="shared" ca="1" si="9"/>
        <v>146</v>
      </c>
      <c r="K85" t="str">
        <f t="shared" ca="1" si="6"/>
        <v xml:space="preserve">Gouveia, L.; Gouveia, F. ; Lamas, D. </v>
      </c>
      <c r="L85" t="str">
        <f t="shared" ca="1" si="7"/>
        <v xml:space="preserve">Quental, C. </v>
      </c>
      <c r="M85" t="str">
        <f ca="1">IFERROR(__xludf.DUMMYFUNCTION("""COMPUTED_VALUE""")," Gouveia, F. ")</f>
        <v xml:space="preserve"> Gouveia, F. </v>
      </c>
      <c r="N85" t="str">
        <f ca="1">IFERROR(__xludf.DUMMYFUNCTION("""COMPUTED_VALUE""")," Lamas, D. ")</f>
        <v xml:space="preserve"> Lamas, D. </v>
      </c>
    </row>
    <row r="86" spans="1:14" ht="15.75" customHeight="1">
      <c r="A86">
        <f ca="1">IFERROR(__xludf.DUMMYFUNCTION("""COMPUTED_VALUE"""),1)</f>
        <v>1</v>
      </c>
      <c r="B86" t="str">
        <f ca="1">IFERROR(__xludf.DUMMYFUNCTION("""COMPUTED_VALUE"""),"Gouveia, L. (1998). *Sociedade Digital: que oportunidades?*. Da Rosa, V. 
and Castillo, S. (eds.) Pós-Colonialismo e Identidade, UFP, Porto, pp 
181-189. Porto, Maio. ISBN 972-8184-30-1
texto [ HTML ]")</f>
        <v>Gouveia, L. (1998). *Sociedade Digital: que oportunidades?*. Da Rosa, V. 
and Castillo, S. (eds.) Pós-Colonialismo e Identidade, UFP, Porto, pp 
181-189. Porto, Maio. ISBN 972-8184-30-1
texto [ HTML ]</v>
      </c>
      <c r="C86" s="2">
        <f t="shared" ca="1" si="0"/>
        <v>13</v>
      </c>
      <c r="D86" t="str">
        <f t="shared" ca="1" si="8"/>
        <v xml:space="preserve">Gouveia, L. </v>
      </c>
      <c r="E86" t="str">
        <f t="shared" ca="1" si="1"/>
        <v>1998</v>
      </c>
      <c r="F86" t="str">
        <f t="shared" ca="1" si="2"/>
        <v xml:space="preserve"> *Sociedade Digital: que oportunidades?*. </v>
      </c>
      <c r="G86" s="3">
        <f t="shared" ca="1" si="3"/>
        <v>18</v>
      </c>
      <c r="H86" s="2">
        <f t="shared" ca="1" si="4"/>
        <v>60</v>
      </c>
      <c r="I86" t="e">
        <f t="shared" ca="1" si="5"/>
        <v>#VALUE!</v>
      </c>
      <c r="J86" s="3" t="e">
        <f t="shared" ca="1" si="9"/>
        <v>#VALUE!</v>
      </c>
      <c r="K86" t="str">
        <f t="shared" ca="1" si="6"/>
        <v xml:space="preserve">Gouveia, L. </v>
      </c>
      <c r="L86" t="str">
        <f t="shared" ca="1" si="7"/>
        <v xml:space="preserve">Quental, C. </v>
      </c>
    </row>
    <row r="87" spans="1:14" ht="15.75" customHeight="1">
      <c r="A87" t="str">
        <f ca="1">IFERROR(__xludf.DUMMYFUNCTION("""COMPUTED_VALUE"""),"[ top ]")</f>
        <v>[ top ]</v>
      </c>
      <c r="B87" t="str">
        <f ca="1">IFERROR(__xludf.DUMMYFUNCTION("""COMPUTED_VALUE"""),"Relatóriosacadémicos / Academic reports")</f>
        <v>Relatóriosacadémicos / Academic reports</v>
      </c>
      <c r="C87" s="2" t="e">
        <f t="shared" ca="1" si="0"/>
        <v>#VALUE!</v>
      </c>
      <c r="D87" t="e">
        <f t="shared" ca="1" si="8"/>
        <v>#VALUE!</v>
      </c>
      <c r="E87" t="e">
        <f t="shared" ca="1" si="1"/>
        <v>#VALUE!</v>
      </c>
      <c r="F87" t="e">
        <f t="shared" ca="1" si="2"/>
        <v>#VALUE!</v>
      </c>
      <c r="G87" s="3" t="e">
        <f t="shared" ca="1" si="3"/>
        <v>#VALUE!</v>
      </c>
      <c r="H87" s="2" t="e">
        <f t="shared" ca="1" si="4"/>
        <v>#VALUE!</v>
      </c>
      <c r="I87" t="e">
        <f t="shared" ca="1" si="5"/>
        <v>#VALUE!</v>
      </c>
      <c r="J87" s="3" t="e">
        <f t="shared" ca="1" si="9"/>
        <v>#VALUE!</v>
      </c>
      <c r="K87" t="e">
        <f t="shared" ca="1" si="6"/>
        <v>#VALUE!</v>
      </c>
      <c r="L87" t="str">
        <f t="shared" ca="1" si="7"/>
        <v xml:space="preserve">Quental, C. </v>
      </c>
    </row>
    <row r="88" spans="1:14" ht="15.75" customHeight="1">
      <c r="A88" t="str">
        <f ca="1">IFERROR(__xludf.DUMMYFUNCTION("""COMPUTED_VALUE"""),"_________")</f>
        <v>_________</v>
      </c>
      <c r="B88" t="str">
        <f ca="1">IFERROR(__xludf.DUMMYFUNCTION("""COMPUTED_VALUE"""),"teses e dissertações / thesis and dissertations")</f>
        <v>teses e dissertações / thesis and dissertations</v>
      </c>
      <c r="C88" s="2" t="e">
        <f t="shared" ca="1" si="0"/>
        <v>#VALUE!</v>
      </c>
      <c r="D88" t="e">
        <f t="shared" ca="1" si="8"/>
        <v>#VALUE!</v>
      </c>
      <c r="E88" t="e">
        <f t="shared" ca="1" si="1"/>
        <v>#VALUE!</v>
      </c>
      <c r="F88" t="e">
        <f t="shared" ca="1" si="2"/>
        <v>#VALUE!</v>
      </c>
      <c r="G88" s="3" t="e">
        <f t="shared" ca="1" si="3"/>
        <v>#VALUE!</v>
      </c>
      <c r="H88" s="2" t="e">
        <f t="shared" ca="1" si="4"/>
        <v>#VALUE!</v>
      </c>
      <c r="I88" t="e">
        <f t="shared" ca="1" si="5"/>
        <v>#VALUE!</v>
      </c>
      <c r="J88" s="3" t="e">
        <f t="shared" ca="1" si="9"/>
        <v>#VALUE!</v>
      </c>
      <c r="K88" t="e">
        <f t="shared" ca="1" si="6"/>
        <v>#VALUE!</v>
      </c>
      <c r="L88" t="str">
        <f t="shared" ca="1" si="7"/>
        <v xml:space="preserve">Quental, C. </v>
      </c>
    </row>
    <row r="89" spans="1:14" ht="15.75" customHeight="1">
      <c r="A89">
        <f ca="1">IFERROR(__xludf.DUMMYFUNCTION("""COMPUTED_VALUE"""),9)</f>
        <v>9</v>
      </c>
      <c r="B89" t="str">
        <f ca="1">IFERROR(__xludf.DUMMYFUNCTION("""COMPUTED_VALUE"""),"Gouveia, L. (2010). *Relatório Lição de Síntese: A Sociedade da Informação. 
implicações para o indivíduo e para a organização*. Apresentação no âmbito 
das provas públicas de Agregação em Engenharia e Gestão Industrial. 
Universidade de Aveiro, 17 de Jun"&amp;"ho.")</f>
        <v>Gouveia, L. (2010). *Relatório Lição de Síntese: A Sociedade da Informação. 
implicações para o indivíduo e para a organização*. Apresentação no âmbito 
das provas públicas de Agregação em Engenharia e Gestão Industrial. 
Universidade de Aveiro, 17 de Junho.</v>
      </c>
      <c r="C89" s="2">
        <f t="shared" ca="1" si="0"/>
        <v>13</v>
      </c>
      <c r="D89" t="str">
        <f t="shared" ca="1" si="8"/>
        <v xml:space="preserve">Gouveia, L. </v>
      </c>
      <c r="E89" t="str">
        <f t="shared" ca="1" si="1"/>
        <v>2010</v>
      </c>
      <c r="F89" t="str">
        <f t="shared" ca="1" si="2"/>
        <v xml:space="preserve"> *Relatório Lição de Síntese: A Sociedade da Informação. </v>
      </c>
      <c r="G89" s="3">
        <f t="shared" ca="1" si="3"/>
        <v>18</v>
      </c>
      <c r="H89" s="2">
        <f t="shared" ca="1" si="4"/>
        <v>75</v>
      </c>
      <c r="I89" t="e">
        <f t="shared" ca="1" si="5"/>
        <v>#VALUE!</v>
      </c>
      <c r="J89" s="3" t="e">
        <f t="shared" ca="1" si="9"/>
        <v>#VALUE!</v>
      </c>
      <c r="K89" t="str">
        <f t="shared" ca="1" si="6"/>
        <v xml:space="preserve">Gouveia, L. </v>
      </c>
      <c r="L89" t="str">
        <f t="shared" ca="1" si="7"/>
        <v xml:space="preserve">Quental, C. </v>
      </c>
    </row>
    <row r="90" spans="1:14" ht="15.75" customHeight="1">
      <c r="A90">
        <f ca="1">IFERROR(__xludf.DUMMYFUNCTION("""COMPUTED_VALUE"""),8)</f>
        <v>8</v>
      </c>
      <c r="B90" t="str">
        <f ca="1">IFERROR(__xludf.DUMMYFUNCTION("""COMPUTED_VALUE"""),"Gouveia, L. (2010). *Relatório da Unidade Curricular Gestão do Conhecimento*. 
Apresentação no âmbito das provas públicas de Agregação em Engenharia e 
Gestão Industrial. Universidade de Aveiro, 16 de Junho.")</f>
        <v>Gouveia, L. (2010). *Relatório da Unidade Curricular Gestão do Conhecimento*. 
Apresentação no âmbito das provas públicas de Agregação em Engenharia e 
Gestão Industrial. Universidade de Aveiro, 16 de Junho.</v>
      </c>
      <c r="C90" s="2">
        <f t="shared" ca="1" si="0"/>
        <v>13</v>
      </c>
      <c r="D90" t="str">
        <f t="shared" ca="1" si="8"/>
        <v xml:space="preserve">Gouveia, L. </v>
      </c>
      <c r="E90" t="str">
        <f t="shared" ca="1" si="1"/>
        <v>2010</v>
      </c>
      <c r="F90" t="str">
        <f t="shared" ca="1" si="2"/>
        <v xml:space="preserve"> *Relatório da Unidade Curricular Gestão do Conhecimento*. </v>
      </c>
      <c r="G90" s="3">
        <f t="shared" ca="1" si="3"/>
        <v>18</v>
      </c>
      <c r="H90" s="2">
        <f t="shared" ca="1" si="4"/>
        <v>77</v>
      </c>
      <c r="I90" t="e">
        <f t="shared" ca="1" si="5"/>
        <v>#VALUE!</v>
      </c>
      <c r="J90" s="3" t="e">
        <f t="shared" ca="1" si="9"/>
        <v>#VALUE!</v>
      </c>
      <c r="K90" t="str">
        <f t="shared" ca="1" si="6"/>
        <v xml:space="preserve">Gouveia, L. </v>
      </c>
      <c r="L90" t="str">
        <f t="shared" ca="1" si="7"/>
        <v xml:space="preserve">Quental, C. </v>
      </c>
    </row>
    <row r="91" spans="1:14" ht="15.75" customHeight="1">
      <c r="A91">
        <f ca="1">IFERROR(__xludf.DUMMYFUNCTION("""COMPUTED_VALUE"""),7)</f>
        <v>7</v>
      </c>
      <c r="B91" t="str">
        <f ca="1">IFERROR(__xludf.DUMMYFUNCTION("""COMPUTED_VALUE"""),"Gouveia, L. (2008) *O Digital e a sua relação com as fronteiras físicas dos 
Estados*. Trabalho de investigação individual (TII). Curso de Defesa 
Nacional 2007/2008, Instituto de Defesa Nacional, Agosto de 2008.
texto [ pdf (136KB) ]")</f>
        <v>Gouveia, L. (2008) *O Digital e a sua relação com as fronteiras físicas dos 
Estados*. Trabalho de investigação individual (TII). Curso de Defesa 
Nacional 2007/2008, Instituto de Defesa Nacional, Agosto de 2008.
texto [ pdf (136KB) ]</v>
      </c>
      <c r="C91" s="2">
        <f t="shared" ca="1" si="0"/>
        <v>13</v>
      </c>
      <c r="D91" t="str">
        <f t="shared" ca="1" si="8"/>
        <v xml:space="preserve">Gouveia, L. </v>
      </c>
      <c r="E91" t="str">
        <f t="shared" ca="1" si="1"/>
        <v>2008</v>
      </c>
      <c r="F91" t="str">
        <f t="shared" ca="1" si="2"/>
        <v xml:space="preserve"> Curso de Defesa 
Nacional 2007/2008, Instituto de Defesa Nacional, Agosto de 2008.
</v>
      </c>
      <c r="G91" s="3">
        <f t="shared" ca="1" si="3"/>
        <v>128</v>
      </c>
      <c r="H91" s="2">
        <f t="shared" ca="1" si="4"/>
        <v>212</v>
      </c>
      <c r="I91" t="e">
        <f t="shared" ca="1" si="5"/>
        <v>#VALUE!</v>
      </c>
      <c r="J91" s="3" t="e">
        <f t="shared" ca="1" si="9"/>
        <v>#VALUE!</v>
      </c>
      <c r="K91" t="str">
        <f t="shared" ca="1" si="6"/>
        <v xml:space="preserve">Gouveia, L. </v>
      </c>
      <c r="L91" t="str">
        <f t="shared" ca="1" si="7"/>
        <v xml:space="preserve">Quental, C. </v>
      </c>
    </row>
    <row r="92" spans="1:14" ht="15.75" customHeight="1">
      <c r="A92">
        <f ca="1">IFERROR(__xludf.DUMMYFUNCTION("""COMPUTED_VALUE"""),6)</f>
        <v>6</v>
      </c>
      <c r="B92" t="str">
        <f ca="1">IFERROR(__xludf.DUMMYFUNCTION("""COMPUTED_VALUE"""),"Gouveia, L. (2002). *A Visualisation Design for Sharing Knowledge, A 
virtual environment for collaborative learning support*. PhD Thesis Viva. 
Computer Science Department. Lancaster University, England, UK. 19th March. 
presentation [ pdf(24KB)]")</f>
        <v>Gouveia, L. (2002). *A Visualisation Design for Sharing Knowledge, A 
virtual environment for collaborative learning support*. PhD Thesis Viva. 
Computer Science Department. Lancaster University, England, UK. 19th March. 
presentation [ pdf(24KB)]</v>
      </c>
      <c r="C92" s="2">
        <f t="shared" ca="1" si="0"/>
        <v>13</v>
      </c>
      <c r="D92" t="str">
        <f t="shared" ca="1" si="8"/>
        <v xml:space="preserve">Gouveia, L. </v>
      </c>
      <c r="E92" t="str">
        <f t="shared" ca="1" si="1"/>
        <v>2002</v>
      </c>
      <c r="F92" t="str">
        <f t="shared" ca="1" si="2"/>
        <v xml:space="preserve"> *A Visualisation Design for Sharing Knowledge, A 
virtual environment for collaborative learning support*. </v>
      </c>
      <c r="G92" s="3">
        <f t="shared" ca="1" si="3"/>
        <v>18</v>
      </c>
      <c r="H92" s="2">
        <f t="shared" ca="1" si="4"/>
        <v>126</v>
      </c>
      <c r="I92" t="e">
        <f t="shared" ca="1" si="5"/>
        <v>#VALUE!</v>
      </c>
      <c r="J92" s="3" t="e">
        <f t="shared" ca="1" si="9"/>
        <v>#VALUE!</v>
      </c>
      <c r="K92" t="str">
        <f t="shared" ca="1" si="6"/>
        <v xml:space="preserve">Gouveia, L. </v>
      </c>
      <c r="L92" t="str">
        <f t="shared" ca="1" si="7"/>
        <v xml:space="preserve">Quental, C. </v>
      </c>
    </row>
    <row r="93" spans="1:14" ht="15.75" customHeight="1">
      <c r="A93">
        <f ca="1">IFERROR(__xludf.DUMMYFUNCTION("""COMPUTED_VALUE"""),5)</f>
        <v>5</v>
      </c>
      <c r="B93" t="str">
        <f ca="1">IFERROR(__xludf.DUMMYFUNCTION("""COMPUTED_VALUE"""),"Gouveia, L. (2001). *A Visualisation Design for Sharing Knowledge, A 
virtual environment for collaborative learning support*. PhD Thesis. 
Computer Science Department. Lancaster University, England, UK, December. 
final version [ pdf(34MB)]")</f>
        <v>Gouveia, L. (2001). *A Visualisation Design for Sharing Knowledge, A 
virtual environment for collaborative learning support*. PhD Thesis. 
Computer Science Department. Lancaster University, England, UK, December. 
final version [ pdf(34MB)]</v>
      </c>
      <c r="C93" s="2">
        <f t="shared" ca="1" si="0"/>
        <v>13</v>
      </c>
      <c r="D93" t="str">
        <f t="shared" ca="1" si="8"/>
        <v xml:space="preserve">Gouveia, L. </v>
      </c>
      <c r="E93" t="str">
        <f t="shared" ca="1" si="1"/>
        <v>2001</v>
      </c>
      <c r="F93" t="str">
        <f t="shared" ca="1" si="2"/>
        <v xml:space="preserve"> *A Visualisation Design for Sharing Knowledge, A 
virtual environment for collaborative learning support*. </v>
      </c>
      <c r="G93" s="3">
        <f t="shared" ca="1" si="3"/>
        <v>18</v>
      </c>
      <c r="H93" s="2">
        <f t="shared" ca="1" si="4"/>
        <v>126</v>
      </c>
      <c r="I93" t="e">
        <f t="shared" ca="1" si="5"/>
        <v>#VALUE!</v>
      </c>
      <c r="J93" s="3" t="e">
        <f t="shared" ca="1" si="9"/>
        <v>#VALUE!</v>
      </c>
      <c r="K93" t="str">
        <f t="shared" ca="1" si="6"/>
        <v xml:space="preserve">Gouveia, L. </v>
      </c>
      <c r="L93" t="str">
        <f t="shared" ca="1" si="7"/>
        <v xml:space="preserve">Quental, C. </v>
      </c>
    </row>
    <row r="94" spans="1:14" ht="15.75" customHeight="1">
      <c r="A94">
        <f ca="1">IFERROR(__xludf.DUMMYFUNCTION("""COMPUTED_VALUE"""),4)</f>
        <v>4</v>
      </c>
      <c r="B94" t="str">
        <f ca="1">IFERROR(__xludf.DUMMYFUNCTION("""COMPUTED_VALUE"""),"Gouveia, L. (1999). *Second year PhD report.* Away Day, CSEG Group, 
Lancaster University. Lancaster, UK, November 
report [ pdf (30KB) ] presentation [ pdf(555KB) ]")</f>
        <v>Gouveia, L. (1999). *Second year PhD report.* Away Day, CSEG Group, 
Lancaster University. Lancaster, UK, November 
report [ pdf (30KB) ] presentation [ pdf(555KB) ]</v>
      </c>
      <c r="C94" s="2">
        <f t="shared" ca="1" si="0"/>
        <v>13</v>
      </c>
      <c r="D94" t="str">
        <f t="shared" ca="1" si="8"/>
        <v xml:space="preserve">Gouveia, L. </v>
      </c>
      <c r="E94" t="str">
        <f t="shared" ca="1" si="1"/>
        <v>1999</v>
      </c>
      <c r="F94" t="str">
        <f t="shared" ca="1" si="2"/>
        <v xml:space="preserve"> *Second year PhD report.*</v>
      </c>
      <c r="G94" s="3">
        <f t="shared" ca="1" si="3"/>
        <v>18</v>
      </c>
      <c r="H94" s="2">
        <f t="shared" ca="1" si="4"/>
        <v>44</v>
      </c>
      <c r="I94" t="e">
        <f t="shared" ca="1" si="5"/>
        <v>#VALUE!</v>
      </c>
      <c r="J94" s="3" t="e">
        <f t="shared" ca="1" si="9"/>
        <v>#VALUE!</v>
      </c>
      <c r="K94" t="str">
        <f t="shared" ca="1" si="6"/>
        <v xml:space="preserve">Gouveia, L. </v>
      </c>
      <c r="L94" t="str">
        <f t="shared" ca="1" si="7"/>
        <v xml:space="preserve">Quental, C. </v>
      </c>
    </row>
    <row r="95" spans="1:14" ht="15.75" customHeight="1">
      <c r="A95">
        <f ca="1">IFERROR(__xludf.DUMMYFUNCTION("""COMPUTED_VALUE"""),3)</f>
        <v>3</v>
      </c>
      <c r="B95" t="str">
        <f ca="1">IFERROR(__xludf.DUMMYFUNCTION("""COMPUTED_VALUE"""),"Gouveia, L. (1998). *First year PhD report.* Lancaster University. 
Lancaster, UK, 6 November 
paper [ pdf (30KB) ] presentation [ pdf(555KB) ]")</f>
        <v>Gouveia, L. (1998). *First year PhD report.* Lancaster University. 
Lancaster, UK, 6 November 
paper [ pdf (30KB) ] presentation [ pdf(555KB) ]</v>
      </c>
      <c r="C95" s="2">
        <f t="shared" ca="1" si="0"/>
        <v>13</v>
      </c>
      <c r="D95" t="str">
        <f t="shared" ca="1" si="8"/>
        <v xml:space="preserve">Gouveia, L. </v>
      </c>
      <c r="E95" t="str">
        <f t="shared" ca="1" si="1"/>
        <v>1998</v>
      </c>
      <c r="F95" t="str">
        <f t="shared" ca="1" si="2"/>
        <v xml:space="preserve"> *First year PhD report.*</v>
      </c>
      <c r="G95" s="3">
        <f t="shared" ca="1" si="3"/>
        <v>18</v>
      </c>
      <c r="H95" s="2">
        <f t="shared" ca="1" si="4"/>
        <v>43</v>
      </c>
      <c r="I95" t="e">
        <f t="shared" ca="1" si="5"/>
        <v>#VALUE!</v>
      </c>
      <c r="J95" s="3" t="e">
        <f t="shared" ca="1" si="9"/>
        <v>#VALUE!</v>
      </c>
      <c r="K95" t="str">
        <f t="shared" ca="1" si="6"/>
        <v xml:space="preserve">Gouveia, L. </v>
      </c>
      <c r="L95" t="str">
        <f t="shared" ca="1" si="7"/>
        <v xml:space="preserve">Quental, C. </v>
      </c>
    </row>
    <row r="96" spans="1:14" ht="15.75" customHeight="1">
      <c r="A96">
        <f ca="1">IFERROR(__xludf.DUMMYFUNCTION("""COMPUTED_VALUE"""),2)</f>
        <v>2</v>
      </c>
      <c r="B96" t="str">
        <f ca="1">IFERROR(__xludf.DUMMYFUNCTION("""COMPUTED_VALUE"""),"Gouveia, L. (1995). *Aplicações multimédia para o Sistema de Informação da 
Empresa.* Dissertação de Mestrado, FEUP-DEEC. Universidade do Porto. 
Dezembro. Porto
[ pdf (22,1MB) ou Descrição em HTML ]")</f>
        <v>Gouveia, L. (1995). *Aplicações multimédia para o Sistema de Informação da 
Empresa.* Dissertação de Mestrado, FEUP-DEEC. Universidade do Porto. 
Dezembro. Porto
[ pdf (22,1MB) ou Descrição em HTML ]</v>
      </c>
      <c r="C96" s="2">
        <f t="shared" ca="1" si="0"/>
        <v>13</v>
      </c>
      <c r="D96" t="str">
        <f t="shared" ca="1" si="8"/>
        <v xml:space="preserve">Gouveia, L. </v>
      </c>
      <c r="E96" t="str">
        <f t="shared" ca="1" si="1"/>
        <v>1995</v>
      </c>
      <c r="F96" t="str">
        <f t="shared" ca="1" si="2"/>
        <v xml:space="preserve"> *Aplicações multimédia para o Sistema de Informação da 
Empresa.*</v>
      </c>
      <c r="G96" s="3">
        <f t="shared" ca="1" si="3"/>
        <v>18</v>
      </c>
      <c r="H96" s="2">
        <f t="shared" ca="1" si="4"/>
        <v>84</v>
      </c>
      <c r="I96" t="e">
        <f t="shared" ca="1" si="5"/>
        <v>#VALUE!</v>
      </c>
      <c r="J96" s="3" t="e">
        <f t="shared" ca="1" si="9"/>
        <v>#VALUE!</v>
      </c>
      <c r="K96" t="str">
        <f t="shared" ca="1" si="6"/>
        <v xml:space="preserve">Gouveia, L. </v>
      </c>
      <c r="L96" t="str">
        <f t="shared" ca="1" si="7"/>
        <v xml:space="preserve">Quental, C. </v>
      </c>
    </row>
    <row r="97" spans="1:13" ht="15.75" customHeight="1">
      <c r="A97">
        <f ca="1">IFERROR(__xludf.DUMMYFUNCTION("""COMPUTED_VALUE"""),1)</f>
        <v>1</v>
      </c>
      <c r="B97" t="str">
        <f ca="1">IFERROR(__xludf.DUMMYFUNCTION("""COMPUTED_VALUE"""),"Zagallo, J. e Gouveia, L. (1989). *O serviço Videotex*. Projecto final de 
licenciatura. Departamento de Informática. Universidade Portucalense. UPIH. 
Julho. Porto.")</f>
        <v>Zagallo, J. e Gouveia, L. (1989). *O serviço Videotex*. Projecto final de 
licenciatura. Departamento de Informática. Universidade Portucalense. UPIH. 
Julho. Porto.</v>
      </c>
      <c r="C97" s="2">
        <f t="shared" ca="1" si="0"/>
        <v>27</v>
      </c>
      <c r="D97" t="str">
        <f t="shared" ca="1" si="8"/>
        <v xml:space="preserve">Zagallo, J. e Gouveia, L. </v>
      </c>
      <c r="E97" t="str">
        <f t="shared" ca="1" si="1"/>
        <v>1989</v>
      </c>
      <c r="F97" t="str">
        <f t="shared" ca="1" si="2"/>
        <v xml:space="preserve"> *O serviço Videotex*. </v>
      </c>
      <c r="G97" s="3">
        <f t="shared" ca="1" si="3"/>
        <v>32</v>
      </c>
      <c r="H97" s="2">
        <f t="shared" ca="1" si="4"/>
        <v>55</v>
      </c>
      <c r="I97" t="e">
        <f t="shared" ca="1" si="5"/>
        <v>#VALUE!</v>
      </c>
      <c r="J97" s="3" t="e">
        <f t="shared" ca="1" si="9"/>
        <v>#VALUE!</v>
      </c>
      <c r="K97" t="str">
        <f t="shared" ca="1" si="6"/>
        <v xml:space="preserve">Zagallo, J. e Gouveia, L. </v>
      </c>
      <c r="L97" t="str">
        <f t="shared" ca="1" si="7"/>
        <v xml:space="preserve">Quental, C. </v>
      </c>
    </row>
    <row r="98" spans="1:13" ht="15.75" customHeight="1">
      <c r="A98" t="str">
        <f ca="1">IFERROR(__xludf.DUMMYFUNCTION("""COMPUTED_VALUE"""),"_________")</f>
        <v>_________</v>
      </c>
      <c r="B98" t="str">
        <f ca="1">IFERROR(__xludf.DUMMYFUNCTION("""COMPUTED_VALUE"""),"relatórios internos / internal reports")</f>
        <v>relatórios internos / internal reports</v>
      </c>
      <c r="C98" s="2" t="e">
        <f t="shared" ca="1" si="0"/>
        <v>#VALUE!</v>
      </c>
      <c r="D98" t="e">
        <f t="shared" ca="1" si="8"/>
        <v>#VALUE!</v>
      </c>
      <c r="E98" t="e">
        <f t="shared" ca="1" si="1"/>
        <v>#VALUE!</v>
      </c>
      <c r="F98" t="e">
        <f t="shared" ca="1" si="2"/>
        <v>#VALUE!</v>
      </c>
      <c r="G98" s="3" t="e">
        <f t="shared" ca="1" si="3"/>
        <v>#VALUE!</v>
      </c>
      <c r="H98" s="2" t="e">
        <f t="shared" ca="1" si="4"/>
        <v>#VALUE!</v>
      </c>
      <c r="I98" t="e">
        <f t="shared" ca="1" si="5"/>
        <v>#VALUE!</v>
      </c>
      <c r="J98" s="3" t="e">
        <f t="shared" ca="1" si="9"/>
        <v>#VALUE!</v>
      </c>
      <c r="K98" t="e">
        <f t="shared" ca="1" si="6"/>
        <v>#VALUE!</v>
      </c>
      <c r="L98" t="str">
        <f t="shared" ca="1" si="7"/>
        <v xml:space="preserve">Quental, C. </v>
      </c>
    </row>
    <row r="99" spans="1:13" ht="15.75" customHeight="1">
      <c r="A99">
        <f ca="1">IFERROR(__xludf.DUMMYFUNCTION("""COMPUTED_VALUE"""),43)</f>
        <v>43</v>
      </c>
      <c r="B99" t="str">
        <f ca="1">IFERROR(__xludf.DUMMYFUNCTION("""COMPUTED_VALUE"""),"Sargo, S.; Gouveia, L. e Reis, P. (2019). Utilização da metodologia da sala 
de aula invertida (flipped classroom): análise de eficiência dos 
instrumentos e resultados do experimento piloto.  Relatório Interno 1/2019. 
*TRS Tecnologia, Redes e Sociedade."&amp;" Janeiro. Universidade Fernando Pessoa.  
[ handle ]")</f>
        <v>Sargo, S.; Gouveia, L. e Reis, P. (2019). Utilização da metodologia da sala 
de aula invertida (flipped classroom): análise de eficiência dos 
instrumentos e resultados do experimento piloto.  Relatório Interno 1/2019. 
*TRS Tecnologia, Redes e Sociedade. Janeiro. Universidade Fernando Pessoa.  
[ handle ]</v>
      </c>
      <c r="C99" s="2">
        <f t="shared" ca="1" si="0"/>
        <v>35</v>
      </c>
      <c r="D99" t="str">
        <f t="shared" ca="1" si="8"/>
        <v xml:space="preserve">Sargo, S.; Gouveia, L. e Reis, P. </v>
      </c>
      <c r="E99" t="str">
        <f t="shared" ca="1" si="1"/>
        <v>2019</v>
      </c>
      <c r="F99" t="str">
        <f t="shared" ca="1" si="2"/>
        <v xml:space="preserve"> Utilização da metodologia da sala 
de aula invertida (flipped classroom): análise de eficiência dos 
instrumentos e resultados do experimento piloto. </v>
      </c>
      <c r="G99" s="3">
        <f t="shared" ca="1" si="3"/>
        <v>40</v>
      </c>
      <c r="H99" s="2">
        <f t="shared" ca="1" si="4"/>
        <v>191</v>
      </c>
      <c r="I99" t="e">
        <f t="shared" ca="1" si="5"/>
        <v>#VALUE!</v>
      </c>
      <c r="J99" s="3" t="e">
        <f t="shared" ca="1" si="9"/>
        <v>#VALUE!</v>
      </c>
      <c r="K99" t="str">
        <f t="shared" ca="1" si="6"/>
        <v xml:space="preserve">Sargo, S.; Gouveia, L. e Reis, P. </v>
      </c>
      <c r="L99" t="str">
        <f t="shared" ca="1" si="7"/>
        <v xml:space="preserve">Quental, C. </v>
      </c>
      <c r="M99" t="str">
        <f ca="1">IFERROR(__xludf.DUMMYFUNCTION("""COMPUTED_VALUE""")," Gouveia, L. e Reis, P. ")</f>
        <v xml:space="preserve"> Gouveia, L. e Reis, P. </v>
      </c>
    </row>
    <row r="100" spans="1:13" ht="15.75" customHeight="1">
      <c r="A100">
        <f ca="1">IFERROR(__xludf.DUMMYFUNCTION("""COMPUTED_VALUE"""),42)</f>
        <v>42</v>
      </c>
      <c r="B100" t="str">
        <f ca="1">IFERROR(__xludf.DUMMYFUNCTION("""COMPUTED_VALUE"""),"Barros, V. e Gouveia, L. (2018). Contribuições para a discussão de um 
modelo de avaliação do impacto social. Relatório Interno 10/2018. *TRS 
Tecnologia, Redes e Sociedade. Novembro. Universidade Fernando Pessoa. 
[ handle ]")</f>
        <v>Barros, V. e Gouveia, L. (2018). Contribuições para a discussão de um 
modelo de avaliação do impacto social. Relatório Interno 10/2018. *TRS 
Tecnologia, Redes e Sociedade. Novembro. Universidade Fernando Pessoa. 
[ handle ]</v>
      </c>
      <c r="C100" s="2">
        <f t="shared" ca="1" si="0"/>
        <v>26</v>
      </c>
      <c r="D100" t="str">
        <f t="shared" ca="1" si="8"/>
        <v xml:space="preserve">Barros, V. e Gouveia, L. </v>
      </c>
      <c r="E100" t="str">
        <f t="shared" ca="1" si="1"/>
        <v>2018</v>
      </c>
      <c r="F100" t="str">
        <f t="shared" ca="1" si="2"/>
        <v xml:space="preserve"> Contribuições para a discussão de um 
modelo de avaliação do impacto social. </v>
      </c>
      <c r="G100" s="3">
        <f t="shared" ca="1" si="3"/>
        <v>31</v>
      </c>
      <c r="H100" s="2">
        <f t="shared" ca="1" si="4"/>
        <v>109</v>
      </c>
      <c r="I100" t="e">
        <f t="shared" ca="1" si="5"/>
        <v>#VALUE!</v>
      </c>
      <c r="J100" s="3" t="e">
        <f t="shared" ca="1" si="9"/>
        <v>#VALUE!</v>
      </c>
      <c r="K100" t="str">
        <f t="shared" ca="1" si="6"/>
        <v xml:space="preserve">Barros, V. e Gouveia, L. </v>
      </c>
      <c r="L100" t="str">
        <f t="shared" ca="1" si="7"/>
        <v xml:space="preserve">Quental, C. </v>
      </c>
    </row>
    <row r="101" spans="1:13" ht="15.75" customHeight="1">
      <c r="A101">
        <f ca="1">IFERROR(__xludf.DUMMYFUNCTION("""COMPUTED_VALUE"""),41)</f>
        <v>41</v>
      </c>
      <c r="B101" t="str">
        <f ca="1">IFERROR(__xludf.DUMMYFUNCTION("""COMPUTED_VALUE"""),"Correia, A. e Gouveia, L. (2018). FIWARE: uma plataforma de desenvolvimento 
de soluções inteligentes. Relatório Interno 09/2018. *TRS Tecnologia, Redes 
e Sociedade. Junho. Universidade Fernando Pessoa.
[ handle ]")</f>
        <v>Correia, A. e Gouveia, L. (2018). FIWARE: uma plataforma de desenvolvimento 
de soluções inteligentes. Relatório Interno 09/2018. *TRS Tecnologia, Redes 
e Sociedade. Junho. Universidade Fernando Pessoa.
[ handle ]</v>
      </c>
      <c r="C101" s="2">
        <f t="shared" ca="1" si="0"/>
        <v>27</v>
      </c>
      <c r="D101" t="str">
        <f t="shared" ca="1" si="8"/>
        <v xml:space="preserve">Correia, A. e Gouveia, L. </v>
      </c>
      <c r="E101" t="str">
        <f t="shared" ca="1" si="1"/>
        <v>2018</v>
      </c>
      <c r="F101" t="str">
        <f t="shared" ca="1" si="2"/>
        <v xml:space="preserve"> FIWARE: uma plataforma de desenvolvimento 
de soluções inteligentes. </v>
      </c>
      <c r="G101" s="3">
        <f t="shared" ca="1" si="3"/>
        <v>32</v>
      </c>
      <c r="H101" s="2">
        <f t="shared" ca="1" si="4"/>
        <v>102</v>
      </c>
      <c r="I101" t="e">
        <f t="shared" ca="1" si="5"/>
        <v>#VALUE!</v>
      </c>
      <c r="J101" s="3" t="e">
        <f t="shared" ca="1" si="9"/>
        <v>#VALUE!</v>
      </c>
      <c r="K101" t="str">
        <f t="shared" ca="1" si="6"/>
        <v xml:space="preserve">Correia, A. e Gouveia, L. </v>
      </c>
      <c r="L101" t="str">
        <f t="shared" ca="1" si="7"/>
        <v xml:space="preserve">Quental, C. </v>
      </c>
    </row>
    <row r="102" spans="1:13" ht="15.75" customHeight="1">
      <c r="A102">
        <f ca="1">IFERROR(__xludf.DUMMYFUNCTION("""COMPUTED_VALUE"""),40)</f>
        <v>40</v>
      </c>
      <c r="B102" t="str">
        <f ca="1">IFERROR(__xludf.DUMMYFUNCTION("""COMPUTED_VALUE"""),"Menezes, N. e Gouveia, L. (2018). O Recurso a TIC para suporte de atividade 
em sala de aula, teste piloto. Relatório Interno 08/2018. *TRS Tecnologia, 
Redes e Sociedade. Junho. Universidade Fernando Pessoa.
[ handle ]")</f>
        <v>Menezes, N. e Gouveia, L. (2018). O Recurso a TIC para suporte de atividade 
em sala de aula, teste piloto. Relatório Interno 08/2018. *TRS Tecnologia, 
Redes e Sociedade. Junho. Universidade Fernando Pessoa.
[ handle ]</v>
      </c>
      <c r="C102" s="2">
        <f t="shared" ca="1" si="0"/>
        <v>27</v>
      </c>
      <c r="D102" t="str">
        <f t="shared" ca="1" si="8"/>
        <v xml:space="preserve">Menezes, N. e Gouveia, L. </v>
      </c>
      <c r="E102" t="str">
        <f t="shared" ca="1" si="1"/>
        <v>2018</v>
      </c>
      <c r="F102" t="str">
        <f t="shared" ca="1" si="2"/>
        <v xml:space="preserve"> O Recurso a TIC para suporte de atividade 
em sala de aula, teste piloto. </v>
      </c>
      <c r="G102" s="3">
        <f t="shared" ca="1" si="3"/>
        <v>32</v>
      </c>
      <c r="H102" s="2">
        <f t="shared" ca="1" si="4"/>
        <v>107</v>
      </c>
      <c r="I102" t="e">
        <f t="shared" ca="1" si="5"/>
        <v>#VALUE!</v>
      </c>
      <c r="J102" s="3" t="e">
        <f t="shared" ca="1" si="9"/>
        <v>#VALUE!</v>
      </c>
      <c r="K102" t="str">
        <f t="shared" ca="1" si="6"/>
        <v xml:space="preserve">Menezes, N. e Gouveia, L. </v>
      </c>
      <c r="L102" t="str">
        <f t="shared" ca="1" si="7"/>
        <v xml:space="preserve">Quental, C. </v>
      </c>
    </row>
    <row r="103" spans="1:13" ht="15.75" customHeight="1">
      <c r="A103">
        <f ca="1">IFERROR(__xludf.DUMMYFUNCTION("""COMPUTED_VALUE"""),39)</f>
        <v>39</v>
      </c>
      <c r="B103" t="str">
        <f ca="1">IFERROR(__xludf.DUMMYFUNCTION("""COMPUTED_VALUE"""),"Cordeiro, S. e Gouveia, L. (2018). Regulamento Geral de Proteção de Dados 
(RGPD): o novo pesadelo das empresas? Relatório Interno 07/2018. *TRS 
Tecnologia, Redes e Sociedade. Maio. Universidade Fernando Pessoa.
[ handle ]")</f>
        <v>Cordeiro, S. e Gouveia, L. (2018). Regulamento Geral de Proteção de Dados 
(RGPD): o novo pesadelo das empresas? Relatório Interno 07/2018. *TRS 
Tecnologia, Redes e Sociedade. Maio. Universidade Fernando Pessoa.
[ handle ]</v>
      </c>
      <c r="C103" s="2">
        <f t="shared" ca="1" si="0"/>
        <v>28</v>
      </c>
      <c r="D103" t="str">
        <f t="shared" ca="1" si="8"/>
        <v xml:space="preserve">Cordeiro, S. e Gouveia, L. </v>
      </c>
      <c r="E103" t="str">
        <f t="shared" ca="1" si="1"/>
        <v>2018</v>
      </c>
      <c r="F103" t="str">
        <f t="shared" ca="1" si="2"/>
        <v xml:space="preserve"> Regulamento Geral de Proteção de Dados 
(RGPD): o novo pesadelo das empresas? Relatório Interno 07/2018. </v>
      </c>
      <c r="G103" s="3">
        <f t="shared" ca="1" si="3"/>
        <v>33</v>
      </c>
      <c r="H103" s="2">
        <f t="shared" ca="1" si="4"/>
        <v>139</v>
      </c>
      <c r="I103" t="e">
        <f t="shared" ca="1" si="5"/>
        <v>#VALUE!</v>
      </c>
      <c r="J103" s="3" t="e">
        <f t="shared" ca="1" si="9"/>
        <v>#VALUE!</v>
      </c>
      <c r="K103" t="str">
        <f t="shared" ca="1" si="6"/>
        <v xml:space="preserve">Cordeiro, S. e Gouveia, L. </v>
      </c>
      <c r="L103" t="str">
        <f t="shared" ca="1" si="7"/>
        <v xml:space="preserve">Quental, C. </v>
      </c>
    </row>
    <row r="104" spans="1:13" ht="15.75" customHeight="1">
      <c r="A104">
        <f ca="1">IFERROR(__xludf.DUMMYFUNCTION("""COMPUTED_VALUE"""),38)</f>
        <v>38</v>
      </c>
      <c r="B104" t="str">
        <f ca="1">IFERROR(__xludf.DUMMYFUNCTION("""COMPUTED_VALUE"""),"Araújo, A. e Gouveia, L. (2018). Questionário sobre o nível de utilização e 
importância das TICs numa IES a Coordenadores de Curso. Teste Piloto. 
Relatório Interno 06/2018. *TRS Tecnologia, Redes e Sociedade. Maio. 
Universidade Fernando Pessoa.
[ handl"&amp;"e ]")</f>
        <v>Araújo, A. e Gouveia, L. (2018). Questionário sobre o nível de utilização e 
importância das TICs numa IES a Coordenadores de Curso. Teste Piloto. 
Relatório Interno 06/2018. *TRS Tecnologia, Redes e Sociedade. Maio. 
Universidade Fernando Pessoa.
[ handle ]</v>
      </c>
      <c r="C104" s="2">
        <f t="shared" ca="1" si="0"/>
        <v>26</v>
      </c>
      <c r="D104" t="str">
        <f t="shared" ca="1" si="8"/>
        <v xml:space="preserve">Araújo, A. e Gouveia, L. </v>
      </c>
      <c r="E104" t="str">
        <f t="shared" ca="1" si="1"/>
        <v>2018</v>
      </c>
      <c r="F104" t="str">
        <f t="shared" ca="1" si="2"/>
        <v xml:space="preserve"> Questionário sobre o nível de utilização e 
importância das TICs numa IES a Coordenadores de Curso. </v>
      </c>
      <c r="G104" s="3">
        <f t="shared" ca="1" si="3"/>
        <v>31</v>
      </c>
      <c r="H104" s="2">
        <f t="shared" ca="1" si="4"/>
        <v>132</v>
      </c>
      <c r="I104" t="e">
        <f t="shared" ca="1" si="5"/>
        <v>#VALUE!</v>
      </c>
      <c r="J104" s="3" t="e">
        <f t="shared" ca="1" si="9"/>
        <v>#VALUE!</v>
      </c>
      <c r="K104" t="str">
        <f t="shared" ca="1" si="6"/>
        <v xml:space="preserve">Araújo, A. e Gouveia, L. </v>
      </c>
      <c r="L104" t="str">
        <f t="shared" ca="1" si="7"/>
        <v xml:space="preserve">Quental, C. </v>
      </c>
    </row>
    <row r="105" spans="1:13" ht="15.75" customHeight="1">
      <c r="A105">
        <f ca="1">IFERROR(__xludf.DUMMYFUNCTION("""COMPUTED_VALUE"""),37)</f>
        <v>37</v>
      </c>
      <c r="B105" t="str">
        <f ca="1">IFERROR(__xludf.DUMMYFUNCTION("""COMPUTED_VALUE"""),"Lopes, S.; Gouveia, L. e Reis, P. (2018). Experimento prático de uma aula 
sobre Diagramas de Classe (UML), com a utilização da metodologia da “sala 
de aula invertida” (Flipped Classroom). Relatório Interno 05/2018. *TRS 
Tecnologia, Redes e Sociedade. A"&amp;"bril. Universidade Fernando Pessoa.
[ handle ]")</f>
        <v>Lopes, S.; Gouveia, L. e Reis, P. (2018). Experimento prático de uma aula 
sobre Diagramas de Classe (UML), com a utilização da metodologia da “sala 
de aula invertida” (Flipped Classroom). Relatório Interno 05/2018. *TRS 
Tecnologia, Redes e Sociedade. Abril. Universidade Fernando Pessoa.
[ handle ]</v>
      </c>
      <c r="C105" s="2">
        <f t="shared" ca="1" si="0"/>
        <v>35</v>
      </c>
      <c r="D105" t="str">
        <f t="shared" ca="1" si="8"/>
        <v xml:space="preserve">Lopes, S.; Gouveia, L. e Reis, P. </v>
      </c>
      <c r="E105" t="str">
        <f t="shared" ca="1" si="1"/>
        <v>2018</v>
      </c>
      <c r="F105" t="str">
        <f t="shared" ca="1" si="2"/>
        <v xml:space="preserve"> Experimento prático de uma aula 
sobre Diagramas de Classe (UML), com a utilização da metodologia da “sala 
de aula invertida” (Flipped Classroom). </v>
      </c>
      <c r="G105" s="3">
        <f t="shared" ca="1" si="3"/>
        <v>40</v>
      </c>
      <c r="H105" s="2">
        <f t="shared" ca="1" si="4"/>
        <v>189</v>
      </c>
      <c r="I105" t="e">
        <f t="shared" ca="1" si="5"/>
        <v>#VALUE!</v>
      </c>
      <c r="J105" s="3" t="e">
        <f t="shared" ca="1" si="9"/>
        <v>#VALUE!</v>
      </c>
      <c r="K105" t="str">
        <f t="shared" ca="1" si="6"/>
        <v xml:space="preserve">Lopes, S.; Gouveia, L. e Reis, P. </v>
      </c>
      <c r="L105" t="str">
        <f t="shared" ca="1" si="7"/>
        <v xml:space="preserve">Quental, C. </v>
      </c>
      <c r="M105" t="str">
        <f ca="1">IFERROR(__xludf.DUMMYFUNCTION("""COMPUTED_VALUE""")," Gouveia, L. e Reis, P. ")</f>
        <v xml:space="preserve"> Gouveia, L. e Reis, P. </v>
      </c>
    </row>
    <row r="106" spans="1:13" ht="15.75" customHeight="1">
      <c r="A106">
        <f ca="1">IFERROR(__xludf.DUMMYFUNCTION("""COMPUTED_VALUE"""),36)</f>
        <v>36</v>
      </c>
      <c r="B106" t="str">
        <f ca="1">IFERROR(__xludf.DUMMYFUNCTION("""COMPUTED_VALUE"""),"Araújo, A. e Gouveia, L. (2018). Questionário sobre o nível de utilização e 
importância das TICs numa IES. Teste Piloto. Relatário Interno 04/2018. 
*TRS Tecnologia, Redes e Sociedade. Abril. Universidade Fernando Pessoa.
[ handle ]")</f>
        <v>Araújo, A. e Gouveia, L. (2018). Questionário sobre o nível de utilização e 
importância das TICs numa IES. Teste Piloto. Relatário Interno 04/2018. 
*TRS Tecnologia, Redes e Sociedade. Abril. Universidade Fernando Pessoa.
[ handle ]</v>
      </c>
      <c r="C106" s="2">
        <f t="shared" ca="1" si="0"/>
        <v>26</v>
      </c>
      <c r="D106" t="str">
        <f t="shared" ca="1" si="8"/>
        <v xml:space="preserve">Araújo, A. e Gouveia, L. </v>
      </c>
      <c r="E106" t="str">
        <f t="shared" ca="1" si="1"/>
        <v>2018</v>
      </c>
      <c r="F106" t="str">
        <f t="shared" ca="1" si="2"/>
        <v xml:space="preserve"> Questionário sobre o nível de utilização e 
importância das TICs numa IES. </v>
      </c>
      <c r="G106" s="3">
        <f t="shared" ca="1" si="3"/>
        <v>31</v>
      </c>
      <c r="H106" s="2">
        <f t="shared" ca="1" si="4"/>
        <v>107</v>
      </c>
      <c r="I106" t="e">
        <f t="shared" ca="1" si="5"/>
        <v>#VALUE!</v>
      </c>
      <c r="J106" s="3" t="e">
        <f t="shared" ca="1" si="9"/>
        <v>#VALUE!</v>
      </c>
      <c r="K106" t="str">
        <f t="shared" ca="1" si="6"/>
        <v xml:space="preserve">Araújo, A. e Gouveia, L. </v>
      </c>
      <c r="L106" t="str">
        <f t="shared" ca="1" si="7"/>
        <v xml:space="preserve">Quental, C. </v>
      </c>
    </row>
    <row r="107" spans="1:13" ht="15.75" customHeight="1">
      <c r="A107">
        <f ca="1">IFERROR(__xludf.DUMMYFUNCTION("""COMPUTED_VALUE"""),35)</f>
        <v>35</v>
      </c>
      <c r="B107" t="str">
        <f ca="1">IFERROR(__xludf.DUMMYFUNCTION("""COMPUTED_VALUE"""),"Gouveia, L. (2018). Contributos para a escrita e organização da estrutura 
do relatório final de doutoramento: a tese. Relatório Interno 03/2018. *TRS 
Tecnologia, Redes e Sociedade. Março. Universidade Fernando Pessoa.
[ handle ]")</f>
        <v>Gouveia, L. (2018). Contributos para a escrita e organização da estrutura 
do relatório final de doutoramento: a tese. Relatório Interno 03/2018. *TRS 
Tecnologia, Redes e Sociedade. Março. Universidade Fernando Pessoa.
[ handle ]</v>
      </c>
      <c r="C107" s="2">
        <f t="shared" ca="1" si="0"/>
        <v>13</v>
      </c>
      <c r="D107" t="str">
        <f t="shared" ca="1" si="8"/>
        <v xml:space="preserve">Gouveia, L. </v>
      </c>
      <c r="E107" t="str">
        <f t="shared" ca="1" si="1"/>
        <v>2018</v>
      </c>
      <c r="F107" t="str">
        <f t="shared" ca="1" si="2"/>
        <v xml:space="preserve"> Contributos para a escrita e organização da estrutura 
do relatório final de doutoramento: a tese. </v>
      </c>
      <c r="G107" s="3">
        <f t="shared" ca="1" si="3"/>
        <v>18</v>
      </c>
      <c r="H107" s="2">
        <f t="shared" ca="1" si="4"/>
        <v>118</v>
      </c>
      <c r="I107" t="e">
        <f t="shared" ca="1" si="5"/>
        <v>#VALUE!</v>
      </c>
      <c r="J107" s="3" t="e">
        <f t="shared" ca="1" si="9"/>
        <v>#VALUE!</v>
      </c>
      <c r="K107" t="str">
        <f t="shared" ca="1" si="6"/>
        <v xml:space="preserve">Gouveia, L. </v>
      </c>
      <c r="L107" t="str">
        <f t="shared" ca="1" si="7"/>
        <v xml:space="preserve">Quental, C. </v>
      </c>
    </row>
    <row r="108" spans="1:13" ht="15.75" customHeight="1">
      <c r="A108">
        <f ca="1">IFERROR(__xludf.DUMMYFUNCTION("""COMPUTED_VALUE"""),34)</f>
        <v>34</v>
      </c>
      <c r="B108" t="str">
        <f ca="1">IFERROR(__xludf.DUMMYFUNCTION("""COMPUTED_VALUE"""),"Araújo, A. e Gouveia, L. (2018). Pressupostos sobre a pesquisa científica e 
os testes piloto. Relatório Interno 02/2018. *TRS Tecnologia, Redes e 
Sociedade. Março. Universidade Fernando Pessoa.
[ handle ]")</f>
        <v>Araújo, A. e Gouveia, L. (2018). Pressupostos sobre a pesquisa científica e 
os testes piloto. Relatório Interno 02/2018. *TRS Tecnologia, Redes e 
Sociedade. Março. Universidade Fernando Pessoa.
[ handle ]</v>
      </c>
      <c r="C108" s="2">
        <f t="shared" ca="1" si="0"/>
        <v>26</v>
      </c>
      <c r="D108" t="str">
        <f t="shared" ca="1" si="8"/>
        <v xml:space="preserve">Araújo, A. e Gouveia, L. </v>
      </c>
      <c r="E108" t="str">
        <f t="shared" ca="1" si="1"/>
        <v>2018</v>
      </c>
      <c r="F108" t="str">
        <f t="shared" ca="1" si="2"/>
        <v xml:space="preserve"> Pressupostos sobre a pesquisa científica e 
os testes piloto. </v>
      </c>
      <c r="G108" s="3">
        <f t="shared" ca="1" si="3"/>
        <v>31</v>
      </c>
      <c r="H108" s="2">
        <f t="shared" ca="1" si="4"/>
        <v>94</v>
      </c>
      <c r="I108" t="e">
        <f t="shared" ca="1" si="5"/>
        <v>#VALUE!</v>
      </c>
      <c r="J108" s="3" t="e">
        <f t="shared" ca="1" si="9"/>
        <v>#VALUE!</v>
      </c>
      <c r="K108" t="str">
        <f t="shared" ca="1" si="6"/>
        <v xml:space="preserve">Araújo, A. e Gouveia, L. </v>
      </c>
      <c r="L108" t="str">
        <f t="shared" ca="1" si="7"/>
        <v xml:space="preserve">Quental, C. </v>
      </c>
    </row>
    <row r="109" spans="1:13" ht="15.75" customHeight="1">
      <c r="A109">
        <f ca="1">IFERROR(__xludf.DUMMYFUNCTION("""COMPUTED_VALUE"""),33)</f>
        <v>33</v>
      </c>
      <c r="B109" t="str">
        <f ca="1">IFERROR(__xludf.DUMMYFUNCTION("""COMPUTED_VALUE"""),"Khan, S. and Gouveia, L. (2018). *Digital Transformation Journey: a 
discussion*. Internal Report 01/2018. *TRS Technology, Networks and 
Society. March. University Fernando Pessoa. 
[ handle ]")</f>
        <v>Khan, S. and Gouveia, L. (2018). *Digital Transformation Journey: a 
discussion*. Internal Report 01/2018. *TRS Technology, Networks and 
Society. March. University Fernando Pessoa. 
[ handle ]</v>
      </c>
      <c r="C109" s="2">
        <f t="shared" ca="1" si="0"/>
        <v>26</v>
      </c>
      <c r="D109" t="str">
        <f t="shared" ca="1" si="8"/>
        <v xml:space="preserve">Khan, S. and Gouveia, L. </v>
      </c>
      <c r="E109" t="str">
        <f t="shared" ca="1" si="1"/>
        <v>2018</v>
      </c>
      <c r="F109" t="str">
        <f t="shared" ca="1" si="2"/>
        <v xml:space="preserve"> *Digital Transformation Journey: a 
discussion*. </v>
      </c>
      <c r="G109" s="3">
        <f t="shared" ca="1" si="3"/>
        <v>31</v>
      </c>
      <c r="H109" s="2">
        <f t="shared" ca="1" si="4"/>
        <v>81</v>
      </c>
      <c r="I109" t="e">
        <f t="shared" ca="1" si="5"/>
        <v>#VALUE!</v>
      </c>
      <c r="J109" s="3" t="e">
        <f t="shared" ca="1" si="9"/>
        <v>#VALUE!</v>
      </c>
      <c r="K109" t="str">
        <f t="shared" ca="1" si="6"/>
        <v xml:space="preserve">Khan, S. ; Gouveia, L. </v>
      </c>
      <c r="L109" t="str">
        <f t="shared" ca="1" si="7"/>
        <v xml:space="preserve">Quental, C. </v>
      </c>
      <c r="M109" t="str">
        <f ca="1">IFERROR(__xludf.DUMMYFUNCTION("""COMPUTED_VALUE""")," Gouveia, L. ")</f>
        <v xml:space="preserve"> Gouveia, L. </v>
      </c>
    </row>
    <row r="110" spans="1:13" ht="15.75" customHeight="1">
      <c r="A110">
        <f ca="1">IFERROR(__xludf.DUMMYFUNCTION("""COMPUTED_VALUE"""),32)</f>
        <v>32</v>
      </c>
      <c r="B110" t="str">
        <f ca="1">IFERROR(__xludf.DUMMYFUNCTION("""COMPUTED_VALUE"""),"Gouveia, L. e Morgado, R. (2017). *Estratégia Nacional de Segurança do 
Ciberespaço.* Relatório Interno 10/2017. *TRS Tecnologia, Redes e 
Sociedade. Junho. Universidade Fernando Pessoa.
[ handle ]")</f>
        <v>Gouveia, L. e Morgado, R. (2017). *Estratégia Nacional de Segurança do 
Ciberespaço.* Relatório Interno 10/2017. *TRS Tecnologia, Redes e 
Sociedade. Junho. Universidade Fernando Pessoa.
[ handle ]</v>
      </c>
      <c r="C110" s="2">
        <f t="shared" ca="1" si="0"/>
        <v>27</v>
      </c>
      <c r="D110" t="str">
        <f t="shared" ca="1" si="8"/>
        <v xml:space="preserve">Gouveia, L. e Morgado, R. </v>
      </c>
      <c r="E110" t="str">
        <f t="shared" ca="1" si="1"/>
        <v>2017</v>
      </c>
      <c r="F110" t="str">
        <f t="shared" ca="1" si="2"/>
        <v xml:space="preserve"> *Estratégia Nacional de Segurança do 
Ciberespaço.*</v>
      </c>
      <c r="G110" s="3">
        <f t="shared" ca="1" si="3"/>
        <v>32</v>
      </c>
      <c r="H110" s="2">
        <f t="shared" ca="1" si="4"/>
        <v>84</v>
      </c>
      <c r="I110" t="e">
        <f t="shared" ca="1" si="5"/>
        <v>#VALUE!</v>
      </c>
      <c r="J110" s="3" t="e">
        <f t="shared" ca="1" si="9"/>
        <v>#VALUE!</v>
      </c>
      <c r="K110" t="str">
        <f t="shared" ca="1" si="6"/>
        <v xml:space="preserve">Gouveia, L. e Morgado, R. </v>
      </c>
      <c r="L110" t="str">
        <f t="shared" ca="1" si="7"/>
        <v xml:space="preserve">Quental, C. </v>
      </c>
    </row>
    <row r="111" spans="1:13" ht="15.75" customHeight="1">
      <c r="A111">
        <f ca="1">IFERROR(__xludf.DUMMYFUNCTION("""COMPUTED_VALUE"""),31)</f>
        <v>31</v>
      </c>
      <c r="B111" t="str">
        <f ca="1">IFERROR(__xludf.DUMMYFUNCTION("""COMPUTED_VALUE"""),"Correia, A. e Gouveia, L. (2017).*Um Estudo sobre a Qualidade de Vida na 
Cidade do Porto: exploração de um post no Facebook.* Relatório Interno 
09/2017. *TRS Tecnologia, Redes e Sociedade. Junho. Universidade Fernando 
Pessoa.
[ handle ]")</f>
        <v>Correia, A. e Gouveia, L. (2017).*Um Estudo sobre a Qualidade de Vida na 
Cidade do Porto: exploração de um post no Facebook.* Relatório Interno 
09/2017. *TRS Tecnologia, Redes e Sociedade. Junho. Universidade Fernando 
Pessoa.
[ handle ]</v>
      </c>
      <c r="C111" s="2">
        <f t="shared" ca="1" si="0"/>
        <v>27</v>
      </c>
      <c r="D111" t="str">
        <f t="shared" ca="1" si="8"/>
        <v xml:space="preserve">Correia, A. e Gouveia, L. </v>
      </c>
      <c r="E111" t="str">
        <f t="shared" ca="1" si="1"/>
        <v>2017</v>
      </c>
      <c r="F111" t="str">
        <f t="shared" ca="1" si="2"/>
        <v>*Um Estudo sobre a Qualidade de Vida na 
Cidade do Porto: exploração de um post no Facebook.*</v>
      </c>
      <c r="G111" s="3">
        <f t="shared" ca="1" si="3"/>
        <v>32</v>
      </c>
      <c r="H111" s="2">
        <f t="shared" ca="1" si="4"/>
        <v>125</v>
      </c>
      <c r="I111" t="e">
        <f t="shared" ca="1" si="5"/>
        <v>#VALUE!</v>
      </c>
      <c r="J111" s="3" t="e">
        <f t="shared" ca="1" si="9"/>
        <v>#VALUE!</v>
      </c>
      <c r="K111" t="str">
        <f t="shared" ca="1" si="6"/>
        <v xml:space="preserve">Correia, A. e Gouveia, L. </v>
      </c>
      <c r="L111" t="str">
        <f t="shared" ca="1" si="7"/>
        <v xml:space="preserve">Quental, C. </v>
      </c>
    </row>
    <row r="112" spans="1:13" ht="15.75" customHeight="1">
      <c r="A112">
        <f ca="1">IFERROR(__xludf.DUMMYFUNCTION("""COMPUTED_VALUE"""),30)</f>
        <v>30</v>
      </c>
      <c r="B112" t="str">
        <f ca="1">IFERROR(__xludf.DUMMYFUNCTION("""COMPUTED_VALUE"""),"Rocha, L. e Gouveia, L. (2017). *Aplicação de questionário sobre consumo de 
bens e serviços na Economia Partilhada.* Relatório Interno 08/2017. *TRS 
Tecnologia, Redes e Sociedade. Junho. Universidade Fernando Pessoa.
[ handle ]")</f>
        <v>Rocha, L. e Gouveia, L. (2017). *Aplicação de questionário sobre consumo de 
bens e serviços na Economia Partilhada.* Relatório Interno 08/2017. *TRS 
Tecnologia, Redes e Sociedade. Junho. Universidade Fernando Pessoa.
[ handle ]</v>
      </c>
      <c r="C112" s="2">
        <f t="shared" ca="1" si="0"/>
        <v>25</v>
      </c>
      <c r="D112" t="str">
        <f t="shared" ca="1" si="8"/>
        <v xml:space="preserve">Rocha, L. e Gouveia, L. </v>
      </c>
      <c r="E112" t="str">
        <f t="shared" ca="1" si="1"/>
        <v>2017</v>
      </c>
      <c r="F112" t="str">
        <f t="shared" ca="1" si="2"/>
        <v xml:space="preserve"> *Aplicação de questionário sobre consumo de 
bens e serviços na Economia Partilhada.*</v>
      </c>
      <c r="G112" s="3">
        <f t="shared" ca="1" si="3"/>
        <v>30</v>
      </c>
      <c r="H112" s="2">
        <f t="shared" ca="1" si="4"/>
        <v>116</v>
      </c>
      <c r="I112" t="e">
        <f t="shared" ca="1" si="5"/>
        <v>#VALUE!</v>
      </c>
      <c r="J112" s="3" t="e">
        <f t="shared" ca="1" si="9"/>
        <v>#VALUE!</v>
      </c>
      <c r="K112" t="str">
        <f t="shared" ca="1" si="6"/>
        <v xml:space="preserve">Rocha, L. e Gouveia, L. </v>
      </c>
      <c r="L112" t="str">
        <f t="shared" ca="1" si="7"/>
        <v xml:space="preserve">Quental, C. </v>
      </c>
    </row>
    <row r="113" spans="1:13" ht="15.75" customHeight="1">
      <c r="A113">
        <f ca="1">IFERROR(__xludf.DUMMYFUNCTION("""COMPUTED_VALUE"""),29)</f>
        <v>29</v>
      </c>
      <c r="B113" t="str">
        <f ca="1">IFERROR(__xludf.DUMMYFUNCTION("""COMPUTED_VALUE"""),"Filho, R e Gouveia, L. (2017). *Proposta de renovação da rede lógica do 
MT-Hemocentro.* Relatório Interno 07/2017. *TRS Tecnologia, Redes e 
Sociedade. Maio. Universidade Fernando Pessoa.
[ handle ]")</f>
        <v>Filho, R e Gouveia, L. (2017). *Proposta de renovação da rede lógica do 
MT-Hemocentro.* Relatório Interno 07/2017. *TRS Tecnologia, Redes e 
Sociedade. Maio. Universidade Fernando Pessoa.
[ handle ]</v>
      </c>
      <c r="C113" s="2">
        <f t="shared" ca="1" si="0"/>
        <v>24</v>
      </c>
      <c r="D113" t="str">
        <f t="shared" ca="1" si="8"/>
        <v xml:space="preserve">Filho, R e Gouveia, L. </v>
      </c>
      <c r="E113" t="str">
        <f t="shared" ca="1" si="1"/>
        <v>2017</v>
      </c>
      <c r="F113" t="str">
        <f t="shared" ca="1" si="2"/>
        <v xml:space="preserve"> *Proposta de renovação da rede lógica do 
MT-Hemocentro.*</v>
      </c>
      <c r="G113" s="3">
        <f t="shared" ca="1" si="3"/>
        <v>29</v>
      </c>
      <c r="H113" s="2">
        <f t="shared" ca="1" si="4"/>
        <v>87</v>
      </c>
      <c r="I113" t="e">
        <f t="shared" ca="1" si="5"/>
        <v>#VALUE!</v>
      </c>
      <c r="J113" s="3" t="e">
        <f t="shared" ca="1" si="9"/>
        <v>#VALUE!</v>
      </c>
      <c r="K113" t="str">
        <f t="shared" ca="1" si="6"/>
        <v xml:space="preserve">Filho, R e Gouveia, L. </v>
      </c>
      <c r="L113" t="str">
        <f t="shared" ca="1" si="7"/>
        <v xml:space="preserve">Quental, C. </v>
      </c>
    </row>
    <row r="114" spans="1:13" ht="15.75" customHeight="1">
      <c r="A114">
        <f ca="1">IFERROR(__xludf.DUMMYFUNCTION("""COMPUTED_VALUE"""),28)</f>
        <v>28</v>
      </c>
      <c r="B114" t="str">
        <f ca="1">IFERROR(__xludf.DUMMYFUNCTION("""COMPUTED_VALUE"""),"Quental, C. e Gouveia, L. (2017). *Modelo de mediação digital para 
participação pública em sindicatos. Um relato das experiências realizadas*. 
Relatório Interno 06/2017. *TRS Tecnologia, Redes e Sociedade. Abril. 
Universidade Fernando Pessoa.
[ handle "&amp;"]")</f>
        <v>Quental, C. e Gouveia, L. (2017). *Modelo de mediação digital para 
participação pública em sindicatos. Um relato das experiências realizadas*. 
Relatório Interno 06/2017. *TRS Tecnologia, Redes e Sociedade. Abril. 
Universidade Fernando Pessoa.
[ handle ]</v>
      </c>
      <c r="C114" s="2">
        <f t="shared" ca="1" si="0"/>
        <v>27</v>
      </c>
      <c r="D114" t="str">
        <f t="shared" ca="1" si="8"/>
        <v xml:space="preserve">Quental, C. e Gouveia, L. </v>
      </c>
      <c r="E114" t="str">
        <f t="shared" ca="1" si="1"/>
        <v>2017</v>
      </c>
      <c r="F114" t="str">
        <f t="shared" ca="1" si="2"/>
        <v xml:space="preserve"> *Modelo de mediação digital para 
participação pública em sindicatos. </v>
      </c>
      <c r="G114" s="3">
        <f t="shared" ca="1" si="3"/>
        <v>32</v>
      </c>
      <c r="H114" s="2">
        <f t="shared" ca="1" si="4"/>
        <v>103</v>
      </c>
      <c r="I114" t="e">
        <f t="shared" ca="1" si="5"/>
        <v>#VALUE!</v>
      </c>
      <c r="J114" s="3" t="e">
        <f t="shared" ca="1" si="9"/>
        <v>#VALUE!</v>
      </c>
      <c r="K114" t="str">
        <f t="shared" ca="1" si="6"/>
        <v xml:space="preserve">Quental, C. e Gouveia, L. </v>
      </c>
      <c r="L114" t="str">
        <f t="shared" ca="1" si="7"/>
        <v xml:space="preserve">Quental, C. </v>
      </c>
    </row>
    <row r="115" spans="1:13" ht="15.75" customHeight="1">
      <c r="A115">
        <f ca="1">IFERROR(__xludf.DUMMYFUNCTION("""COMPUTED_VALUE"""),27)</f>
        <v>27</v>
      </c>
      <c r="B115" t="str">
        <f ca="1">IFERROR(__xludf.DUMMYFUNCTION("""COMPUTED_VALUE"""),"Khan, S. and Gouveia, L. (2017). *EMSL Framework: (Minimum Service Level 
Framework) for Cloud Providers and Users*. Internal Report 05/2017. *TRS 
Technology, Networks and Society. April. University Fernando Pessoa. 
[ handle ]")</f>
        <v>Khan, S. and Gouveia, L. (2017). *EMSL Framework: (Minimum Service Level 
Framework) for Cloud Providers and Users*. Internal Report 05/2017. *TRS 
Technology, Networks and Society. April. University Fernando Pessoa. 
[ handle ]</v>
      </c>
      <c r="C115" s="2">
        <f t="shared" ca="1" si="0"/>
        <v>26</v>
      </c>
      <c r="D115" t="str">
        <f t="shared" ca="1" si="8"/>
        <v xml:space="preserve">Khan, S. and Gouveia, L. </v>
      </c>
      <c r="E115" t="str">
        <f t="shared" ca="1" si="1"/>
        <v>2017</v>
      </c>
      <c r="F115" t="str">
        <f t="shared" ca="1" si="2"/>
        <v xml:space="preserve"> *EMSL Framework: (Minimum Service Level 
Framework) for Cloud Providers and Users*. </v>
      </c>
      <c r="G115" s="3">
        <f t="shared" ca="1" si="3"/>
        <v>31</v>
      </c>
      <c r="H115" s="2">
        <f t="shared" ca="1" si="4"/>
        <v>116</v>
      </c>
      <c r="I115" t="e">
        <f t="shared" ca="1" si="5"/>
        <v>#VALUE!</v>
      </c>
      <c r="J115" s="3" t="e">
        <f t="shared" ca="1" si="9"/>
        <v>#VALUE!</v>
      </c>
      <c r="K115" t="str">
        <f t="shared" ca="1" si="6"/>
        <v xml:space="preserve">Khan, S. ; Gouveia, L. </v>
      </c>
      <c r="L115" t="str">
        <f t="shared" ca="1" si="7"/>
        <v xml:space="preserve">Quental, C. </v>
      </c>
      <c r="M115" t="str">
        <f ca="1">IFERROR(__xludf.DUMMYFUNCTION("""COMPUTED_VALUE""")," Gouveia, L. ")</f>
        <v xml:space="preserve"> Gouveia, L. </v>
      </c>
    </row>
    <row r="116" spans="1:13" ht="15.75" customHeight="1">
      <c r="A116">
        <f ca="1">IFERROR(__xludf.DUMMYFUNCTION("""COMPUTED_VALUE"""),26)</f>
        <v>26</v>
      </c>
      <c r="B116" t="str">
        <f ca="1">IFERROR(__xludf.DUMMYFUNCTION("""COMPUTED_VALUE"""),"Nogueira, D. e Gouveia, L.  (2017). *Estudo Preliminar sobre a Rede 
Nacional de Escolas de Governo do Brasil*. Relatório Interno 04/2017. Grupo 
Tecnologia, Redes e Sociedade. Abril. Universidade Fernando Pessoa.
[ handle ]")</f>
        <v>Nogueira, D. e Gouveia, L.  (2017). *Estudo Preliminar sobre a Rede 
Nacional de Escolas de Governo do Brasil*. Relatório Interno 04/2017. Grupo 
Tecnologia, Redes e Sociedade. Abril. Universidade Fernando Pessoa.
[ handle ]</v>
      </c>
      <c r="C116" s="2">
        <f t="shared" ca="1" si="0"/>
        <v>29</v>
      </c>
      <c r="D116" t="str">
        <f t="shared" ca="1" si="8"/>
        <v xml:space="preserve">Nogueira, D. e Gouveia, L.  </v>
      </c>
      <c r="E116" t="str">
        <f t="shared" ca="1" si="1"/>
        <v>2017</v>
      </c>
      <c r="F116" t="str">
        <f t="shared" ca="1" si="2"/>
        <v xml:space="preserve"> *Estudo Preliminar sobre a Rede 
Nacional de Escolas de Governo do Brasil*. </v>
      </c>
      <c r="G116" s="3">
        <f t="shared" ca="1" si="3"/>
        <v>34</v>
      </c>
      <c r="H116" s="2">
        <f t="shared" ca="1" si="4"/>
        <v>111</v>
      </c>
      <c r="I116" t="e">
        <f t="shared" ca="1" si="5"/>
        <v>#VALUE!</v>
      </c>
      <c r="J116" s="3" t="e">
        <f t="shared" ca="1" si="9"/>
        <v>#VALUE!</v>
      </c>
      <c r="K116" t="str">
        <f t="shared" ca="1" si="6"/>
        <v xml:space="preserve">Nogueira, D. e Gouveia, L.  </v>
      </c>
      <c r="L116" t="str">
        <f t="shared" ca="1" si="7"/>
        <v xml:space="preserve">Quental, C. </v>
      </c>
    </row>
    <row r="117" spans="1:13" ht="15.75" customHeight="1">
      <c r="A117">
        <f ca="1">IFERROR(__xludf.DUMMYFUNCTION("""COMPUTED_VALUE"""),25)</f>
        <v>25</v>
      </c>
      <c r="B117" t="str">
        <f ca="1">IFERROR(__xludf.DUMMYFUNCTION("""COMPUTED_VALUE"""),"Gouveia, L. (2017). *Sobre o trabalho de mestrado: informação de contexto e 
estrutura tipo da dissertação.*Relatório Interno TRS 03/2017. Grupo 
Tecnologia, Redes e Sociedade. Março. Universidade Fernando Pessoa. 
[ handle ]")</f>
        <v>Gouveia, L. (2017). *Sobre o trabalho de mestrado: informação de contexto e 
estrutura tipo da dissertação.*Relatório Interno TRS 03/2017. Grupo 
Tecnologia, Redes e Sociedade. Março. Universidade Fernando Pessoa. 
[ handle ]</v>
      </c>
      <c r="C117" s="2">
        <f t="shared" ca="1" si="0"/>
        <v>13</v>
      </c>
      <c r="D117" t="str">
        <f t="shared" ca="1" si="8"/>
        <v xml:space="preserve">Gouveia, L. </v>
      </c>
      <c r="E117" t="str">
        <f t="shared" ca="1" si="1"/>
        <v>2017</v>
      </c>
      <c r="F117" t="str">
        <f t="shared" ca="1" si="2"/>
        <v xml:space="preserve"> *Sobre o trabalho de mestrado: informação de contexto e 
estrutura tipo da dissertação.*</v>
      </c>
      <c r="G117" s="3">
        <f t="shared" ca="1" si="3"/>
        <v>18</v>
      </c>
      <c r="H117" s="2">
        <f t="shared" ca="1" si="4"/>
        <v>107</v>
      </c>
      <c r="I117" t="e">
        <f t="shared" ca="1" si="5"/>
        <v>#VALUE!</v>
      </c>
      <c r="J117" s="3" t="e">
        <f t="shared" ca="1" si="9"/>
        <v>#VALUE!</v>
      </c>
      <c r="K117" t="str">
        <f t="shared" ca="1" si="6"/>
        <v xml:space="preserve">Gouveia, L. </v>
      </c>
      <c r="L117" t="str">
        <f t="shared" ca="1" si="7"/>
        <v xml:space="preserve">Quental, C. </v>
      </c>
    </row>
    <row r="118" spans="1:13" ht="15.75" customHeight="1">
      <c r="A118">
        <f ca="1">IFERROR(__xludf.DUMMYFUNCTION("""COMPUTED_VALUE"""),24)</f>
        <v>24</v>
      </c>
      <c r="B118" t="str">
        <f ca="1">IFERROR(__xludf.DUMMYFUNCTION("""COMPUTED_VALUE"""),"Salimo, G. e Gouveia, L. (2017). *Questionário sobre o nível de utilização 
e importância das TICs nas IES por Professores, Alunos e Funcionários. 
Teste piloto.*Relatório Interno TRS 02/2017. Grupo Tecnologia, Redes e 
Sociedade. Março. Universidade Fern"&amp;"ando Pessoa. 
[ handle ]")</f>
        <v>Salimo, G. e Gouveia, L. (2017). *Questionário sobre o nível de utilização 
e importância das TICs nas IES por Professores, Alunos e Funcionários. 
Teste piloto.*Relatório Interno TRS 02/2017. Grupo Tecnologia, Redes e 
Sociedade. Março. Universidade Fernando Pessoa. 
[ handle ]</v>
      </c>
      <c r="C118" s="2">
        <f t="shared" ca="1" si="0"/>
        <v>26</v>
      </c>
      <c r="D118" t="str">
        <f t="shared" ca="1" si="8"/>
        <v xml:space="preserve">Salimo, G. e Gouveia, L. </v>
      </c>
      <c r="E118" t="str">
        <f t="shared" ca="1" si="1"/>
        <v>2017</v>
      </c>
      <c r="F118" t="str">
        <f t="shared" ca="1" si="2"/>
        <v xml:space="preserve"> *Questionário sobre o nível de utilização 
e importância das TICs nas IES por Professores, Alunos e Funcionários. </v>
      </c>
      <c r="G118" s="3">
        <f t="shared" ca="1" si="3"/>
        <v>31</v>
      </c>
      <c r="H118" s="2">
        <f t="shared" ca="1" si="4"/>
        <v>146</v>
      </c>
      <c r="I118" t="e">
        <f t="shared" ca="1" si="5"/>
        <v>#VALUE!</v>
      </c>
      <c r="J118" s="3" t="e">
        <f t="shared" ca="1" si="9"/>
        <v>#VALUE!</v>
      </c>
      <c r="K118" t="str">
        <f t="shared" ca="1" si="6"/>
        <v xml:space="preserve">Salimo, G. e Gouveia, L. </v>
      </c>
      <c r="L118" t="str">
        <f t="shared" ca="1" si="7"/>
        <v xml:space="preserve">Quental, C. </v>
      </c>
    </row>
    <row r="119" spans="1:13" ht="15.75" customHeight="1">
      <c r="A119">
        <f ca="1">IFERROR(__xludf.DUMMYFUNCTION("""COMPUTED_VALUE"""),23)</f>
        <v>23</v>
      </c>
      <c r="B119" t="str">
        <f ca="1">IFERROR(__xludf.DUMMYFUNCTION("""COMPUTED_VALUE"""),"Marin, D. e Gouveia, L. (2017). *Contributos para a melhoria do serviço 
prestado pela Prefeitura Municipal de Paulo Bento. Análise de processos de 
compras e licitações.*Relatório Interno TRS 01/2017. Grupo Tecnologia, 
Redes e Sociedade. Fevereiro. Univ"&amp;"ersidade Fernando Pessoa. 
[ handle ]")</f>
        <v>Marin, D. e Gouveia, L. (2017). *Contributos para a melhoria do serviço 
prestado pela Prefeitura Municipal de Paulo Bento. Análise de processos de 
compras e licitações.*Relatório Interno TRS 01/2017. Grupo Tecnologia, 
Redes e Sociedade. Fevereiro. Universidade Fernando Pessoa. 
[ handle ]</v>
      </c>
      <c r="C119" s="2">
        <f t="shared" ca="1" si="0"/>
        <v>25</v>
      </c>
      <c r="D119" t="str">
        <f t="shared" ca="1" si="8"/>
        <v xml:space="preserve">Marin, D. e Gouveia, L. </v>
      </c>
      <c r="E119" t="str">
        <f t="shared" ca="1" si="1"/>
        <v>2017</v>
      </c>
      <c r="F119" t="str">
        <f t="shared" ca="1" si="2"/>
        <v xml:space="preserve"> *Contributos para a melhoria do serviço 
prestado pela Prefeitura Municipal de Paulo Bento. </v>
      </c>
      <c r="G119" s="3">
        <f t="shared" ca="1" si="3"/>
        <v>30</v>
      </c>
      <c r="H119" s="2">
        <f t="shared" ca="1" si="4"/>
        <v>123</v>
      </c>
      <c r="I119" t="e">
        <f t="shared" ca="1" si="5"/>
        <v>#VALUE!</v>
      </c>
      <c r="J119" s="3" t="e">
        <f t="shared" ca="1" si="9"/>
        <v>#VALUE!</v>
      </c>
      <c r="K119" t="str">
        <f t="shared" ca="1" si="6"/>
        <v xml:space="preserve">Marin, D. e Gouveia, L. </v>
      </c>
      <c r="L119" t="str">
        <f t="shared" ca="1" si="7"/>
        <v xml:space="preserve">Quental, C. </v>
      </c>
    </row>
    <row r="120" spans="1:13" ht="15.75" customHeight="1">
      <c r="A120">
        <f ca="1">IFERROR(__xludf.DUMMYFUNCTION("""COMPUTED_VALUE"""),22)</f>
        <v>22</v>
      </c>
      <c r="B120" t="str">
        <f ca="1">IFERROR(__xludf.DUMMYFUNCTION("""COMPUTED_VALUE"""),"Robalo, A. e Gouveia, L. (2016). *As competências em TIC para professores: 
estudo da proposta UNESCO de 2008*. Relatório Interno TRS 02/2016. Grupo 
tecnologia, Redes e Sociedade. Fevereiro. Universidade Fernando Pessoa.
[ handle ]")</f>
        <v>Robalo, A. e Gouveia, L. (2016). *As competências em TIC para professores: 
estudo da proposta UNESCO de 2008*. Relatório Interno TRS 02/2016. Grupo 
tecnologia, Redes e Sociedade. Fevereiro. Universidade Fernando Pessoa.
[ handle ]</v>
      </c>
      <c r="C120" s="2">
        <f t="shared" ca="1" si="0"/>
        <v>26</v>
      </c>
      <c r="D120" t="str">
        <f t="shared" ca="1" si="8"/>
        <v xml:space="preserve">Robalo, A. e Gouveia, L. </v>
      </c>
      <c r="E120" t="str">
        <f t="shared" ca="1" si="1"/>
        <v>2016</v>
      </c>
      <c r="F120" t="str">
        <f t="shared" ca="1" si="2"/>
        <v xml:space="preserve"> *As competências em TIC para professores: 
estudo da proposta UNESCO de 2008*. </v>
      </c>
      <c r="G120" s="3">
        <f t="shared" ca="1" si="3"/>
        <v>31</v>
      </c>
      <c r="H120" s="2">
        <f t="shared" ca="1" si="4"/>
        <v>111</v>
      </c>
      <c r="I120" t="e">
        <f t="shared" ca="1" si="5"/>
        <v>#VALUE!</v>
      </c>
      <c r="J120" s="3" t="e">
        <f t="shared" ca="1" si="9"/>
        <v>#VALUE!</v>
      </c>
      <c r="K120" t="str">
        <f t="shared" ca="1" si="6"/>
        <v xml:space="preserve">Robalo, A. e Gouveia, L. </v>
      </c>
      <c r="L120" t="str">
        <f t="shared" ca="1" si="7"/>
        <v xml:space="preserve">Quental, C. </v>
      </c>
    </row>
    <row r="121" spans="1:13" ht="15.75" customHeight="1">
      <c r="A121">
        <f ca="1">IFERROR(__xludf.DUMMYFUNCTION("""COMPUTED_VALUE"""),21)</f>
        <v>21</v>
      </c>
      <c r="B121" t="str">
        <f ca="1">IFERROR(__xludf.DUMMYFUNCTION("""COMPUTED_VALUE"""),"Salimo, G. e Gouveia, L.  (2016). *Ensino Superior em Moçambique. Os 
desafios da gestão na Era Digital*. Relatório Interno TRS 01/2016. Grupo 
Tecnologia, Redes e Sociedade. Fevereiro. Universidade Fernando Pessoa.
[ handle ]")</f>
        <v>Salimo, G. e Gouveia, L.  (2016). *Ensino Superior em Moçambique. Os 
desafios da gestão na Era Digital*. Relatório Interno TRS 01/2016. Grupo 
Tecnologia, Redes e Sociedade. Fevereiro. Universidade Fernando Pessoa.
[ handle ]</v>
      </c>
      <c r="C121" s="2">
        <f t="shared" ca="1" si="0"/>
        <v>27</v>
      </c>
      <c r="D121" t="str">
        <f t="shared" ca="1" si="8"/>
        <v xml:space="preserve">Salimo, G. e Gouveia, L.  </v>
      </c>
      <c r="E121" t="str">
        <f t="shared" ca="1" si="1"/>
        <v>2016</v>
      </c>
      <c r="F121" t="str">
        <f t="shared" ca="1" si="2"/>
        <v xml:space="preserve"> *Ensino Superior em Moçambique. </v>
      </c>
      <c r="G121" s="3">
        <f t="shared" ca="1" si="3"/>
        <v>32</v>
      </c>
      <c r="H121" s="2">
        <f t="shared" ca="1" si="4"/>
        <v>65</v>
      </c>
      <c r="I121" t="e">
        <f t="shared" ca="1" si="5"/>
        <v>#VALUE!</v>
      </c>
      <c r="J121" s="3" t="e">
        <f t="shared" ca="1" si="9"/>
        <v>#VALUE!</v>
      </c>
      <c r="K121" t="str">
        <f t="shared" ca="1" si="6"/>
        <v xml:space="preserve">Salimo, G. e Gouveia, L.  </v>
      </c>
      <c r="L121" t="str">
        <f t="shared" ca="1" si="7"/>
        <v xml:space="preserve">Quental, C. </v>
      </c>
    </row>
    <row r="122" spans="1:13" ht="15.75" customHeight="1">
      <c r="A122">
        <f ca="1">IFERROR(__xludf.DUMMYFUNCTION("""COMPUTED_VALUE"""),20)</f>
        <v>20</v>
      </c>
      <c r="B122" t="str">
        <f ca="1">IFERROR(__xludf.DUMMYFUNCTION("""COMPUTED_VALUE"""),"Robalo, A. e Gouveia, L.  (2015). *Aplicação do questionário a professores 
do Município do Huambo (Angola) sobre competências TIC para professores: 
Teste Piloto*. Relatório Interno TRS 04/2015. Grupo Tecnologia, Redes e 
Sociedade. Julho. Universidade F"&amp;"ernando Pessoa.
[ handle ]")</f>
        <v>Robalo, A. e Gouveia, L.  (2015). *Aplicação do questionário a professores 
do Município do Huambo (Angola) sobre competências TIC para professores: 
Teste Piloto*. Relatório Interno TRS 04/2015. Grupo Tecnologia, Redes e 
Sociedade. Julho. Universidade Fernando Pessoa.
[ handle ]</v>
      </c>
      <c r="C122" s="2">
        <f t="shared" ca="1" si="0"/>
        <v>27</v>
      </c>
      <c r="D122" t="str">
        <f t="shared" ca="1" si="8"/>
        <v xml:space="preserve">Robalo, A. e Gouveia, L.  </v>
      </c>
      <c r="E122" t="str">
        <f t="shared" ca="1" si="1"/>
        <v>2015</v>
      </c>
      <c r="F122" t="str">
        <f t="shared" ca="1" si="2"/>
        <v xml:space="preserve"> *Aplicação do questionário a professores 
do Município do Huambo (Angola) sobre competências TIC para professores: 
Teste Piloto*. </v>
      </c>
      <c r="G122" s="3">
        <f t="shared" ca="1" si="3"/>
        <v>32</v>
      </c>
      <c r="H122" s="2">
        <f t="shared" ca="1" si="4"/>
        <v>164</v>
      </c>
      <c r="I122" t="e">
        <f t="shared" ca="1" si="5"/>
        <v>#VALUE!</v>
      </c>
      <c r="J122" s="3" t="e">
        <f t="shared" ca="1" si="9"/>
        <v>#VALUE!</v>
      </c>
      <c r="K122" t="str">
        <f t="shared" ca="1" si="6"/>
        <v xml:space="preserve">Robalo, A. e Gouveia, L.  </v>
      </c>
      <c r="L122" t="str">
        <f t="shared" ca="1" si="7"/>
        <v xml:space="preserve">Quental, C. </v>
      </c>
    </row>
    <row r="123" spans="1:13" ht="15.75" customHeight="1">
      <c r="A123">
        <f ca="1">IFERROR(__xludf.DUMMYFUNCTION("""COMPUTED_VALUE"""),19)</f>
        <v>19</v>
      </c>
      <c r="B123" t="str">
        <f ca="1">IFERROR(__xludf.DUMMYFUNCTION("""COMPUTED_VALUE"""),"Robalo, A. e  Gouveia, L.  (2015). *Análise preliminar do questionário a 
professores do Município do Huambo (Angola) sobre competências TIC para 
professores.* Relatório Interno TRS 03/2015. Grupo Tecnologia, Redes e 
Sociedade. Julho. Universidade Ferna"&amp;"ndo Pessoa. 
[ handle ]")</f>
        <v>Robalo, A. e  Gouveia, L.  (2015). *Análise preliminar do questionário a 
professores do Município do Huambo (Angola) sobre competências TIC para 
professores.* Relatório Interno TRS 03/2015. Grupo Tecnologia, Redes e 
Sociedade. Julho. Universidade Fernando Pessoa. 
[ handle ]</v>
      </c>
      <c r="C123" s="2">
        <f t="shared" ca="1" si="0"/>
        <v>28</v>
      </c>
      <c r="D123" t="str">
        <f t="shared" ca="1" si="8"/>
        <v xml:space="preserve">Robalo, A. e  Gouveia, L.  </v>
      </c>
      <c r="E123" t="str">
        <f t="shared" ca="1" si="1"/>
        <v>2015</v>
      </c>
      <c r="F123" t="str">
        <f t="shared" ca="1" si="2"/>
        <v xml:space="preserve"> *Análise preliminar do questionário a 
professores do Município do Huambo (Angola) sobre competências TIC para 
professores.*</v>
      </c>
      <c r="G123" s="3">
        <f t="shared" ca="1" si="3"/>
        <v>33</v>
      </c>
      <c r="H123" s="2">
        <f t="shared" ca="1" si="4"/>
        <v>159</v>
      </c>
      <c r="I123" t="e">
        <f t="shared" ca="1" si="5"/>
        <v>#VALUE!</v>
      </c>
      <c r="J123" s="3" t="e">
        <f t="shared" ca="1" si="9"/>
        <v>#VALUE!</v>
      </c>
      <c r="K123" t="str">
        <f t="shared" ca="1" si="6"/>
        <v xml:space="preserve">Robalo, A. e  Gouveia, L.  </v>
      </c>
      <c r="L123" t="str">
        <f t="shared" ca="1" si="7"/>
        <v xml:space="preserve">Quental, C. </v>
      </c>
    </row>
    <row r="124" spans="1:13" ht="15.75" customHeight="1">
      <c r="A124">
        <f ca="1">IFERROR(__xludf.DUMMYFUNCTION("""COMPUTED_VALUE"""),18)</f>
        <v>18</v>
      </c>
      <c r="B124" t="str">
        <f ca="1">IFERROR(__xludf.DUMMYFUNCTION("""COMPUTED_VALUE"""),"Martins, O. e Gouveia, L. (2015).* As Bibliotecas e o Ensino Superior: uma 
reflexão preliminar*. Relatório Interno TRS 02/2015. Grupo Tecnologia, 
Redes e Sociedade. Julho. Universidade Fernando Pessoa. 
[ handle ]")</f>
        <v>Martins, O. e Gouveia, L. (2015).* As Bibliotecas e o Ensino Superior: uma 
reflexão preliminar*. Relatório Interno TRS 02/2015. Grupo Tecnologia, 
Redes e Sociedade. Julho. Universidade Fernando Pessoa. 
[ handle ]</v>
      </c>
      <c r="C124" s="2">
        <f t="shared" ca="1" si="0"/>
        <v>27</v>
      </c>
      <c r="D124" t="str">
        <f t="shared" ca="1" si="8"/>
        <v xml:space="preserve">Martins, O. e Gouveia, L. </v>
      </c>
      <c r="E124" t="str">
        <f t="shared" ca="1" si="1"/>
        <v>2015</v>
      </c>
      <c r="F124" t="str">
        <f t="shared" ca="1" si="2"/>
        <v xml:space="preserve">* As Bibliotecas e o Ensino Superior: uma 
reflexão preliminar*. </v>
      </c>
      <c r="G124" s="3">
        <f t="shared" ca="1" si="3"/>
        <v>32</v>
      </c>
      <c r="H124" s="2">
        <f t="shared" ca="1" si="4"/>
        <v>97</v>
      </c>
      <c r="I124" t="e">
        <f t="shared" ca="1" si="5"/>
        <v>#VALUE!</v>
      </c>
      <c r="J124" s="3" t="e">
        <f t="shared" ca="1" si="9"/>
        <v>#VALUE!</v>
      </c>
      <c r="K124" t="str">
        <f t="shared" ca="1" si="6"/>
        <v xml:space="preserve">Martins, O. e Gouveia, L. </v>
      </c>
      <c r="L124" t="str">
        <f t="shared" ca="1" si="7"/>
        <v xml:space="preserve">Quental, C. </v>
      </c>
    </row>
    <row r="125" spans="1:13" ht="15.75" customHeight="1">
      <c r="A125">
        <f ca="1">IFERROR(__xludf.DUMMYFUNCTION("""COMPUTED_VALUE"""),17)</f>
        <v>17</v>
      </c>
      <c r="B125" t="str">
        <f ca="1">IFERROR(__xludf.DUMMYFUNCTION("""COMPUTED_VALUE"""),"Alfredo, P. e Gouveia, L. (2015). *Aplicação do questionário aos cidadãos 
sobre o governo eletrónico local: teste piloto*. Relatório Interno TRS 
01/2015. Grupo Tecnologia, Redes e Sociedade. Junho. Universidade Fernando 
Pessoa.
[ handle ]")</f>
        <v>Alfredo, P. e Gouveia, L. (2015). *Aplicação do questionário aos cidadãos 
sobre o governo eletrónico local: teste piloto*. Relatório Interno TRS 
01/2015. Grupo Tecnologia, Redes e Sociedade. Junho. Universidade Fernando 
Pessoa.
[ handle ]</v>
      </c>
      <c r="C125" s="2">
        <f t="shared" ca="1" si="0"/>
        <v>27</v>
      </c>
      <c r="D125" t="str">
        <f t="shared" ca="1" si="8"/>
        <v xml:space="preserve">Alfredo, P. e Gouveia, L. </v>
      </c>
      <c r="E125" t="str">
        <f t="shared" ca="1" si="1"/>
        <v>2015</v>
      </c>
      <c r="F125" t="str">
        <f t="shared" ca="1" si="2"/>
        <v xml:space="preserve"> *Aplicação do questionário aos cidadãos 
sobre o governo eletrónico local: teste piloto*. </v>
      </c>
      <c r="G125" s="3">
        <f t="shared" ca="1" si="3"/>
        <v>32</v>
      </c>
      <c r="H125" s="2">
        <f t="shared" ca="1" si="4"/>
        <v>123</v>
      </c>
      <c r="I125" t="e">
        <f t="shared" ca="1" si="5"/>
        <v>#VALUE!</v>
      </c>
      <c r="J125" s="3" t="e">
        <f t="shared" ca="1" si="9"/>
        <v>#VALUE!</v>
      </c>
      <c r="K125" t="str">
        <f t="shared" ca="1" si="6"/>
        <v xml:space="preserve">Alfredo, P. e Gouveia, L. </v>
      </c>
      <c r="L125" t="str">
        <f t="shared" ca="1" si="7"/>
        <v xml:space="preserve">Quental, C. </v>
      </c>
    </row>
    <row r="126" spans="1:13" ht="15.75" customHeight="1">
      <c r="A126">
        <f ca="1">IFERROR(__xludf.DUMMYFUNCTION("""COMPUTED_VALUE"""),16)</f>
        <v>16</v>
      </c>
      <c r="B126" t="str">
        <f ca="1">IFERROR(__xludf.DUMMYFUNCTION("""COMPUTED_VALUE"""),"António, F. e Gouveia, L. (2014). *Análise de um sistema de backoffice de 
Ensino a Distância para a Universidade Católica de Angola*. Relatório 
Interno TRS 03/2014. Grupo Tecnologia, Redes e Sociedade. Junho. 
Universidade Fernando Pessoa.
[ handle ]")</f>
        <v>António, F. e Gouveia, L. (2014). *Análise de um sistema de backoffice de 
Ensino a Distância para a Universidade Católica de Angola*. Relatório 
Interno TRS 03/2014. Grupo Tecnologia, Redes e Sociedade. Junho. 
Universidade Fernando Pessoa.
[ handle ]</v>
      </c>
      <c r="C126" s="2">
        <f t="shared" ca="1" si="0"/>
        <v>27</v>
      </c>
      <c r="D126" t="str">
        <f t="shared" ca="1" si="8"/>
        <v xml:space="preserve">António, F. e Gouveia, L. </v>
      </c>
      <c r="E126" t="str">
        <f t="shared" ca="1" si="1"/>
        <v>2014</v>
      </c>
      <c r="F126" t="str">
        <f t="shared" ca="1" si="2"/>
        <v xml:space="preserve"> *Análise de um sistema de backoffice de 
Ensino a Distância para a Universidade Católica de Angola*. </v>
      </c>
      <c r="G126" s="3">
        <f t="shared" ca="1" si="3"/>
        <v>32</v>
      </c>
      <c r="H126" s="2">
        <f t="shared" ca="1" si="4"/>
        <v>134</v>
      </c>
      <c r="I126" t="e">
        <f t="shared" ca="1" si="5"/>
        <v>#VALUE!</v>
      </c>
      <c r="J126" s="3" t="e">
        <f t="shared" ca="1" si="9"/>
        <v>#VALUE!</v>
      </c>
      <c r="K126" t="str">
        <f t="shared" ca="1" si="6"/>
        <v xml:space="preserve">António, F. e Gouveia, L. </v>
      </c>
      <c r="L126" t="str">
        <f t="shared" ca="1" si="7"/>
        <v xml:space="preserve">Quental, C. </v>
      </c>
    </row>
    <row r="127" spans="1:13" ht="15.75" customHeight="1">
      <c r="A127">
        <f ca="1">IFERROR(__xludf.DUMMYFUNCTION("""COMPUTED_VALUE"""),15)</f>
        <v>15</v>
      </c>
      <c r="B127" t="str">
        <f ca="1">IFERROR(__xludf.DUMMYFUNCTION("""COMPUTED_VALUE"""),"António, F. e Gouveia, L. (2014). *Estudo preliminar de um Sistema de 
Acolhimento para Alunos da Universidade Católica de Angola*. Relatório 
Interno TRS 02/2014. Grupo Tecnologia, Redes e Sociedade. Junho. 
Universidade Fernando Pessoa.
[ handle ]")</f>
        <v>António, F. e Gouveia, L. (2014). *Estudo preliminar de um Sistema de 
Acolhimento para Alunos da Universidade Católica de Angola*. Relatório 
Interno TRS 02/2014. Grupo Tecnologia, Redes e Sociedade. Junho. 
Universidade Fernando Pessoa.
[ handle ]</v>
      </c>
      <c r="C127" s="2">
        <f t="shared" ca="1" si="0"/>
        <v>27</v>
      </c>
      <c r="D127" t="str">
        <f t="shared" ca="1" si="8"/>
        <v xml:space="preserve">António, F. e Gouveia, L. </v>
      </c>
      <c r="E127" t="str">
        <f t="shared" ca="1" si="1"/>
        <v>2014</v>
      </c>
      <c r="F127" t="str">
        <f t="shared" ca="1" si="2"/>
        <v xml:space="preserve"> *Estudo preliminar de um Sistema de 
Acolhimento para Alunos da Universidade Católica de Angola*. </v>
      </c>
      <c r="G127" s="3">
        <f t="shared" ca="1" si="3"/>
        <v>32</v>
      </c>
      <c r="H127" s="2">
        <f t="shared" ca="1" si="4"/>
        <v>131</v>
      </c>
      <c r="I127" t="e">
        <f t="shared" ca="1" si="5"/>
        <v>#VALUE!</v>
      </c>
      <c r="J127" s="3" t="e">
        <f t="shared" ca="1" si="9"/>
        <v>#VALUE!</v>
      </c>
      <c r="K127" t="str">
        <f t="shared" ca="1" si="6"/>
        <v xml:space="preserve">António, F. e Gouveia, L. </v>
      </c>
      <c r="L127" t="str">
        <f t="shared" ca="1" si="7"/>
        <v xml:space="preserve">Quental, C. </v>
      </c>
    </row>
    <row r="128" spans="1:13" ht="15.75" customHeight="1">
      <c r="A128">
        <f ca="1">IFERROR(__xludf.DUMMYFUNCTION("""COMPUTED_VALUE"""),14)</f>
        <v>14</v>
      </c>
      <c r="B128" t="str">
        <f ca="1">IFERROR(__xludf.DUMMYFUNCTION("""COMPUTED_VALUE"""),"Salimo, G. e Gouveia, L. (2014). *Estudo preliminar para a Adopção de 
Práticas de EAD na UniZambeze*. Relatório Interno TRS 01/2014. Grupo 
Tecnologia, Redes e Sociedade. Junho. Universidade Fernando Pessoa.
[ handle ]")</f>
        <v>Salimo, G. e Gouveia, L. (2014). *Estudo preliminar para a Adopção de 
Práticas de EAD na UniZambeze*. Relatório Interno TRS 01/2014. Grupo 
Tecnologia, Redes e Sociedade. Junho. Universidade Fernando Pessoa.
[ handle ]</v>
      </c>
      <c r="C128" s="2">
        <f t="shared" ca="1" si="0"/>
        <v>26</v>
      </c>
      <c r="D128" t="str">
        <f t="shared" ca="1" si="8"/>
        <v xml:space="preserve">Salimo, G. e Gouveia, L. </v>
      </c>
      <c r="E128" t="str">
        <f t="shared" ca="1" si="1"/>
        <v>2014</v>
      </c>
      <c r="F128" t="str">
        <f t="shared" ca="1" si="2"/>
        <v xml:space="preserve"> *Estudo preliminar para a Adopção de 
Práticas de EAD na UniZambeze*. </v>
      </c>
      <c r="G128" s="3">
        <f t="shared" ca="1" si="3"/>
        <v>31</v>
      </c>
      <c r="H128" s="2">
        <f t="shared" ca="1" si="4"/>
        <v>102</v>
      </c>
      <c r="I128" t="e">
        <f t="shared" ca="1" si="5"/>
        <v>#VALUE!</v>
      </c>
      <c r="J128" s="3" t="e">
        <f t="shared" ca="1" si="9"/>
        <v>#VALUE!</v>
      </c>
      <c r="K128" t="str">
        <f t="shared" ca="1" si="6"/>
        <v xml:space="preserve">Salimo, G. e Gouveia, L. </v>
      </c>
      <c r="L128" t="str">
        <f t="shared" ca="1" si="7"/>
        <v xml:space="preserve">Quental, C. </v>
      </c>
    </row>
    <row r="129" spans="1:15" ht="15.75" customHeight="1">
      <c r="A129">
        <f ca="1">IFERROR(__xludf.DUMMYFUNCTION("""COMPUTED_VALUE"""),13)</f>
        <v>13</v>
      </c>
      <c r="B129" t="str">
        <f ca="1">IFERROR(__xludf.DUMMYFUNCTION("""COMPUTED_VALUE"""),"Robalo, A. e Gouveia, L. (2013). *Aplicação das TICs no Instituto Superior 
de Ciências de Educação: uma nova metodologia para o currículo de 
Informática*. Relatório Interno TRS 02/2013. Grupo Tecnologia, Redes e 
Sociedade. Outubro. Universidade Fernand"&amp;"o Pessoa.
[ handle ]")</f>
        <v>Robalo, A. e Gouveia, L. (2013). *Aplicação das TICs no Instituto Superior 
de Ciências de Educação: uma nova metodologia para o currículo de 
Informática*. Relatório Interno TRS 02/2013. Grupo Tecnologia, Redes e 
Sociedade. Outubro. Universidade Fernando Pessoa.
[ handle ]</v>
      </c>
      <c r="C129" s="2">
        <f t="shared" ca="1" si="0"/>
        <v>26</v>
      </c>
      <c r="D129" t="str">
        <f t="shared" ca="1" si="8"/>
        <v xml:space="preserve">Robalo, A. e Gouveia, L. </v>
      </c>
      <c r="E129" t="str">
        <f t="shared" ca="1" si="1"/>
        <v>2013</v>
      </c>
      <c r="F129" t="str">
        <f t="shared" ca="1" si="2"/>
        <v xml:space="preserve"> *Aplicação das TICs no Instituto Superior 
de Ciências de Educação: uma nova metodologia para o currículo de 
Informática*. </v>
      </c>
      <c r="G129" s="3">
        <f t="shared" ca="1" si="3"/>
        <v>31</v>
      </c>
      <c r="H129" s="2">
        <f t="shared" ca="1" si="4"/>
        <v>156</v>
      </c>
      <c r="I129" t="e">
        <f t="shared" ca="1" si="5"/>
        <v>#VALUE!</v>
      </c>
      <c r="J129" s="3" t="e">
        <f t="shared" ca="1" si="9"/>
        <v>#VALUE!</v>
      </c>
      <c r="K129" t="str">
        <f t="shared" ca="1" si="6"/>
        <v xml:space="preserve">Robalo, A. e Gouveia, L. </v>
      </c>
      <c r="L129" t="str">
        <f t="shared" ca="1" si="7"/>
        <v xml:space="preserve">Quental, C. </v>
      </c>
    </row>
    <row r="130" spans="1:15" ht="15.75" customHeight="1">
      <c r="A130">
        <f ca="1">IFERROR(__xludf.DUMMYFUNCTION("""COMPUTED_VALUE"""),12)</f>
        <v>12</v>
      </c>
      <c r="B130" t="str">
        <f ca="1">IFERROR(__xludf.DUMMYFUNCTION("""COMPUTED_VALUE"""),"Simões, L. e Gouveia, L. (2013). *Estudo exploratório sobre a utilização de 
Web 2.0 por Docentes do Ensino Superior*. Relatório Interno TRS 01/2013. 
Grupo Tecnologia, Redes e Sociedade. Maio. Universidade Fernando Pessoa.
[ handle ]")</f>
        <v>Simões, L. e Gouveia, L. (2013). *Estudo exploratório sobre a utilização de 
Web 2.0 por Docentes do Ensino Superior*. Relatório Interno TRS 01/2013. 
Grupo Tecnologia, Redes e Sociedade. Maio. Universidade Fernando Pessoa.
[ handle ]</v>
      </c>
      <c r="C130" s="2">
        <f t="shared" ca="1" si="0"/>
        <v>26</v>
      </c>
      <c r="D130" t="str">
        <f t="shared" ca="1" si="8"/>
        <v xml:space="preserve">Simões, L. e Gouveia, L. </v>
      </c>
      <c r="E130" t="str">
        <f t="shared" ca="1" si="1"/>
        <v>2013</v>
      </c>
      <c r="F130" t="str">
        <f t="shared" ca="1" si="2"/>
        <v xml:space="preserve"> *Estudo exploratório sobre a utilização de 
Web 2.0</v>
      </c>
      <c r="G130" s="3">
        <f t="shared" ca="1" si="3"/>
        <v>31</v>
      </c>
      <c r="H130" s="2">
        <f t="shared" ca="1" si="4"/>
        <v>83</v>
      </c>
      <c r="I130" t="e">
        <f t="shared" ca="1" si="5"/>
        <v>#VALUE!</v>
      </c>
      <c r="J130" s="3" t="e">
        <f t="shared" ca="1" si="9"/>
        <v>#VALUE!</v>
      </c>
      <c r="K130" t="str">
        <f t="shared" ca="1" si="6"/>
        <v xml:space="preserve">Simões, L. e Gouveia, L. </v>
      </c>
      <c r="L130" t="str">
        <f t="shared" ca="1" si="7"/>
        <v xml:space="preserve">Quental, C. </v>
      </c>
    </row>
    <row r="131" spans="1:15" ht="15.75" customHeight="1">
      <c r="A131">
        <f ca="1">IFERROR(__xludf.DUMMYFUNCTION("""COMPUTED_VALUE"""),11)</f>
        <v>11</v>
      </c>
      <c r="B131" t="str">
        <f ca="1">IFERROR(__xludf.DUMMYFUNCTION("""COMPUTED_VALUE"""),"Fernandes, N.; Gouveia, L. and Gouveia, F. (2009) *UFP-UV: UFP in the Sakai 
Project*. Internal Report 04/2009. CEREM - UFP. Multimedia Resource Centre, 
University Fernando Pessoa. 
texto [ pdf (188KB) ] | handle")</f>
        <v>Fernandes, N.; Gouveia, L. and Gouveia, F. (2009) *UFP-UV: UFP in the Sakai 
Project*. Internal Report 04/2009. CEREM - UFP. Multimedia Resource Centre, 
University Fernando Pessoa. 
texto [ pdf (188KB) ] | handle</v>
      </c>
      <c r="C131" s="2">
        <f t="shared" ca="1" si="0"/>
        <v>44</v>
      </c>
      <c r="D131" t="str">
        <f t="shared" ca="1" si="8"/>
        <v xml:space="preserve">Fernandes, N.; Gouveia, L. and Gouveia, F. </v>
      </c>
      <c r="E131" t="str">
        <f t="shared" ca="1" si="1"/>
        <v>2009</v>
      </c>
      <c r="F131" t="e">
        <f t="shared" ca="1" si="2"/>
        <v>#VALUE!</v>
      </c>
      <c r="G131" s="3" t="e">
        <f t="shared" ca="1" si="3"/>
        <v>#VALUE!</v>
      </c>
      <c r="H131" s="2" t="e">
        <f t="shared" ca="1" si="4"/>
        <v>#VALUE!</v>
      </c>
      <c r="I131" t="e">
        <f t="shared" ca="1" si="5"/>
        <v>#VALUE!</v>
      </c>
      <c r="J131" s="3" t="e">
        <f t="shared" ca="1" si="9"/>
        <v>#VALUE!</v>
      </c>
      <c r="K131" t="str">
        <f t="shared" ca="1" si="6"/>
        <v xml:space="preserve">Fern;es, N.; Gouveia, L. ; Gouveia, F. </v>
      </c>
      <c r="L131" t="str">
        <f t="shared" ca="1" si="7"/>
        <v xml:space="preserve">Quental, C. </v>
      </c>
      <c r="M131" t="str">
        <f ca="1">IFERROR(__xludf.DUMMYFUNCTION("""COMPUTED_VALUE"""),"es, N.")</f>
        <v>es, N.</v>
      </c>
      <c r="N131" t="str">
        <f ca="1">IFERROR(__xludf.DUMMYFUNCTION("""COMPUTED_VALUE""")," Gouveia, L. ")</f>
        <v xml:space="preserve"> Gouveia, L. </v>
      </c>
      <c r="O131" t="str">
        <f ca="1">IFERROR(__xludf.DUMMYFUNCTION("""COMPUTED_VALUE""")," Gouveia, F. ")</f>
        <v xml:space="preserve"> Gouveia, F. </v>
      </c>
    </row>
    <row r="132" spans="1:15" ht="15.75" customHeight="1">
      <c r="A132">
        <f ca="1">IFERROR(__xludf.DUMMYFUNCTION("""COMPUTED_VALUE"""),10)</f>
        <v>10</v>
      </c>
      <c r="B132" t="str">
        <f ca="1">IFERROR(__xludf.DUMMYFUNCTION("""COMPUTED_VALUE"""),"Abrantes, S. e Gouveia, L. (2009) *Avaliação do uso do m-learning no 
contexto de sala de aula no Ensino Superior*. Relatório Interno 03/2009. 
CEREM - UFP. Centro de Estudos e Recursos Multimediáticos, Universidade 
Fernando Pessoa.
texto [ pdf (374KB) ]"&amp;" | handle")</f>
        <v>Abrantes, S. e Gouveia, L. (2009) *Avaliação do uso do m-learning no 
contexto de sala de aula no Ensino Superior*. Relatório Interno 03/2009. 
CEREM - UFP. Centro de Estudos e Recursos Multimediáticos, Universidade 
Fernando Pessoa.
texto [ pdf (374KB) ] | handle</v>
      </c>
      <c r="C132" s="2">
        <f t="shared" ca="1" si="0"/>
        <v>28</v>
      </c>
      <c r="D132" t="str">
        <f t="shared" ca="1" si="8"/>
        <v xml:space="preserve">Abrantes, S. e Gouveia, L. </v>
      </c>
      <c r="E132" t="str">
        <f t="shared" ca="1" si="1"/>
        <v>2009</v>
      </c>
      <c r="F132" t="e">
        <f t="shared" ca="1" si="2"/>
        <v>#VALUE!</v>
      </c>
      <c r="G132" s="3" t="e">
        <f t="shared" ca="1" si="3"/>
        <v>#VALUE!</v>
      </c>
      <c r="H132" s="2" t="e">
        <f t="shared" ca="1" si="4"/>
        <v>#VALUE!</v>
      </c>
      <c r="I132" t="e">
        <f t="shared" ca="1" si="5"/>
        <v>#VALUE!</v>
      </c>
      <c r="J132" s="3" t="e">
        <f t="shared" ca="1" si="9"/>
        <v>#VALUE!</v>
      </c>
      <c r="K132" t="str">
        <f t="shared" ca="1" si="6"/>
        <v xml:space="preserve">Abrantes, S. e Gouveia, L. </v>
      </c>
      <c r="L132" t="str">
        <f t="shared" ca="1" si="7"/>
        <v xml:space="preserve">Quental, C. </v>
      </c>
    </row>
    <row r="133" spans="1:15" ht="15.75" customHeight="1">
      <c r="A133">
        <f ca="1">IFERROR(__xludf.DUMMYFUNCTION("""COMPUTED_VALUE"""),9)</f>
        <v>9</v>
      </c>
      <c r="B133" t="str">
        <f ca="1">IFERROR(__xludf.DUMMYFUNCTION("""COMPUTED_VALUE"""),"Abrantes, S. e Gouveia, L. (2009) *Estudo da percepção e potencial do uso 
de aplicações móveis para ambientes colaborativos*. Relatório Interno 
02/2009. CEREM - UFP. Centro de Estudos e Recursos Multimediáticos, 
Universidade Fernando Pessoa.
texto [ pd"&amp;"f (533KB) ] | handle")</f>
        <v>Abrantes, S. e Gouveia, L. (2009) *Estudo da percepção e potencial do uso 
de aplicações móveis para ambientes colaborativos*. Relatório Interno 
02/2009. CEREM - UFP. Centro de Estudos e Recursos Multimediáticos, 
Universidade Fernando Pessoa.
texto [ pdf (533KB) ] | handle</v>
      </c>
      <c r="C133" s="2">
        <f t="shared" ca="1" si="0"/>
        <v>28</v>
      </c>
      <c r="D133" t="str">
        <f t="shared" ca="1" si="8"/>
        <v xml:space="preserve">Abrantes, S. e Gouveia, L. </v>
      </c>
      <c r="E133" t="str">
        <f t="shared" ca="1" si="1"/>
        <v>2009</v>
      </c>
      <c r="F133" t="e">
        <f t="shared" ca="1" si="2"/>
        <v>#VALUE!</v>
      </c>
      <c r="G133" s="3" t="e">
        <f t="shared" ca="1" si="3"/>
        <v>#VALUE!</v>
      </c>
      <c r="H133" s="2" t="e">
        <f t="shared" ca="1" si="4"/>
        <v>#VALUE!</v>
      </c>
      <c r="I133" t="e">
        <f t="shared" ca="1" si="5"/>
        <v>#VALUE!</v>
      </c>
      <c r="J133" s="3" t="e">
        <f t="shared" ca="1" si="9"/>
        <v>#VALUE!</v>
      </c>
      <c r="K133" t="str">
        <f t="shared" ca="1" si="6"/>
        <v xml:space="preserve">Abrantes, S. e Gouveia, L. </v>
      </c>
      <c r="L133" t="str">
        <f t="shared" ca="1" si="7"/>
        <v xml:space="preserve">Quental, C. </v>
      </c>
    </row>
    <row r="134" spans="1:15" ht="15.75" customHeight="1">
      <c r="A134">
        <f ca="1">IFERROR(__xludf.DUMMYFUNCTION("""COMPUTED_VALUE"""),8)</f>
        <v>8</v>
      </c>
      <c r="B134" t="str">
        <f ca="1">IFERROR(__xludf.DUMMYFUNCTION("""COMPUTED_VALUE"""),"Abrantes, S. e Gouveia, L. (2009) *Estudo de percepção do uso de 
dispositivos móveis no Ensino Superior*. Relatório Interno 01/2009. CEREM - 
UFP. Centro de Estudos e Recursos Multimediáticos, Maio. Universidade 
Fernando Pessoa.
texto [ pdf(512KB)] | ha"&amp;"ndle")</f>
        <v>Abrantes, S. e Gouveia, L. (2009) *Estudo de percepção do uso de 
dispositivos móveis no Ensino Superior*. Relatório Interno 01/2009. CEREM - 
UFP. Centro de Estudos e Recursos Multimediáticos, Maio. Universidade 
Fernando Pessoa.
texto [ pdf(512KB)] | handle</v>
      </c>
      <c r="C134" s="2">
        <f t="shared" ca="1" si="0"/>
        <v>28</v>
      </c>
      <c r="D134" t="str">
        <f t="shared" ca="1" si="8"/>
        <v xml:space="preserve">Abrantes, S. e Gouveia, L. </v>
      </c>
      <c r="E134" t="str">
        <f t="shared" ca="1" si="1"/>
        <v>2009</v>
      </c>
      <c r="F134" t="e">
        <f t="shared" ca="1" si="2"/>
        <v>#VALUE!</v>
      </c>
      <c r="G134" s="3" t="e">
        <f t="shared" ca="1" si="3"/>
        <v>#VALUE!</v>
      </c>
      <c r="H134" s="2" t="e">
        <f t="shared" ca="1" si="4"/>
        <v>#VALUE!</v>
      </c>
      <c r="I134" t="e">
        <f t="shared" ca="1" si="5"/>
        <v>#VALUE!</v>
      </c>
      <c r="J134" s="3" t="e">
        <f t="shared" ca="1" si="9"/>
        <v>#VALUE!</v>
      </c>
      <c r="K134" t="str">
        <f t="shared" ca="1" si="6"/>
        <v xml:space="preserve">Abrantes, S. e Gouveia, L. </v>
      </c>
      <c r="L134" t="str">
        <f t="shared" ca="1" si="7"/>
        <v xml:space="preserve">Quental, C. </v>
      </c>
    </row>
    <row r="135" spans="1:15" ht="15.75" customHeight="1">
      <c r="A135">
        <f ca="1">IFERROR(__xludf.DUMMYFUNCTION("""COMPUTED_VALUE"""),7)</f>
        <v>7</v>
      </c>
      <c r="B135" t="str">
        <f ca="1">IFERROR(__xludf.DUMMYFUNCTION("""COMPUTED_VALUE"""),"Rurato, P.; Gouveia, L. e Gouveia, J. (2005) *As Características dos 
Aprendentes na Educação a Distância: factores de motivação*. Relatório 
Interno 01/2005. CEREM, Centro de Estudos e Recursos Multimediáticos. 
Outubro. Universidade Fernando Pessoa.
tex"&amp;"to [ pdf (240KB) ] | handle")</f>
        <v>Rurato, P.; Gouveia, L. e Gouveia, J. (2005) *As Características dos 
Aprendentes na Educação a Distância: factores de motivação*. Relatório 
Interno 01/2005. CEREM, Centro de Estudos e Recursos Multimediáticos. 
Outubro. Universidade Fernando Pessoa.
texto [ pdf (240KB) ] | handle</v>
      </c>
      <c r="C135" s="2">
        <f t="shared" ca="1" si="0"/>
        <v>39</v>
      </c>
      <c r="D135" t="str">
        <f t="shared" ca="1" si="8"/>
        <v xml:space="preserve">Rurato, P.; Gouveia, L. e Gouveia, J. </v>
      </c>
      <c r="E135" t="str">
        <f t="shared" ca="1" si="1"/>
        <v>2005</v>
      </c>
      <c r="F135" t="e">
        <f t="shared" ca="1" si="2"/>
        <v>#VALUE!</v>
      </c>
      <c r="G135" s="3" t="e">
        <f t="shared" ca="1" si="3"/>
        <v>#VALUE!</v>
      </c>
      <c r="H135" s="2" t="e">
        <f t="shared" ca="1" si="4"/>
        <v>#VALUE!</v>
      </c>
      <c r="I135" t="e">
        <f t="shared" ca="1" si="5"/>
        <v>#VALUE!</v>
      </c>
      <c r="J135" s="3" t="e">
        <f t="shared" ca="1" si="9"/>
        <v>#VALUE!</v>
      </c>
      <c r="K135" t="str">
        <f t="shared" ca="1" si="6"/>
        <v xml:space="preserve">Rurato, P.; Gouveia, L. e Gouveia, J. </v>
      </c>
      <c r="L135" t="str">
        <f t="shared" ca="1" si="7"/>
        <v xml:space="preserve">Quental, C. </v>
      </c>
      <c r="M135" t="str">
        <f ca="1">IFERROR(__xludf.DUMMYFUNCTION("""COMPUTED_VALUE""")," Gouveia, L. e Gouveia, J. ")</f>
        <v xml:space="preserve"> Gouveia, L. e Gouveia, J. </v>
      </c>
    </row>
    <row r="136" spans="1:15" ht="15.75" customHeight="1">
      <c r="A136">
        <f ca="1">IFERROR(__xludf.DUMMYFUNCTION("""COMPUTED_VALUE"""),6)</f>
        <v>6</v>
      </c>
      <c r="B136" t="str">
        <f ca="1">IFERROR(__xludf.DUMMYFUNCTION("""COMPUTED_VALUE"""),"Rurato, P. e Gouveia, L. (2005). *Uma reflexão sobre o perfil dos 
Aprendentes Adultos no Ensino a Distância*. Relatório Interno 02/2005. 
CEREM Centro de Estudos e Recursos Multimediáticos. Abril, Porto. Universidade 
Fernando Pessoa. 
texto [ pdf(296KB)"&amp;" ] | handle")</f>
        <v>Rurato, P. e Gouveia, L. (2005). *Uma reflexão sobre o perfil dos 
Aprendentes Adultos no Ensino a Distância*. Relatório Interno 02/2005. 
CEREM Centro de Estudos e Recursos Multimediáticos. Abril, Porto. Universidade 
Fernando Pessoa. 
texto [ pdf(296KB) ] | handle</v>
      </c>
      <c r="C136" s="2">
        <f t="shared" ca="1" si="0"/>
        <v>26</v>
      </c>
      <c r="D136" t="str">
        <f t="shared" ca="1" si="8"/>
        <v xml:space="preserve">Rurato, P. e Gouveia, L. </v>
      </c>
      <c r="E136" t="str">
        <f t="shared" ca="1" si="1"/>
        <v>2005</v>
      </c>
      <c r="F136" t="str">
        <f t="shared" ca="1" si="2"/>
        <v xml:space="preserve"> *Uma reflexão sobre o perfil dos 
Aprendentes Adultos no Ensino a Distância*. </v>
      </c>
      <c r="G136" s="3">
        <f t="shared" ca="1" si="3"/>
        <v>31</v>
      </c>
      <c r="H136" s="2">
        <f t="shared" ca="1" si="4"/>
        <v>110</v>
      </c>
      <c r="I136" t="e">
        <f t="shared" ca="1" si="5"/>
        <v>#VALUE!</v>
      </c>
      <c r="J136" s="3" t="e">
        <f t="shared" ca="1" si="9"/>
        <v>#VALUE!</v>
      </c>
      <c r="K136" t="str">
        <f t="shared" ca="1" si="6"/>
        <v xml:space="preserve">Rurato, P. e Gouveia, L. </v>
      </c>
      <c r="L136" t="str">
        <f t="shared" ca="1" si="7"/>
        <v xml:space="preserve">Quental, C. </v>
      </c>
    </row>
    <row r="137" spans="1:15" ht="15.75" customHeight="1">
      <c r="A137">
        <f ca="1">IFERROR(__xludf.DUMMYFUNCTION("""COMPUTED_VALUE"""),5)</f>
        <v>5</v>
      </c>
      <c r="B137" t="str">
        <f ca="1">IFERROR(__xludf.DUMMYFUNCTION("""COMPUTED_VALUE"""),"Gouveia, F. and Gouveia, L. (2005). C*ollaborative open-source software: 
the case of e-learning at University Fernando Pessoa*. Working Paper 
01/2005. Multimedia Resource Centre. Porto. University Fernando Pessoa. 
texto [ pdf (121KB) ] | handle")</f>
        <v>Gouveia, F. and Gouveia, L. (2005). C*ollaborative open-source software: 
the case of e-learning at University Fernando Pessoa*. Working Paper 
01/2005. Multimedia Resource Centre. Porto. University Fernando Pessoa. 
texto [ pdf (121KB) ] | handle</v>
      </c>
      <c r="C137" s="2">
        <f t="shared" ca="1" si="0"/>
        <v>29</v>
      </c>
      <c r="D137" t="str">
        <f t="shared" ca="1" si="8"/>
        <v xml:space="preserve">Gouveia, F. and Gouveia, L. </v>
      </c>
      <c r="E137" t="str">
        <f t="shared" ca="1" si="1"/>
        <v>2005</v>
      </c>
      <c r="F137" t="str">
        <f t="shared" ca="1" si="2"/>
        <v xml:space="preserve"> C*ollaborative open-source software: 
the case of e-learning at University Fernando Pessoa*. </v>
      </c>
      <c r="G137" s="3">
        <f t="shared" ca="1" si="3"/>
        <v>34</v>
      </c>
      <c r="H137" s="2">
        <f t="shared" ca="1" si="4"/>
        <v>128</v>
      </c>
      <c r="I137" t="e">
        <f t="shared" ca="1" si="5"/>
        <v>#VALUE!</v>
      </c>
      <c r="J137" s="3" t="e">
        <f t="shared" ca="1" si="9"/>
        <v>#VALUE!</v>
      </c>
      <c r="K137" t="str">
        <f t="shared" ca="1" si="6"/>
        <v xml:space="preserve">Gouveia, F. ; Gouveia, L. </v>
      </c>
      <c r="L137" t="str">
        <f t="shared" ca="1" si="7"/>
        <v xml:space="preserve">Quental, C. </v>
      </c>
      <c r="M137" t="str">
        <f ca="1">IFERROR(__xludf.DUMMYFUNCTION("""COMPUTED_VALUE""")," Gouveia, L. ")</f>
        <v xml:space="preserve"> Gouveia, L. </v>
      </c>
    </row>
    <row r="138" spans="1:15" ht="15.75" customHeight="1">
      <c r="A138">
        <f ca="1">IFERROR(__xludf.DUMMYFUNCTION("""COMPUTED_VALUE"""),4)</f>
        <v>4</v>
      </c>
      <c r="B138" t="str">
        <f ca="1">IFERROR(__xludf.DUMMYFUNCTION("""COMPUTED_VALUE"""),"Gouveia, L. (2004). *A brief survey on Cognitive Maps as Humane 
Representations.* Internal report nº1/2004. Multimedia Resource Centre. 
Porto. University Fernando Pessoa. 
paper [ pdf(263KB) ] | handle")</f>
        <v>Gouveia, L. (2004). *A brief survey on Cognitive Maps as Humane 
Representations.* Internal report nº1/2004. Multimedia Resource Centre. 
Porto. University Fernando Pessoa. 
paper [ pdf(263KB) ] | handle</v>
      </c>
      <c r="C138" s="2">
        <f t="shared" ca="1" si="0"/>
        <v>13</v>
      </c>
      <c r="D138" t="str">
        <f t="shared" ca="1" si="8"/>
        <v xml:space="preserve">Gouveia, L. </v>
      </c>
      <c r="E138" t="str">
        <f t="shared" ca="1" si="1"/>
        <v>2004</v>
      </c>
      <c r="F138" t="str">
        <f t="shared" ca="1" si="2"/>
        <v xml:space="preserve"> *A brief survey on Cognitive Maps as Humane 
Representations.*</v>
      </c>
      <c r="G138" s="3">
        <f t="shared" ca="1" si="3"/>
        <v>18</v>
      </c>
      <c r="H138" s="2">
        <f t="shared" ca="1" si="4"/>
        <v>81</v>
      </c>
      <c r="I138" t="e">
        <f t="shared" ca="1" si="5"/>
        <v>#VALUE!</v>
      </c>
      <c r="J138" s="3" t="e">
        <f t="shared" ca="1" si="9"/>
        <v>#VALUE!</v>
      </c>
      <c r="K138" t="str">
        <f t="shared" ca="1" si="6"/>
        <v xml:space="preserve">Gouveia, L. </v>
      </c>
      <c r="L138" t="str">
        <f t="shared" ca="1" si="7"/>
        <v xml:space="preserve">Quental, C. </v>
      </c>
    </row>
    <row r="139" spans="1:15" ht="15.75" customHeight="1">
      <c r="A139">
        <f ca="1">IFERROR(__xludf.DUMMYFUNCTION("""COMPUTED_VALUE"""),3)</f>
        <v>3</v>
      </c>
      <c r="B139" t="str">
        <f ca="1">IFERROR(__xludf.DUMMYFUNCTION("""COMPUTED_VALUE"""),"Gouveia, L. and Gouveia, F. (2001). *An evaluation of the Well Path 
elearning platform.* RI CEREM 01/2001. Multimedia Resource Centre. 
Technical Report. July 2001. University Fernando Pessoa. 
paper [ pdf(226KB)] | handle")</f>
        <v>Gouveia, L. and Gouveia, F. (2001). *An evaluation of the Well Path 
elearning platform.* RI CEREM 01/2001. Multimedia Resource Centre. 
Technical Report. July 2001. University Fernando Pessoa. 
paper [ pdf(226KB)] | handle</v>
      </c>
      <c r="C139" s="2">
        <f t="shared" ca="1" si="0"/>
        <v>29</v>
      </c>
      <c r="D139" t="str">
        <f t="shared" ca="1" si="8"/>
        <v xml:space="preserve">Gouveia, L. and Gouveia, F. </v>
      </c>
      <c r="E139" t="str">
        <f t="shared" ca="1" si="1"/>
        <v>2001</v>
      </c>
      <c r="F139" t="str">
        <f t="shared" ca="1" si="2"/>
        <v xml:space="preserve"> *An evaluation of the Well Path 
elearning platform.*</v>
      </c>
      <c r="G139" s="3">
        <f t="shared" ca="1" si="3"/>
        <v>34</v>
      </c>
      <c r="H139" s="2">
        <f t="shared" ca="1" si="4"/>
        <v>88</v>
      </c>
      <c r="I139" t="e">
        <f t="shared" ca="1" si="5"/>
        <v>#VALUE!</v>
      </c>
      <c r="J139" s="3" t="e">
        <f t="shared" ca="1" si="9"/>
        <v>#VALUE!</v>
      </c>
      <c r="K139" t="str">
        <f t="shared" ca="1" si="6"/>
        <v xml:space="preserve">Gouveia, L. ; Gouveia, F. </v>
      </c>
      <c r="L139" t="str">
        <f t="shared" ca="1" si="7"/>
        <v xml:space="preserve">Quental, C. </v>
      </c>
      <c r="M139" t="str">
        <f ca="1">IFERROR(__xludf.DUMMYFUNCTION("""COMPUTED_VALUE""")," Gouveia, F. ")</f>
        <v xml:space="preserve"> Gouveia, F. </v>
      </c>
    </row>
    <row r="140" spans="1:15" ht="15.75" customHeight="1">
      <c r="A140">
        <f ca="1">IFERROR(__xludf.DUMMYFUNCTION("""COMPUTED_VALUE"""),2)</f>
        <v>2</v>
      </c>
      <c r="B140" t="str">
        <f ca="1">IFERROR(__xludf.DUMMYFUNCTION("""COMPUTED_VALUE"""),"Gouveia, L. et al. (2000). *Proposing a knowledge network to assist 
education, training and learning.* CSEG/2/00. Cooperative System 
Engineering Group. Technical Reports 2000. Lancaster University. 
paper [ pdf(425KB)]")</f>
        <v>Gouveia, L. et al. (2000). *Proposing a knowledge network to assist 
education, training and learning.* CSEG/2/00. Cooperative System 
Engineering Group. Technical Reports 2000. Lancaster University. 
paper [ pdf(425KB)]</v>
      </c>
      <c r="C140" s="2">
        <f t="shared" ca="1" si="0"/>
        <v>20</v>
      </c>
      <c r="D140" t="str">
        <f t="shared" ca="1" si="8"/>
        <v xml:space="preserve">Gouveia, L. et al. </v>
      </c>
      <c r="E140" t="str">
        <f t="shared" ca="1" si="1"/>
        <v>2000</v>
      </c>
      <c r="F140" t="str">
        <f t="shared" ca="1" si="2"/>
        <v xml:space="preserve"> *Proposing a knowledge network to assist 
education, training and learning.*</v>
      </c>
      <c r="G140" s="3">
        <f t="shared" ca="1" si="3"/>
        <v>25</v>
      </c>
      <c r="H140" s="2">
        <f t="shared" ca="1" si="4"/>
        <v>102</v>
      </c>
      <c r="I140" t="e">
        <f t="shared" ca="1" si="5"/>
        <v>#VALUE!</v>
      </c>
      <c r="J140" s="3" t="e">
        <f t="shared" ca="1" si="9"/>
        <v>#VALUE!</v>
      </c>
      <c r="K140" t="str">
        <f t="shared" ca="1" si="6"/>
        <v xml:space="preserve">Gouveia, L. et al. </v>
      </c>
      <c r="L140" t="str">
        <f t="shared" ca="1" si="7"/>
        <v xml:space="preserve">Quental, C. </v>
      </c>
    </row>
    <row r="141" spans="1:15" ht="15.75" customHeight="1">
      <c r="A141">
        <f ca="1">IFERROR(__xludf.DUMMYFUNCTION("""COMPUTED_VALUE"""),1)</f>
        <v>1</v>
      </c>
      <c r="B141" t="str">
        <f ca="1">IFERROR(__xludf.DUMMYFUNCTION("""COMPUTED_VALUE"""),"Gouveia, L. et al. (2000). *Informing an information discovery tool for 
using gesture*. CSEG/1/00. Cooperative System Engineering Group. Technical 
Reports 2000. Lancaster University. 
paper [ pdf(12KB)]")</f>
        <v>Gouveia, L. et al. (2000). *Informing an information discovery tool for 
using gesture*. CSEG/1/00. Cooperative System Engineering Group. Technical 
Reports 2000. Lancaster University. 
paper [ pdf(12KB)]</v>
      </c>
      <c r="C141" s="2">
        <f t="shared" ca="1" si="0"/>
        <v>20</v>
      </c>
      <c r="D141" t="str">
        <f t="shared" ca="1" si="8"/>
        <v xml:space="preserve">Gouveia, L. et al. </v>
      </c>
      <c r="E141" t="str">
        <f t="shared" ca="1" si="1"/>
        <v>2000</v>
      </c>
      <c r="F141" t="str">
        <f t="shared" ca="1" si="2"/>
        <v xml:space="preserve"> *Informing an information discovery tool for 
using gesture*. </v>
      </c>
      <c r="G141" s="3">
        <f t="shared" ca="1" si="3"/>
        <v>25</v>
      </c>
      <c r="H141" s="2">
        <f t="shared" ca="1" si="4"/>
        <v>88</v>
      </c>
      <c r="I141" t="e">
        <f t="shared" ca="1" si="5"/>
        <v>#VALUE!</v>
      </c>
      <c r="J141" s="3" t="e">
        <f t="shared" ca="1" si="9"/>
        <v>#VALUE!</v>
      </c>
      <c r="K141" t="str">
        <f t="shared" ca="1" si="6"/>
        <v xml:space="preserve">Gouveia, L. et al. </v>
      </c>
      <c r="L141" t="str">
        <f t="shared" ca="1" si="7"/>
        <v xml:space="preserve">Quental, C. </v>
      </c>
    </row>
    <row r="142" spans="1:15" ht="15.75" customHeight="1">
      <c r="A142" t="str">
        <f ca="1">IFERROR(__xludf.DUMMYFUNCTION("""COMPUTED_VALUE"""),"_________")</f>
        <v>_________</v>
      </c>
      <c r="B142" t="str">
        <f ca="1">IFERROR(__xludf.DUMMYFUNCTION("""COMPUTED_VALUE"""),"relatórios de trabalho e projectos / work amd project reports")</f>
        <v>relatórios de trabalho e projectos / work amd project reports</v>
      </c>
      <c r="C142" s="2" t="e">
        <f t="shared" ca="1" si="0"/>
        <v>#VALUE!</v>
      </c>
      <c r="D142" t="e">
        <f t="shared" ca="1" si="8"/>
        <v>#VALUE!</v>
      </c>
      <c r="E142" t="e">
        <f t="shared" ca="1" si="1"/>
        <v>#VALUE!</v>
      </c>
      <c r="F142" t="e">
        <f t="shared" ca="1" si="2"/>
        <v>#VALUE!</v>
      </c>
      <c r="G142" s="3" t="e">
        <f t="shared" ca="1" si="3"/>
        <v>#VALUE!</v>
      </c>
      <c r="H142" s="2" t="e">
        <f t="shared" ca="1" si="4"/>
        <v>#VALUE!</v>
      </c>
      <c r="I142" t="e">
        <f t="shared" ca="1" si="5"/>
        <v>#VALUE!</v>
      </c>
      <c r="J142" s="3" t="e">
        <f t="shared" ca="1" si="9"/>
        <v>#VALUE!</v>
      </c>
      <c r="K142" t="e">
        <f t="shared" ca="1" si="6"/>
        <v>#VALUE!</v>
      </c>
      <c r="L142" t="str">
        <f t="shared" ca="1" si="7"/>
        <v xml:space="preserve">Quental, C. </v>
      </c>
    </row>
    <row r="143" spans="1:15" ht="15.75" customHeight="1">
      <c r="A143">
        <f ca="1">IFERROR(__xludf.DUMMYFUNCTION("""COMPUTED_VALUE"""),5)</f>
        <v>5</v>
      </c>
      <c r="B143" t="str">
        <f ca="1">IFERROR(__xludf.DUMMYFUNCTION("""COMPUTED_VALUE"""),"Gouveia, L. (2018). Evento de apresentações e partilha de conhecimento PhD 
CC, SiTeGI. Dia do Doutoramento em Ciências da Informação, ramo Tecnologia, 
Sistemas e Gestão da Informação. 20 de Julho. Universidade Fernando Pessoa. 
[ handle ]")</f>
        <v>Gouveia, L. (2018). Evento de apresentações e partilha de conhecimento PhD 
CC, SiTeGI. Dia do Doutoramento em Ciências da Informação, ramo Tecnologia, 
Sistemas e Gestão da Informação. 20 de Julho. Universidade Fernando Pessoa. 
[ handle ]</v>
      </c>
      <c r="C143" s="2">
        <f t="shared" ca="1" si="0"/>
        <v>13</v>
      </c>
      <c r="D143" t="str">
        <f t="shared" ca="1" si="8"/>
        <v xml:space="preserve">Gouveia, L. </v>
      </c>
      <c r="E143" t="str">
        <f t="shared" ca="1" si="1"/>
        <v>2018</v>
      </c>
      <c r="F143" t="str">
        <f t="shared" ca="1" si="2"/>
        <v xml:space="preserve"> Evento de apresentações e partilha de conhecimento PhD 
CC, SiTeGI. </v>
      </c>
      <c r="G143" s="3">
        <f t="shared" ca="1" si="3"/>
        <v>18</v>
      </c>
      <c r="H143" s="2">
        <f t="shared" ca="1" si="4"/>
        <v>87</v>
      </c>
      <c r="I143" t="e">
        <f t="shared" ca="1" si="5"/>
        <v>#VALUE!</v>
      </c>
      <c r="J143" s="3" t="e">
        <f t="shared" ca="1" si="9"/>
        <v>#VALUE!</v>
      </c>
      <c r="K143" t="str">
        <f t="shared" ca="1" si="6"/>
        <v xml:space="preserve">Gouveia, L. </v>
      </c>
      <c r="L143" t="str">
        <f t="shared" ca="1" si="7"/>
        <v xml:space="preserve">Quental, C. </v>
      </c>
    </row>
    <row r="144" spans="1:15" ht="15.75" customHeight="1">
      <c r="A144">
        <f ca="1">IFERROR(__xludf.DUMMYFUNCTION("""COMPUTED_VALUE"""),4)</f>
        <v>4</v>
      </c>
      <c r="B144" t="str">
        <f ca="1">IFERROR(__xludf.DUMMYFUNCTION("""COMPUTED_VALUE"""),"Gouveia, L. (coord). (2009). *Modelos de Governação na Sociedade da 
Informação e do Conhecimento*. Apresentação de Estudo APDSI. Associação 
para a Promoção e Desenvolvimento da Sociedade da Informação. 
apresentação [ slideshare ]")</f>
        <v>Gouveia, L. (coord). (2009). *Modelos de Governação na Sociedade da 
Informação e do Conhecimento*. Apresentação de Estudo APDSI. Associação 
para a Promoção e Desenvolvimento da Sociedade da Informação. 
apresentação [ slideshare ]</v>
      </c>
      <c r="C144" s="2">
        <f t="shared" ca="1" si="0"/>
        <v>13</v>
      </c>
      <c r="D144" t="str">
        <f t="shared" ca="1" si="8"/>
        <v xml:space="preserve">Gouveia, L. </v>
      </c>
      <c r="E144" t="str">
        <f t="shared" ca="1" si="1"/>
        <v>coor</v>
      </c>
      <c r="F144" t="str">
        <f t="shared" ca="1" si="2"/>
        <v xml:space="preserve"> (2009). </v>
      </c>
      <c r="G144" s="3">
        <f t="shared" ca="1" si="3"/>
        <v>19</v>
      </c>
      <c r="H144" s="2">
        <f t="shared" ca="1" si="4"/>
        <v>28</v>
      </c>
      <c r="I144" t="e">
        <f t="shared" ca="1" si="5"/>
        <v>#VALUE!</v>
      </c>
      <c r="J144" s="3" t="e">
        <f t="shared" ca="1" si="9"/>
        <v>#VALUE!</v>
      </c>
      <c r="K144" t="str">
        <f t="shared" ca="1" si="6"/>
        <v xml:space="preserve">Gouveia, L. </v>
      </c>
      <c r="L144" t="str">
        <f t="shared" ca="1" si="7"/>
        <v xml:space="preserve">Quental, C. </v>
      </c>
    </row>
    <row r="145" spans="1:13" ht="15.75" customHeight="1">
      <c r="A145">
        <f ca="1">IFERROR(__xludf.DUMMYFUNCTION("""COMPUTED_VALUE"""),3)</f>
        <v>3</v>
      </c>
      <c r="B145" t="str">
        <f ca="1">IFERROR(__xludf.DUMMYFUNCTION("""COMPUTED_VALUE"""),"Serrano, A. (redator); Gonçalves, F.; Santos, L.; Amaral, L.; Gouveia, L.; 
Neto, P.; Anunciação, P.; Vidigal, R. e Quaresma, R. (2007). *O Papel da 
Sociedade da Informação no aproximar das Regiões*. Estudo da APDSI. 
Associação Portuguesa para o Desenvo"&amp;"lvimento da Sociedade da Informação. 
Setembro.
texto [ pdf (948KB) ]")</f>
        <v>Serrano, A. (redator); Gonçalves, F.; Santos, L.; Amaral, L.; Gouveia, L.; 
Neto, P.; Anunciação, P.; Vidigal, R. e Quaresma, R. (2007). *O Papel da 
Sociedade da Informação no aproximar das Regiões*. Estudo da APDSI. 
Associação Portuguesa para o Desenvolvimento da Sociedade da Informação. 
Setembro.
texto [ pdf (948KB) ]</v>
      </c>
      <c r="C145" s="2">
        <f t="shared" ca="1" si="0"/>
        <v>13</v>
      </c>
      <c r="D145" t="str">
        <f t="shared" ca="1" si="8"/>
        <v xml:space="preserve">Serrano, A. </v>
      </c>
      <c r="E145" t="str">
        <f t="shared" ca="1" si="1"/>
        <v>reda</v>
      </c>
      <c r="F145" t="str">
        <f t="shared" ca="1" si="2"/>
        <v xml:space="preserve"> *O Papel da 
Sociedade da Informação no aproximar das Regiões*. </v>
      </c>
      <c r="G145" s="3">
        <f t="shared" ca="1" si="3"/>
        <v>135</v>
      </c>
      <c r="H145" s="2">
        <f t="shared" ca="1" si="4"/>
        <v>200</v>
      </c>
      <c r="I145" t="e">
        <f t="shared" ca="1" si="5"/>
        <v>#VALUE!</v>
      </c>
      <c r="J145" s="3" t="e">
        <f t="shared" ca="1" si="9"/>
        <v>#VALUE!</v>
      </c>
      <c r="K145" t="str">
        <f t="shared" ca="1" si="6"/>
        <v xml:space="preserve">Serrano, A. </v>
      </c>
      <c r="L145" t="str">
        <f t="shared" ca="1" si="7"/>
        <v xml:space="preserve">Quental, C. </v>
      </c>
    </row>
    <row r="146" spans="1:13" ht="15.75" customHeight="1">
      <c r="A146">
        <f ca="1">IFERROR(__xludf.DUMMYFUNCTION("""COMPUTED_VALUE"""),2)</f>
        <v>2</v>
      </c>
      <c r="B146" t="str">
        <f ca="1">IFERROR(__xludf.DUMMYFUNCTION("""COMPUTED_VALUE"""),"Gouveia, L. (2006). *O Contributo das Cidades e Regiões Digitais para o 
aproximar das regiões*. Contribuição para o grupo de interesse da APDSI: O 
Papel da Sociedade da Informação no aproximar das Regiões. Associação 
Portuguesa para o Desenvolvimento d"&amp;"a Sociedade da Informação.
texto [ pdf (56KB) ]")</f>
        <v>Gouveia, L. (2006). *O Contributo das Cidades e Regiões Digitais para o 
aproximar das regiões*. Contribuição para o grupo de interesse da APDSI: O 
Papel da Sociedade da Informação no aproximar das Regiões. Associação 
Portuguesa para o Desenvolvimento da Sociedade da Informação.
texto [ pdf (56KB) ]</v>
      </c>
      <c r="C146" s="2">
        <f t="shared" ca="1" si="0"/>
        <v>13</v>
      </c>
      <c r="D146" t="str">
        <f t="shared" ca="1" si="8"/>
        <v xml:space="preserve">Gouveia, L. </v>
      </c>
      <c r="E146" t="str">
        <f t="shared" ca="1" si="1"/>
        <v>2006</v>
      </c>
      <c r="F146" t="str">
        <f t="shared" ca="1" si="2"/>
        <v xml:space="preserve"> *O Contributo das Cidades e Regiões Digitais para o 
aproximar das regiões*. </v>
      </c>
      <c r="G146" s="3">
        <f t="shared" ca="1" si="3"/>
        <v>18</v>
      </c>
      <c r="H146" s="2">
        <f t="shared" ca="1" si="4"/>
        <v>96</v>
      </c>
      <c r="I146" t="e">
        <f t="shared" ca="1" si="5"/>
        <v>#VALUE!</v>
      </c>
      <c r="J146" s="3" t="e">
        <f t="shared" ca="1" si="9"/>
        <v>#VALUE!</v>
      </c>
      <c r="K146" t="str">
        <f t="shared" ca="1" si="6"/>
        <v xml:space="preserve">Gouveia, L. </v>
      </c>
      <c r="L146" t="str">
        <f t="shared" ca="1" si="7"/>
        <v xml:space="preserve">Quental, C. </v>
      </c>
    </row>
    <row r="147" spans="1:13" ht="15.75" customHeight="1">
      <c r="A147">
        <f ca="1">IFERROR(__xludf.DUMMYFUNCTION("""COMPUTED_VALUE"""),1)</f>
        <v>1</v>
      </c>
      <c r="B147" t="str">
        <f ca="1">IFERROR(__xludf.DUMMYFUNCTION("""COMPUTED_VALUE"""),"Gouveia, L. e Gouveia, J. e Amaral, L. e Carvalho, J. (2003). *Workshop 
Cidades Digitais*. Integrado na 4ª Conferência da Associação Portuguesa de 
Sistemas de Informação. UPT, Porto. 15 de Outubro.
e-book [ pdf (108KB) ]")</f>
        <v>Gouveia, L. e Gouveia, J. e Amaral, L. e Carvalho, J. (2003). *Workshop 
Cidades Digitais*. Integrado na 4ª Conferência da Associação Portuguesa de 
Sistemas de Informação. UPT, Porto. 15 de Outubro.
e-book [ pdf (108KB) ]</v>
      </c>
      <c r="C147" s="2">
        <f t="shared" ca="1" si="0"/>
        <v>55</v>
      </c>
      <c r="D147" t="str">
        <f t="shared" ca="1" si="8"/>
        <v xml:space="preserve">Gouveia, L. e Gouveia, J. e Amaral, L. e Carvalho, J. </v>
      </c>
      <c r="E147" t="str">
        <f t="shared" ca="1" si="1"/>
        <v>2003</v>
      </c>
      <c r="F147" t="str">
        <f t="shared" ca="1" si="2"/>
        <v xml:space="preserve"> *Workshop 
Cidades Digitais*. </v>
      </c>
      <c r="G147" s="3">
        <f t="shared" ca="1" si="3"/>
        <v>60</v>
      </c>
      <c r="H147" s="2">
        <f t="shared" ca="1" si="4"/>
        <v>91</v>
      </c>
      <c r="I147" t="e">
        <f t="shared" ca="1" si="5"/>
        <v>#VALUE!</v>
      </c>
      <c r="J147" s="3" t="e">
        <f t="shared" ca="1" si="9"/>
        <v>#VALUE!</v>
      </c>
      <c r="K147" t="str">
        <f t="shared" ca="1" si="6"/>
        <v xml:space="preserve">Gouveia, L. e Gouveia, J. e Amaral, L. e Carvalho, J. </v>
      </c>
      <c r="L147" t="str">
        <f t="shared" ca="1" si="7"/>
        <v xml:space="preserve">Quental, C. </v>
      </c>
    </row>
    <row r="148" spans="1:13" ht="15.75" customHeight="1">
      <c r="A148" t="str">
        <f ca="1">IFERROR(__xludf.DUMMYFUNCTION("""COMPUTED_VALUE"""),"[ top ]")</f>
        <v>[ top ]</v>
      </c>
      <c r="B148" t="str">
        <f ca="1">IFERROR(__xludf.DUMMYFUNCTION("""COMPUTED_VALUE"""),"*Conferências Internacionais* / *International Conferences*")</f>
        <v>*Conferências Internacionais* / *International Conferences*</v>
      </c>
      <c r="C148" s="2" t="e">
        <f t="shared" ca="1" si="0"/>
        <v>#VALUE!</v>
      </c>
      <c r="D148" t="e">
        <f t="shared" ca="1" si="8"/>
        <v>#VALUE!</v>
      </c>
      <c r="E148" t="e">
        <f t="shared" ca="1" si="1"/>
        <v>#VALUE!</v>
      </c>
      <c r="F148" t="e">
        <f t="shared" ca="1" si="2"/>
        <v>#VALUE!</v>
      </c>
      <c r="G148" s="3" t="e">
        <f t="shared" ca="1" si="3"/>
        <v>#VALUE!</v>
      </c>
      <c r="H148" s="2" t="e">
        <f t="shared" ca="1" si="4"/>
        <v>#VALUE!</v>
      </c>
      <c r="I148" t="e">
        <f t="shared" ca="1" si="5"/>
        <v>#VALUE!</v>
      </c>
      <c r="J148" s="3" t="e">
        <f t="shared" ca="1" si="9"/>
        <v>#VALUE!</v>
      </c>
      <c r="K148" t="e">
        <f t="shared" ca="1" si="6"/>
        <v>#VALUE!</v>
      </c>
      <c r="L148" t="str">
        <f t="shared" ca="1" si="7"/>
        <v xml:space="preserve">Quental, C. </v>
      </c>
    </row>
    <row r="149" spans="1:13" ht="15.75" customHeight="1">
      <c r="A149" t="str">
        <f ca="1">IFERROR(__xludf.DUMMYFUNCTION("""COMPUTED_VALUE"""),"_________")</f>
        <v>_________</v>
      </c>
      <c r="B149" t="str">
        <f ca="1">IFERROR(__xludf.DUMMYFUNCTION("""COMPUTED_VALUE"""),"comunicações convidadas / invited talks, keynotes")</f>
        <v>comunicações convidadas / invited talks, keynotes</v>
      </c>
      <c r="C149" s="2" t="e">
        <f t="shared" ca="1" si="0"/>
        <v>#VALUE!</v>
      </c>
      <c r="D149" t="e">
        <f t="shared" ca="1" si="8"/>
        <v>#VALUE!</v>
      </c>
      <c r="E149" t="e">
        <f t="shared" ca="1" si="1"/>
        <v>#VALUE!</v>
      </c>
      <c r="F149" t="e">
        <f t="shared" ca="1" si="2"/>
        <v>#VALUE!</v>
      </c>
      <c r="G149" s="3" t="e">
        <f t="shared" ca="1" si="3"/>
        <v>#VALUE!</v>
      </c>
      <c r="H149" s="2" t="e">
        <f t="shared" ca="1" si="4"/>
        <v>#VALUE!</v>
      </c>
      <c r="I149" t="e">
        <f t="shared" ca="1" si="5"/>
        <v>#VALUE!</v>
      </c>
      <c r="J149" s="3" t="e">
        <f t="shared" ca="1" si="9"/>
        <v>#VALUE!</v>
      </c>
      <c r="K149" t="e">
        <f t="shared" ca="1" si="6"/>
        <v>#VALUE!</v>
      </c>
      <c r="L149" t="str">
        <f t="shared" ca="1" si="7"/>
        <v xml:space="preserve">Quental, C. </v>
      </c>
    </row>
    <row r="150" spans="1:13" ht="15.75" customHeight="1">
      <c r="A150">
        <f ca="1">IFERROR(__xludf.DUMMYFUNCTION("""COMPUTED_VALUE"""),4)</f>
        <v>4</v>
      </c>
      <c r="B150" t="str">
        <f ca="1">IFERROR(__xludf.DUMMYFUNCTION("""COMPUTED_VALUE"""),"Gouveia, L. (2015). *Where is the Wisdom we lost in knowledge: security 
issues and human relationships in social media*. Invited Keynote at ECSM 
2015. 2nd European Conference on Social Media. Porto, Portugal. 9th July 
2015. 
[ handle]")</f>
        <v>Gouveia, L. (2015). *Where is the Wisdom we lost in knowledge: security 
issues and human relationships in social media*. Invited Keynote at ECSM 
2015. 2nd European Conference on Social Media. Porto, Portugal. 9th July 
2015. 
[ handle]</v>
      </c>
      <c r="C150" s="2">
        <f t="shared" ca="1" si="0"/>
        <v>13</v>
      </c>
      <c r="D150" t="str">
        <f t="shared" ca="1" si="8"/>
        <v xml:space="preserve">Gouveia, L. </v>
      </c>
      <c r="E150" t="str">
        <f t="shared" ca="1" si="1"/>
        <v>2015</v>
      </c>
      <c r="F150" t="str">
        <f t="shared" ca="1" si="2"/>
        <v xml:space="preserve"> *Where is the Wisdom we lost in knowledge: security 
issues and human relationships in social media*. </v>
      </c>
      <c r="G150" s="3">
        <f t="shared" ca="1" si="3"/>
        <v>18</v>
      </c>
      <c r="H150" s="2">
        <f t="shared" ca="1" si="4"/>
        <v>121</v>
      </c>
      <c r="I150" t="e">
        <f t="shared" ca="1" si="5"/>
        <v>#VALUE!</v>
      </c>
      <c r="J150" s="3" t="e">
        <f t="shared" ca="1" si="9"/>
        <v>#VALUE!</v>
      </c>
      <c r="K150" t="str">
        <f t="shared" ca="1" si="6"/>
        <v xml:space="preserve">Gouveia, L. </v>
      </c>
      <c r="L150" t="str">
        <f t="shared" ca="1" si="7"/>
        <v xml:space="preserve">Quental, C. </v>
      </c>
    </row>
    <row r="151" spans="1:13" ht="15.75" customHeight="1">
      <c r="A151">
        <f ca="1">IFERROR(__xludf.DUMMYFUNCTION("""COMPUTED_VALUE"""),3)</f>
        <v>3</v>
      </c>
      <c r="B151" t="str">
        <f ca="1">IFERROR(__xludf.DUMMYFUNCTION("""COMPUTED_VALUE"""),"Gouveia, L. (2015). G*estão da Informação em Museus. Uma contribuição para 
o seu estudo*. As Artes e as Ciências em Diálogo. Congresso Internacional 
2015. 23 e 24 de Fevereiro. Ordem dos Médicos. Green Lines Instituto. 
Porto. Portugal. 
[ handle ]")</f>
        <v>Gouveia, L. (2015). G*estão da Informação em Museus. Uma contribuição para 
o seu estudo*. As Artes e as Ciências em Diálogo. Congresso Internacional 
2015. 23 e 24 de Fevereiro. Ordem dos Médicos. Green Lines Instituto. 
Porto. Portugal. 
[ handle ]</v>
      </c>
      <c r="C151" s="2">
        <f t="shared" ca="1" si="0"/>
        <v>13</v>
      </c>
      <c r="D151" t="str">
        <f t="shared" ca="1" si="8"/>
        <v xml:space="preserve">Gouveia, L. </v>
      </c>
      <c r="E151" t="str">
        <f t="shared" ca="1" si="1"/>
        <v>2015</v>
      </c>
      <c r="F151" t="str">
        <f t="shared" ca="1" si="2"/>
        <v xml:space="preserve"> G*estão da Informação em Museus. </v>
      </c>
      <c r="G151" s="3">
        <f t="shared" ca="1" si="3"/>
        <v>18</v>
      </c>
      <c r="H151" s="2">
        <f t="shared" ca="1" si="4"/>
        <v>52</v>
      </c>
      <c r="I151" t="e">
        <f t="shared" ca="1" si="5"/>
        <v>#VALUE!</v>
      </c>
      <c r="J151" s="3" t="e">
        <f t="shared" ca="1" si="9"/>
        <v>#VALUE!</v>
      </c>
      <c r="K151" t="str">
        <f t="shared" ca="1" si="6"/>
        <v xml:space="preserve">Gouveia, L. </v>
      </c>
      <c r="L151" t="str">
        <f t="shared" ca="1" si="7"/>
        <v xml:space="preserve">Quental, C. </v>
      </c>
    </row>
    <row r="152" spans="1:13" ht="15.75" customHeight="1">
      <c r="A152">
        <f ca="1">IFERROR(__xludf.DUMMYFUNCTION("""COMPUTED_VALUE"""),2)</f>
        <v>2</v>
      </c>
      <c r="B152" t="str">
        <f ca="1">IFERROR(__xludf.DUMMYFUNCTION("""COMPUTED_VALUE"""),"Gouveia, L. (2015). *Cidades Inteligentes: um novo espaço digital para a 
cidade*. Palestra Cidades Inteligentes. Apresentação convidada, keynote. X 
Congresso Mundial de Administração. Auditório da Universidade Fernando 
Pessoa. 19 de Janeiro. 
[ handle "&amp;"]")</f>
        <v>Gouveia, L. (2015). *Cidades Inteligentes: um novo espaço digital para a 
cidade*. Palestra Cidades Inteligentes. Apresentação convidada, keynote. X 
Congresso Mundial de Administração. Auditório da Universidade Fernando 
Pessoa. 19 de Janeiro. 
[ handle ]</v>
      </c>
      <c r="C152" s="2">
        <f t="shared" ca="1" si="0"/>
        <v>13</v>
      </c>
      <c r="D152" t="str">
        <f t="shared" ca="1" si="8"/>
        <v xml:space="preserve">Gouveia, L. </v>
      </c>
      <c r="E152" t="str">
        <f t="shared" ca="1" si="1"/>
        <v>2015</v>
      </c>
      <c r="F152" t="str">
        <f t="shared" ca="1" si="2"/>
        <v xml:space="preserve"> *Cidades Inteligentes: um novo espaço digital para a 
cidade*. </v>
      </c>
      <c r="G152" s="3">
        <f t="shared" ca="1" si="3"/>
        <v>18</v>
      </c>
      <c r="H152" s="2">
        <f t="shared" ca="1" si="4"/>
        <v>82</v>
      </c>
      <c r="I152" t="e">
        <f t="shared" ca="1" si="5"/>
        <v>#VALUE!</v>
      </c>
      <c r="J152" s="3" t="e">
        <f t="shared" ca="1" si="9"/>
        <v>#VALUE!</v>
      </c>
      <c r="K152" t="str">
        <f t="shared" ca="1" si="6"/>
        <v xml:space="preserve">Gouveia, L. </v>
      </c>
      <c r="L152" t="str">
        <f t="shared" ca="1" si="7"/>
        <v xml:space="preserve">Quental, C. </v>
      </c>
    </row>
    <row r="153" spans="1:13" ht="15.75" customHeight="1">
      <c r="A153">
        <f ca="1">IFERROR(__xludf.DUMMYFUNCTION("""COMPUTED_VALUE"""),1)</f>
        <v>1</v>
      </c>
      <c r="B153" t="str">
        <f ca="1">IFERROR(__xludf.DUMMYFUNCTION("""COMPUTED_VALUE"""),"Gouveia, L. (2013). *Informing at the new UFP Hospital playing with 
information and the digital challenge*. Plenary Session and Keynote 
presentation. InSITE 2013: Informing Science + IT Education Conferences. 
3rd July. 
[ keynote ]")</f>
        <v>Gouveia, L. (2013). *Informing at the new UFP Hospital playing with 
information and the digital challenge*. Plenary Session and Keynote 
presentation. InSITE 2013: Informing Science + IT Education Conferences. 
3rd July. 
[ keynote ]</v>
      </c>
      <c r="C153" s="2">
        <f t="shared" ca="1" si="0"/>
        <v>13</v>
      </c>
      <c r="D153" t="str">
        <f t="shared" ca="1" si="8"/>
        <v xml:space="preserve">Gouveia, L. </v>
      </c>
      <c r="E153" t="str">
        <f t="shared" ca="1" si="1"/>
        <v>2013</v>
      </c>
      <c r="F153" t="str">
        <f t="shared" ca="1" si="2"/>
        <v xml:space="preserve"> *Informing at the new UFP Hospital playing with 
information and the digital challenge*. </v>
      </c>
      <c r="G153" s="3">
        <f t="shared" ca="1" si="3"/>
        <v>18</v>
      </c>
      <c r="H153" s="2">
        <f t="shared" ca="1" si="4"/>
        <v>108</v>
      </c>
      <c r="I153" t="e">
        <f t="shared" ca="1" si="5"/>
        <v>#VALUE!</v>
      </c>
      <c r="J153" s="3" t="e">
        <f t="shared" ca="1" si="9"/>
        <v>#VALUE!</v>
      </c>
      <c r="K153" t="str">
        <f t="shared" ca="1" si="6"/>
        <v xml:space="preserve">Gouveia, L. </v>
      </c>
      <c r="L153" t="str">
        <f t="shared" ca="1" si="7"/>
        <v xml:space="preserve">Quental, C. </v>
      </c>
    </row>
    <row r="154" spans="1:13" ht="15.75" customHeight="1">
      <c r="A154" t="str">
        <f ca="1">IFERROR(__xludf.DUMMYFUNCTION("""COMPUTED_VALUE"""),"_________")</f>
        <v>_________</v>
      </c>
      <c r="B154" t="str">
        <f ca="1">IFERROR(__xludf.DUMMYFUNCTION("""COMPUTED_VALUE"""),"comunicações / papers track")</f>
        <v>comunicações / papers track</v>
      </c>
      <c r="C154" s="2" t="e">
        <f t="shared" ca="1" si="0"/>
        <v>#VALUE!</v>
      </c>
      <c r="D154" t="e">
        <f t="shared" ca="1" si="8"/>
        <v>#VALUE!</v>
      </c>
      <c r="E154" t="e">
        <f t="shared" ca="1" si="1"/>
        <v>#VALUE!</v>
      </c>
      <c r="F154" t="e">
        <f t="shared" ca="1" si="2"/>
        <v>#VALUE!</v>
      </c>
      <c r="G154" s="3" t="e">
        <f t="shared" ca="1" si="3"/>
        <v>#VALUE!</v>
      </c>
      <c r="H154" s="2" t="e">
        <f t="shared" ca="1" si="4"/>
        <v>#VALUE!</v>
      </c>
      <c r="I154" t="e">
        <f t="shared" ca="1" si="5"/>
        <v>#VALUE!</v>
      </c>
      <c r="J154" s="3" t="e">
        <f t="shared" ca="1" si="9"/>
        <v>#VALUE!</v>
      </c>
      <c r="K154" t="e">
        <f t="shared" ca="1" si="6"/>
        <v>#VALUE!</v>
      </c>
      <c r="L154" t="str">
        <f t="shared" ca="1" si="7"/>
        <v xml:space="preserve">Quental, C. </v>
      </c>
    </row>
    <row r="155" spans="1:13" ht="15.75" customHeight="1">
      <c r="A155">
        <f ca="1">IFERROR(__xludf.DUMMYFUNCTION("""COMPUTED_VALUE"""),139)</f>
        <v>139</v>
      </c>
      <c r="B155" t="str">
        <f ca="1">IFERROR(__xludf.DUMMYFUNCTION("""COMPUTED_VALUE"""),"Sargo, S.; Gouveia, L. e Reis, P. (2019). A Sala de Aula Invertida num 
Cenário Potencial de Integração com a Wikipédia. International Wiki 
Scientific Conference (IWSC). 12-15 March. Presentation, 12th March. 
Faculty of Arts and Humanities of the Univer"&amp;"sity of Porto.
[ handle ]")</f>
        <v>Sargo, S.; Gouveia, L. e Reis, P. (2019). A Sala de Aula Invertida num 
Cenário Potencial de Integração com a Wikipédia. International Wiki 
Scientific Conference (IWSC). 12-15 March. Presentation, 12th March. 
Faculty of Arts and Humanities of the University of Porto.
[ handle ]</v>
      </c>
      <c r="C155" s="2">
        <f t="shared" ca="1" si="0"/>
        <v>35</v>
      </c>
      <c r="D155" t="str">
        <f t="shared" ca="1" si="8"/>
        <v xml:space="preserve">Sargo, S.; Gouveia, L. e Reis, P. </v>
      </c>
      <c r="E155" t="str">
        <f t="shared" ca="1" si="1"/>
        <v>2019</v>
      </c>
      <c r="F155" t="str">
        <f t="shared" ca="1" si="2"/>
        <v xml:space="preserve"> A Sala de Aula Invertida num 
Cenário Potencial de Integração com a Wikipédia. </v>
      </c>
      <c r="G155" s="3">
        <f t="shared" ca="1" si="3"/>
        <v>40</v>
      </c>
      <c r="H155" s="2">
        <f t="shared" ca="1" si="4"/>
        <v>120</v>
      </c>
      <c r="I155" t="str">
        <f t="shared" ca="1" si="5"/>
        <v>International Wiki 
Scientific Conference (IWSC).</v>
      </c>
      <c r="J155" s="3">
        <f t="shared" ca="1" si="9"/>
        <v>169</v>
      </c>
      <c r="K155" t="str">
        <f t="shared" ca="1" si="6"/>
        <v xml:space="preserve">Sargo, S.; Gouveia, L. e Reis, P. </v>
      </c>
      <c r="L155" t="str">
        <f t="shared" ca="1" si="7"/>
        <v xml:space="preserve">Quental, C. </v>
      </c>
      <c r="M155" t="str">
        <f ca="1">IFERROR(__xludf.DUMMYFUNCTION("""COMPUTED_VALUE""")," Gouveia, L. e Reis, P. ")</f>
        <v xml:space="preserve"> Gouveia, L. e Reis, P. </v>
      </c>
    </row>
    <row r="156" spans="1:13" ht="15.75" customHeight="1">
      <c r="A156">
        <f ca="1">IFERROR(__xludf.DUMMYFUNCTION("""COMPUTED_VALUE"""),138)</f>
        <v>138</v>
      </c>
      <c r="B156" t="str">
        <f ca="1">IFERROR(__xludf.DUMMYFUNCTION("""COMPUTED_VALUE"""),"Gouveia, L. (2018). Uso e exploração das TIC para melhorar a condição 
humana, no contexto do ensino especial. Painel 2. A Dimensão Tecnológica na 
Educação Especial. VI Congresso Ibérico Educação Especial. Educação e 
Inclusão na Lusofonia. 16 de novembr"&amp;"o. Misericórdia do Porto. Porto.
[ handle ]")</f>
        <v>Gouveia, L. (2018). Uso e exploração das TIC para melhorar a condição 
humana, no contexto do ensino especial. Painel 2. A Dimensão Tecnológica na 
Educação Especial. VI Congresso Ibérico Educação Especial. Educação e 
Inclusão na Lusofonia. 16 de novembro. Misericórdia do Porto. Porto.
[ handle ]</v>
      </c>
      <c r="C156" s="2">
        <f t="shared" ca="1" si="0"/>
        <v>13</v>
      </c>
      <c r="D156" t="str">
        <f t="shared" ca="1" si="8"/>
        <v xml:space="preserve">Gouveia, L. </v>
      </c>
      <c r="E156" t="str">
        <f t="shared" ca="1" si="1"/>
        <v>2018</v>
      </c>
      <c r="F156" t="str">
        <f t="shared" ca="1" si="2"/>
        <v xml:space="preserve"> Uso e exploração das TIC para melhorar a condição 
humana, no contexto do ensino especial. </v>
      </c>
      <c r="G156" s="3">
        <f t="shared" ca="1" si="3"/>
        <v>18</v>
      </c>
      <c r="H156" s="2">
        <f t="shared" ca="1" si="4"/>
        <v>110</v>
      </c>
      <c r="I156" t="e">
        <f t="shared" ca="1" si="5"/>
        <v>#VALUE!</v>
      </c>
      <c r="J156" s="3" t="e">
        <f t="shared" ca="1" si="9"/>
        <v>#VALUE!</v>
      </c>
      <c r="K156" t="str">
        <f t="shared" ca="1" si="6"/>
        <v xml:space="preserve">Gouveia, L. </v>
      </c>
      <c r="L156" t="str">
        <f t="shared" ca="1" si="7"/>
        <v xml:space="preserve">Quental, C. </v>
      </c>
    </row>
    <row r="157" spans="1:13" ht="15.75" customHeight="1">
      <c r="A157">
        <f ca="1">IFERROR(__xludf.DUMMYFUNCTION("""COMPUTED_VALUE"""),137)</f>
        <v>137</v>
      </c>
      <c r="B157" t="str">
        <f ca="1">IFERROR(__xludf.DUMMYFUNCTION("""COMPUTED_VALUE"""),"Araújo, P. e Gouveia, L. (2018). Educação Especial e a Cultura Digital: 
passos de uma trajetória de desafios e de construção de uma Educação 
Inclusiva. VI Congresso Ibérico Educação Especial. Educação e Inclusão na 
Lusofonia. 16 de novembro. Misericórd"&amp;"ia do Porto. Porto.
[ handle ]")</f>
        <v>Araújo, P. e Gouveia, L. (2018). Educação Especial e a Cultura Digital: 
passos de uma trajetória de desafios e de construção de uma Educação 
Inclusiva. VI Congresso Ibérico Educação Especial. Educação e Inclusão na 
Lusofonia. 16 de novembro. Misericórdia do Porto. Porto.
[ handle ]</v>
      </c>
      <c r="C157" s="2">
        <f t="shared" ca="1" si="0"/>
        <v>26</v>
      </c>
      <c r="D157" t="str">
        <f t="shared" ca="1" si="8"/>
        <v xml:space="preserve">Araújo, P. e Gouveia, L. </v>
      </c>
      <c r="E157" t="str">
        <f t="shared" ca="1" si="1"/>
        <v>2018</v>
      </c>
      <c r="F157" t="str">
        <f t="shared" ca="1" si="2"/>
        <v xml:space="preserve"> Educação Especial e a Cultura Digital: 
passos de uma trajetória de desafios e de construção de uma Educação 
Inclusiva. </v>
      </c>
      <c r="G157" s="3">
        <f t="shared" ca="1" si="3"/>
        <v>31</v>
      </c>
      <c r="H157" s="2">
        <f t="shared" ca="1" si="4"/>
        <v>153</v>
      </c>
      <c r="I157" t="e">
        <f t="shared" ca="1" si="5"/>
        <v>#VALUE!</v>
      </c>
      <c r="J157" s="3" t="e">
        <f t="shared" ca="1" si="9"/>
        <v>#VALUE!</v>
      </c>
      <c r="K157" t="str">
        <f t="shared" ca="1" si="6"/>
        <v xml:space="preserve">Araújo, P. e Gouveia, L. </v>
      </c>
      <c r="L157" t="str">
        <f t="shared" ca="1" si="7"/>
        <v xml:space="preserve">Quental, C. </v>
      </c>
    </row>
    <row r="158" spans="1:13" ht="15.75" customHeight="1">
      <c r="A158">
        <f ca="1">IFERROR(__xludf.DUMMYFUNCTION("""COMPUTED_VALUE"""),136)</f>
        <v>136</v>
      </c>
      <c r="B158" t="str">
        <f ca="1">IFERROR(__xludf.DUMMYFUNCTION("""COMPUTED_VALUE"""),"Domingues, F. e Gouveia, L. (2018). Treinar o sono. É possível? VI 
Congresso Ibérico Educação Especial. Educação e Inclusão na Lusofonia. 16 
de novembro. Misericórdia do Porto. Porto.
[ handle ]")</f>
        <v>Domingues, F. e Gouveia, L. (2018). Treinar o sono. É possível? VI 
Congresso Ibérico Educação Especial. Educação e Inclusão na Lusofonia. 16 
de novembro. Misericórdia do Porto. Porto.
[ handle ]</v>
      </c>
      <c r="C158" s="2">
        <f t="shared" ca="1" si="0"/>
        <v>29</v>
      </c>
      <c r="D158" t="str">
        <f t="shared" ca="1" si="8"/>
        <v xml:space="preserve">Domingues, F. e Gouveia, L. </v>
      </c>
      <c r="E158" t="str">
        <f t="shared" ca="1" si="1"/>
        <v>2018</v>
      </c>
      <c r="F158" t="str">
        <f t="shared" ca="1" si="2"/>
        <v xml:space="preserve"> Treinar o sono. </v>
      </c>
      <c r="G158" s="3">
        <f t="shared" ca="1" si="3"/>
        <v>34</v>
      </c>
      <c r="H158" s="2">
        <f t="shared" ca="1" si="4"/>
        <v>51</v>
      </c>
      <c r="I158" t="e">
        <f t="shared" ca="1" si="5"/>
        <v>#VALUE!</v>
      </c>
      <c r="J158" s="3" t="e">
        <f t="shared" ca="1" si="9"/>
        <v>#VALUE!</v>
      </c>
      <c r="K158" t="str">
        <f t="shared" ca="1" si="6"/>
        <v xml:space="preserve">Domingues, F. e Gouveia, L. </v>
      </c>
      <c r="L158" t="str">
        <f t="shared" ca="1" si="7"/>
        <v xml:space="preserve">Quental, C. </v>
      </c>
    </row>
    <row r="159" spans="1:13" ht="15.75" customHeight="1">
      <c r="A159">
        <f ca="1">IFERROR(__xludf.DUMMYFUNCTION("""COMPUTED_VALUE"""),135)</f>
        <v>135</v>
      </c>
      <c r="B159" t="str">
        <f ca="1">IFERROR(__xludf.DUMMYFUNCTION("""COMPUTED_VALUE"""),"Araújo, P. e Gouveia, L. (2018). Educação Especial na Cidade de Betim – 
Minas Gerais. Poster. VI Congresso Ibérico Educação Especial. Educação e 
Inclusão na Lusofonia. 16 de novembro. Misericórdia do Porto. Porto.
[ handle ]")</f>
        <v>Araújo, P. e Gouveia, L. (2018). Educação Especial na Cidade de Betim – 
Minas Gerais. Poster. VI Congresso Ibérico Educação Especial. Educação e 
Inclusão na Lusofonia. 16 de novembro. Misericórdia do Porto. Porto.
[ handle ]</v>
      </c>
      <c r="C159" s="2">
        <f t="shared" ca="1" si="0"/>
        <v>26</v>
      </c>
      <c r="D159" t="str">
        <f t="shared" ca="1" si="8"/>
        <v xml:space="preserve">Araújo, P. e Gouveia, L. </v>
      </c>
      <c r="E159" t="str">
        <f t="shared" ca="1" si="1"/>
        <v>2018</v>
      </c>
      <c r="F159" t="str">
        <f t="shared" ca="1" si="2"/>
        <v xml:space="preserve"> Educação Especial na Cidade de Betim – 
Minas Gerais. </v>
      </c>
      <c r="G159" s="3">
        <f t="shared" ca="1" si="3"/>
        <v>31</v>
      </c>
      <c r="H159" s="2">
        <f t="shared" ca="1" si="4"/>
        <v>86</v>
      </c>
      <c r="I159" t="e">
        <f t="shared" ca="1" si="5"/>
        <v>#VALUE!</v>
      </c>
      <c r="J159" s="3" t="e">
        <f t="shared" ca="1" si="9"/>
        <v>#VALUE!</v>
      </c>
      <c r="K159" t="str">
        <f t="shared" ca="1" si="6"/>
        <v xml:space="preserve">Araújo, P. e Gouveia, L. </v>
      </c>
      <c r="L159" t="str">
        <f t="shared" ca="1" si="7"/>
        <v xml:space="preserve">Quental, C. </v>
      </c>
    </row>
    <row r="160" spans="1:13" ht="15.75" customHeight="1">
      <c r="A160">
        <f ca="1">IFERROR(__xludf.DUMMYFUNCTION("""COMPUTED_VALUE"""),134)</f>
        <v>134</v>
      </c>
      <c r="B160" t="str">
        <f ca="1">IFERROR(__xludf.DUMMYFUNCTION("""COMPUTED_VALUE"""),"Costa, O. e Gouveia, L. (2018). Dropout in distance learning: A reference 
model for an integrated alert system. 9th Euro American Conference on 
Telematics and Information Systems (EATIS 2018). 12-15th November. Poster. 
Fortaleza. Brasil.")</f>
        <v>Costa, O. e Gouveia, L. (2018). Dropout in distance learning: A reference 
model for an integrated alert system. 9th Euro American Conference on 
Telematics and Information Systems (EATIS 2018). 12-15th November. Poster. 
Fortaleza. Brasil.</v>
      </c>
      <c r="C160" s="2">
        <f t="shared" ca="1" si="0"/>
        <v>25</v>
      </c>
      <c r="D160" t="str">
        <f t="shared" ca="1" si="8"/>
        <v xml:space="preserve">Costa, O. e Gouveia, L. </v>
      </c>
      <c r="E160" t="str">
        <f t="shared" ca="1" si="1"/>
        <v>2018</v>
      </c>
      <c r="F160" t="str">
        <f t="shared" ca="1" si="2"/>
        <v xml:space="preserve"> Dropout in distance learning: A reference 
model for an integrated alert system. </v>
      </c>
      <c r="G160" s="3">
        <f t="shared" ca="1" si="3"/>
        <v>30</v>
      </c>
      <c r="H160" s="2">
        <f t="shared" ca="1" si="4"/>
        <v>112</v>
      </c>
      <c r="I160" t="str">
        <f t="shared" ca="1" si="5"/>
        <v>9th Euro American Conference on 
Telematics and Information Systems (EATIS 2018).</v>
      </c>
      <c r="J160" s="3">
        <f t="shared" ca="1" si="9"/>
        <v>193</v>
      </c>
      <c r="K160" t="str">
        <f t="shared" ca="1" si="6"/>
        <v xml:space="preserve">Costa, O. e Gouveia, L. </v>
      </c>
      <c r="L160" t="str">
        <f t="shared" ca="1" si="7"/>
        <v xml:space="preserve">Quental, C. </v>
      </c>
    </row>
    <row r="161" spans="1:15" ht="15.75" customHeight="1">
      <c r="A161">
        <f ca="1">IFERROR(__xludf.DUMMYFUNCTION("""COMPUTED_VALUE"""),133)</f>
        <v>133</v>
      </c>
      <c r="B161" t="str">
        <f ca="1">IFERROR(__xludf.DUMMYFUNCTION("""COMPUTED_VALUE"""),"Martins, E.; Geraldes, W.; Afonseca, U. e Gouveia, L. (2018). O Uso do 
WhatsApp na Aprendizagem: Uma Experiência no Ensino Superior. 18ª 
Conferência da Associação Portuguesa de Sistemas de Informação (CAPSI 
2018). 12-13 de Outubro. Santarém. Instituto "&amp;"Politécnico de Santarém.
[ handle ]")</f>
        <v>Martins, E.; Geraldes, W.; Afonseca, U. e Gouveia, L. (2018). O Uso do 
WhatsApp na Aprendizagem: Uma Experiência no Ensino Superior. 18ª 
Conferência da Associação Portuguesa de Sistemas de Informação (CAPSI 
2018). 12-13 de Outubro. Santarém. Instituto Politécnico de Santarém.
[ handle ]</v>
      </c>
      <c r="C161" s="2">
        <f t="shared" ca="1" si="0"/>
        <v>55</v>
      </c>
      <c r="D161" t="str">
        <f t="shared" ca="1" si="8"/>
        <v xml:space="preserve">Martins, E.; Geraldes, W.; Afonseca, U. e Gouveia, L. </v>
      </c>
      <c r="E161" t="str">
        <f t="shared" ca="1" si="1"/>
        <v>2018</v>
      </c>
      <c r="F161" t="str">
        <f t="shared" ca="1" si="2"/>
        <v xml:space="preserve"> O Uso do 
WhatsApp na Aprendizagem: Uma Experiência no Ensino Superior. </v>
      </c>
      <c r="G161" s="3">
        <f t="shared" ca="1" si="3"/>
        <v>60</v>
      </c>
      <c r="H161" s="2">
        <f t="shared" ca="1" si="4"/>
        <v>133</v>
      </c>
      <c r="I161" t="str">
        <f t="shared" ca="1" si="5"/>
        <v>18ª 
Conferência da Associação Portuguesa de Sistemas de Informação (CAPSI 
2018).</v>
      </c>
      <c r="J161" s="3">
        <f t="shared" ca="1" si="9"/>
        <v>215</v>
      </c>
      <c r="K161" t="str">
        <f t="shared" ca="1" si="6"/>
        <v xml:space="preserve">Martins, E.; Geraldes, W.; Afonseca, U. e Gouveia, L. </v>
      </c>
      <c r="L161" t="str">
        <f t="shared" ca="1" si="7"/>
        <v xml:space="preserve">Quental, C. </v>
      </c>
      <c r="M161" t="str">
        <f ca="1">IFERROR(__xludf.DUMMYFUNCTION("""COMPUTED_VALUE""")," Geraldes, W.")</f>
        <v xml:space="preserve"> Geraldes, W.</v>
      </c>
      <c r="N161" t="str">
        <f ca="1">IFERROR(__xludf.DUMMYFUNCTION("""COMPUTED_VALUE""")," Afonseca, U. e Gouveia, L. ")</f>
        <v xml:space="preserve"> Afonseca, U. e Gouveia, L. </v>
      </c>
    </row>
    <row r="162" spans="1:15" ht="15.75" customHeight="1">
      <c r="A162">
        <f ca="1">IFERROR(__xludf.DUMMYFUNCTION("""COMPUTED_VALUE"""),132)</f>
        <v>132</v>
      </c>
      <c r="B162" t="str">
        <f ca="1">IFERROR(__xludf.DUMMYFUNCTION("""COMPUTED_VALUE"""),"Martins, E.; Geraldes, W.; Afonseca, U. e Gouveia, L. (2018). Uso do kahoot 
como ferramenta de aprendizagem. 18ª Conferência da Associação Portuguesa 
de Sistemas de Informação (CAPSI 2018). 12-13 de Outubro. Santarém. 
Instituto Politécnico de Santarém."&amp;"
[ handle ]")</f>
        <v>Martins, E.; Geraldes, W.; Afonseca, U. e Gouveia, L. (2018). Uso do kahoot 
como ferramenta de aprendizagem. 18ª Conferência da Associação Portuguesa 
de Sistemas de Informação (CAPSI 2018). 12-13 de Outubro. Santarém. 
Instituto Politécnico de Santarém.
[ handle ]</v>
      </c>
      <c r="C162" s="2">
        <f t="shared" ca="1" si="0"/>
        <v>55</v>
      </c>
      <c r="D162" t="str">
        <f t="shared" ca="1" si="8"/>
        <v xml:space="preserve">Martins, E.; Geraldes, W.; Afonseca, U. e Gouveia, L. </v>
      </c>
      <c r="E162" t="str">
        <f t="shared" ca="1" si="1"/>
        <v>2018</v>
      </c>
      <c r="F162" t="str">
        <f t="shared" ca="1" si="2"/>
        <v xml:space="preserve"> Uso do kahoot 
como ferramenta de aprendizagem. </v>
      </c>
      <c r="G162" s="3">
        <f t="shared" ca="1" si="3"/>
        <v>60</v>
      </c>
      <c r="H162" s="2">
        <f t="shared" ca="1" si="4"/>
        <v>109</v>
      </c>
      <c r="I162" t="str">
        <f t="shared" ca="1" si="5"/>
        <v>18ª Conferência da Associação Portuguesa 
de Sistemas de Informação (CAPSI 2018).</v>
      </c>
      <c r="J162" s="3">
        <f t="shared" ca="1" si="9"/>
        <v>190</v>
      </c>
      <c r="K162" t="str">
        <f t="shared" ca="1" si="6"/>
        <v xml:space="preserve">Martins, E.; Geraldes, W.; Afonseca, U. e Gouveia, L. </v>
      </c>
      <c r="L162" t="str">
        <f t="shared" ca="1" si="7"/>
        <v xml:space="preserve">Quental, C. </v>
      </c>
      <c r="M162" t="str">
        <f ca="1">IFERROR(__xludf.DUMMYFUNCTION("""COMPUTED_VALUE""")," Geraldes, W.")</f>
        <v xml:space="preserve"> Geraldes, W.</v>
      </c>
      <c r="N162" t="str">
        <f ca="1">IFERROR(__xludf.DUMMYFUNCTION("""COMPUTED_VALUE""")," Afonseca, U. e Gouveia, L. ")</f>
        <v xml:space="preserve"> Afonseca, U. e Gouveia, L. </v>
      </c>
    </row>
    <row r="163" spans="1:15" ht="15.75" customHeight="1">
      <c r="A163">
        <f ca="1">IFERROR(__xludf.DUMMYFUNCTION("""COMPUTED_VALUE"""),131)</f>
        <v>131</v>
      </c>
      <c r="B163" t="str">
        <f ca="1">IFERROR(__xludf.DUMMYFUNCTION("""COMPUTED_VALUE"""),"Martins, E.; Trindade, G.; Geraldes, W.; Afonseca, U. e Gouveia, L. (2018). 
Desenvolvimento de Aplicativo Móvel para Carona Acadêmica. 18ª Conferência 
da Associação Portuguesa de Sistemas de Informação (CAPSI 2018). 12-13 de 
Outubro. Santarém. Institut"&amp;"o Politécnico de Santarém.
[ handle ]")</f>
        <v>Martins, E.; Trindade, G.; Geraldes, W.; Afonseca, U. e Gouveia, L. (2018). 
Desenvolvimento de Aplicativo Móvel para Carona Acadêmica. 18ª Conferência 
da Associação Portuguesa de Sistemas de Informação (CAPSI 2018). 12-13 de 
Outubro. Santarém. Instituto Politécnico de Santarém.
[ handle ]</v>
      </c>
      <c r="C163" s="2">
        <f t="shared" ca="1" si="0"/>
        <v>69</v>
      </c>
      <c r="D163" t="str">
        <f t="shared" ca="1" si="8"/>
        <v xml:space="preserve">Martins, E.; Trindade, G.; Geraldes, W.; Afonseca, U. e Gouveia, L. </v>
      </c>
      <c r="E163" t="str">
        <f t="shared" ca="1" si="1"/>
        <v>2018</v>
      </c>
      <c r="F163" t="str">
        <f t="shared" ca="1" si="2"/>
        <v xml:space="preserve"> 
Desenvolvimento de Aplicativo Móvel para Carona Acadêmica. </v>
      </c>
      <c r="G163" s="3">
        <f t="shared" ca="1" si="3"/>
        <v>74</v>
      </c>
      <c r="H163" s="2">
        <f t="shared" ca="1" si="4"/>
        <v>135</v>
      </c>
      <c r="I163" t="str">
        <f t="shared" ca="1" si="5"/>
        <v>18ª Conferência 
da Associação Portuguesa de Sistemas de Informação (CAPSI 2018).</v>
      </c>
      <c r="J163" s="3">
        <f t="shared" ca="1" si="9"/>
        <v>216</v>
      </c>
      <c r="K163" t="str">
        <f t="shared" ca="1" si="6"/>
        <v xml:space="preserve">Martins, E.; Trindade, G.; Geraldes, W.; Afonseca, U. e Gouveia, L. </v>
      </c>
      <c r="L163" t="str">
        <f t="shared" ca="1" si="7"/>
        <v xml:space="preserve">Quental, C. </v>
      </c>
      <c r="M163" t="str">
        <f ca="1">IFERROR(__xludf.DUMMYFUNCTION("""COMPUTED_VALUE""")," Trindade, G.")</f>
        <v xml:space="preserve"> Trindade, G.</v>
      </c>
      <c r="N163" t="str">
        <f ca="1">IFERROR(__xludf.DUMMYFUNCTION("""COMPUTED_VALUE""")," Geraldes, W.")</f>
        <v xml:space="preserve"> Geraldes, W.</v>
      </c>
      <c r="O163" t="str">
        <f ca="1">IFERROR(__xludf.DUMMYFUNCTION("""COMPUTED_VALUE""")," Afonseca, U. e Gouveia, L. ")</f>
        <v xml:space="preserve"> Afonseca, U. e Gouveia, L. </v>
      </c>
    </row>
    <row r="164" spans="1:15" ht="15.75" customHeight="1">
      <c r="A164">
        <f ca="1">IFERROR(__xludf.DUMMYFUNCTION("""COMPUTED_VALUE"""),130)</f>
        <v>130</v>
      </c>
      <c r="B164" t="str">
        <f ca="1">IFERROR(__xludf.DUMMYFUNCTION("""COMPUTED_VALUE"""),"Silva, P. and Gouveia, L. (2018). A Model for Construction of high Quality 
Learning Environments - The relevant facts. EDULEARN18, 10th annual 
International Conference on Education and New Learning Technologies. 
Virtual Presentation. International Acad"&amp;"emy of Technology, Education and 
Development (IATED). 2-4 July. Palma de Mallorca, Spain. 
[ handle ]")</f>
        <v>Silva, P. and Gouveia, L. (2018). A Model for Construction of high Quality 
Learning Environments - The relevant facts. EDULEARN18, 10th annual 
International Conference on Education and New Learning Technologies. 
Virtual Presentation. International Academy of Technology, Education and 
Development (IATED). 2-4 July. Palma de Mallorca, Spain. 
[ handle ]</v>
      </c>
      <c r="C164" s="2">
        <f t="shared" ca="1" si="0"/>
        <v>27</v>
      </c>
      <c r="D164" t="str">
        <f t="shared" ca="1" si="8"/>
        <v xml:space="preserve">Silva, P. and Gouveia, L. </v>
      </c>
      <c r="E164" t="str">
        <f t="shared" ca="1" si="1"/>
        <v>2018</v>
      </c>
      <c r="F164" t="str">
        <f t="shared" ca="1" si="2"/>
        <v xml:space="preserve"> A Model for Construction of high Quality 
Learning Environments - The relevant facts. </v>
      </c>
      <c r="G164" s="3">
        <f t="shared" ca="1" si="3"/>
        <v>32</v>
      </c>
      <c r="H164" s="2">
        <f t="shared" ca="1" si="4"/>
        <v>119</v>
      </c>
      <c r="I164" t="str">
        <f t="shared" ca="1" si="5"/>
        <v>EDULEARN18, 10th annual 
International Conference on Education and New Learning Technologies. 
Virtual Presentation. International Academy of Technology, Education and 
Development (IATED).</v>
      </c>
      <c r="J164" s="3">
        <f t="shared" ca="1" si="9"/>
        <v>308</v>
      </c>
      <c r="K164" t="str">
        <f t="shared" ca="1" si="6"/>
        <v xml:space="preserve">Silva, P. ; Gouveia, L. </v>
      </c>
      <c r="L164" t="str">
        <f t="shared" ca="1" si="7"/>
        <v xml:space="preserve">Quental, C. </v>
      </c>
      <c r="M164" t="str">
        <f ca="1">IFERROR(__xludf.DUMMYFUNCTION("""COMPUTED_VALUE""")," Gouveia, L. ")</f>
        <v xml:space="preserve"> Gouveia, L. </v>
      </c>
    </row>
    <row r="165" spans="1:15" ht="15.75" customHeight="1">
      <c r="A165">
        <f ca="1">IFERROR(__xludf.DUMMYFUNCTION("""COMPUTED_VALUE"""),129)</f>
        <v>129</v>
      </c>
      <c r="B165" t="str">
        <f ca="1">IFERROR(__xludf.DUMMYFUNCTION("""COMPUTED_VALUE"""),"Silva, P. and Gouveia, L. (2018). The key factors for a learning space - 
time, space and activity. EDULEARN18, 10th annual International Conference 
on Education and New Learning Technologies. Virtual Presentation. 
International Academy of Technology, E"&amp;"ducation and Development (IATED). 2-4 
July. Palma de Mallorca, Spain. 
[ handle ]")</f>
        <v>Silva, P. and Gouveia, L. (2018). The key factors for a learning space - 
time, space and activity. EDULEARN18, 10th annual International Conference 
on Education and New Learning Technologies. Virtual Presentation. 
International Academy of Technology, Education and Development (IATED). 2-4 
July. Palma de Mallorca, Spain. 
[ handle ]</v>
      </c>
      <c r="C165" s="2">
        <f t="shared" ca="1" si="0"/>
        <v>27</v>
      </c>
      <c r="D165" t="str">
        <f t="shared" ca="1" si="8"/>
        <v xml:space="preserve">Silva, P. and Gouveia, L. </v>
      </c>
      <c r="E165" t="str">
        <f t="shared" ca="1" si="1"/>
        <v>2018</v>
      </c>
      <c r="F165" t="str">
        <f t="shared" ca="1" si="2"/>
        <v xml:space="preserve"> The key factors for a learning space - 
time, space and activity. </v>
      </c>
      <c r="G165" s="3">
        <f t="shared" ca="1" si="3"/>
        <v>32</v>
      </c>
      <c r="H165" s="2">
        <f t="shared" ca="1" si="4"/>
        <v>99</v>
      </c>
      <c r="I165" t="str">
        <f t="shared" ca="1" si="5"/>
        <v>EDULEARN18, 10th annual International Conference 
on Education and New Learning Technologies. Virtual Presentation. 
International Academy of Technology, Education and Development (IATED).</v>
      </c>
      <c r="J165" s="3">
        <f t="shared" ca="1" si="9"/>
        <v>287</v>
      </c>
      <c r="K165" t="str">
        <f t="shared" ca="1" si="6"/>
        <v xml:space="preserve">Silva, P. ; Gouveia, L. </v>
      </c>
      <c r="L165" t="str">
        <f t="shared" ca="1" si="7"/>
        <v xml:space="preserve">Quental, C. </v>
      </c>
      <c r="M165" t="str">
        <f ca="1">IFERROR(__xludf.DUMMYFUNCTION("""COMPUTED_VALUE""")," Gouveia, L. ")</f>
        <v xml:space="preserve"> Gouveia, L. </v>
      </c>
    </row>
    <row r="166" spans="1:15" ht="15.75" customHeight="1">
      <c r="A166">
        <f ca="1">IFERROR(__xludf.DUMMYFUNCTION("""COMPUTED_VALUE"""),128)</f>
        <v>128</v>
      </c>
      <c r="B166" t="str">
        <f ca="1">IFERROR(__xludf.DUMMYFUNCTION("""COMPUTED_VALUE"""),"Araújo, A. e Gouveia, L. (2018). Tecnologia de Informação e Educação 
aplicada ao Ensino SuperiorPercepções em uma IES em Belém do Pará. 
Seminário de Pesquisa. IV Seminário ForTEC. tecnologias digitais, Redes e 
Educação: perspectivas contemporâneas. 29 "&amp;"e 30 de Mai. Teatro UNEB. 
Salvador. Brasil. Anais do Seminário do ForTEC. Salvador, UNEB, DEDCI, 
PPGEduC. Vol III Formação e Hipertexto, pp 1056-1066. ISSN 2525-7625.
[ handle ]")</f>
        <v>Araújo, A. e Gouveia, L. (2018). Tecnologia de Informação e Educação 
aplicada ao Ensino SuperiorPercepções em uma IES em Belém do Pará. 
Seminário de Pesquisa. IV Seminário ForTEC. tecnologias digitais, Redes e 
Educação: perspectivas contemporâneas. 29 e 30 de Mai. Teatro UNEB. 
Salvador. Brasil. Anais do Seminário do ForTEC. Salvador, UNEB, DEDCI, 
PPGEduC. Vol III Formação e Hipertexto, pp 1056-1066. ISSN 2525-7625.
[ handle ]</v>
      </c>
      <c r="C166" s="2">
        <f t="shared" ca="1" si="0"/>
        <v>26</v>
      </c>
      <c r="D166" t="str">
        <f t="shared" ca="1" si="8"/>
        <v xml:space="preserve">Araújo, A. e Gouveia, L. </v>
      </c>
      <c r="E166" t="str">
        <f t="shared" ca="1" si="1"/>
        <v>2018</v>
      </c>
      <c r="F166" t="str">
        <f t="shared" ca="1" si="2"/>
        <v xml:space="preserve"> Tecnologia de Informação e Educação 
aplicada ao Ensino SuperiorPercepções em uma IES em Belém do Pará. </v>
      </c>
      <c r="G166" s="3">
        <f t="shared" ca="1" si="3"/>
        <v>31</v>
      </c>
      <c r="H166" s="2">
        <f t="shared" ca="1" si="4"/>
        <v>136</v>
      </c>
      <c r="I166" t="e">
        <f t="shared" ca="1" si="5"/>
        <v>#VALUE!</v>
      </c>
      <c r="J166" s="3" t="e">
        <f t="shared" ca="1" si="9"/>
        <v>#VALUE!</v>
      </c>
      <c r="K166" t="str">
        <f t="shared" ca="1" si="6"/>
        <v xml:space="preserve">Araújo, A. e Gouveia, L. </v>
      </c>
      <c r="L166" t="str">
        <f t="shared" ca="1" si="7"/>
        <v xml:space="preserve">Quental, C. </v>
      </c>
    </row>
    <row r="167" spans="1:15" ht="15.75" customHeight="1">
      <c r="A167">
        <f ca="1">IFERROR(__xludf.DUMMYFUNCTION("""COMPUTED_VALUE"""),127)</f>
        <v>127</v>
      </c>
      <c r="B167" t="str">
        <f ca="1">IFERROR(__xludf.DUMMYFUNCTION("""COMPUTED_VALUE"""),"Gouveia, L. (2018). Geography and its digital dimensions: a cities related 
discussion to join European inheritage. Congresso Internacional da Primeira 
Guerra Mundial. Centenário da Batalha de La Lys. Universidade Fernando 
Pessoa. Porto, Portugal. 9 a 1"&amp;"1 de abril. 
[ handle ]")</f>
        <v>Gouveia, L. (2018). Geography and its digital dimensions: a cities related 
discussion to join European inheritage. Congresso Internacional da Primeira 
Guerra Mundial. Centenário da Batalha de La Lys. Universidade Fernando 
Pessoa. Porto, Portugal. 9 a 11 de abril. 
[ handle ]</v>
      </c>
      <c r="C167" s="2">
        <f t="shared" ca="1" si="0"/>
        <v>13</v>
      </c>
      <c r="D167" t="str">
        <f t="shared" ca="1" si="8"/>
        <v xml:space="preserve">Gouveia, L. </v>
      </c>
      <c r="E167" t="str">
        <f t="shared" ca="1" si="1"/>
        <v>2018</v>
      </c>
      <c r="F167" t="str">
        <f t="shared" ca="1" si="2"/>
        <v xml:space="preserve"> Geography and its digital dimensions: a cities related 
discussion to join European inheritage. </v>
      </c>
      <c r="G167" s="3">
        <f t="shared" ca="1" si="3"/>
        <v>18</v>
      </c>
      <c r="H167" s="2">
        <f t="shared" ca="1" si="4"/>
        <v>115</v>
      </c>
      <c r="I167" t="e">
        <f t="shared" ca="1" si="5"/>
        <v>#VALUE!</v>
      </c>
      <c r="J167" s="3" t="e">
        <f t="shared" ca="1" si="9"/>
        <v>#VALUE!</v>
      </c>
      <c r="K167" t="str">
        <f t="shared" ca="1" si="6"/>
        <v xml:space="preserve">Gouveia, L. </v>
      </c>
      <c r="L167" t="str">
        <f t="shared" ca="1" si="7"/>
        <v xml:space="preserve">Quental, C. </v>
      </c>
    </row>
    <row r="168" spans="1:15" ht="15.75" customHeight="1">
      <c r="A168">
        <f ca="1">IFERROR(__xludf.DUMMYFUNCTION("""COMPUTED_VALUE"""),126)</f>
        <v>126</v>
      </c>
      <c r="B168" t="str">
        <f ca="1">IFERROR(__xludf.DUMMYFUNCTION("""COMPUTED_VALUE"""),"Sousa, A.; Agante, P.; Abrantes, S. and Gouveia, L. (2018). LIBEROPINION – 
A Web Platform for Public Participation. Paper Session 5: Digital 
Participation, Engagement, and Empowerment. 4th April. 11th International 
Conference on Theory and Practice of "&amp;"Electronic Governance (ICEGOV2018). 
4-6 April. Galway. Ireland. 
[ presentation ]")</f>
        <v>Sousa, A.; Agante, P.; Abrantes, S. and Gouveia, L. (2018). LIBEROPINION – 
A Web Platform for Public Participation. Paper Session 5: Digital 
Participation, Engagement, and Empowerment. 4th April. 11th International 
Conference on Theory and Practice of Electronic Governance (ICEGOV2018). 
4-6 April. Galway. Ireland. 
[ presentation ]</v>
      </c>
      <c r="C168" s="2">
        <f t="shared" ca="1" si="0"/>
        <v>53</v>
      </c>
      <c r="D168" t="str">
        <f t="shared" ca="1" si="8"/>
        <v xml:space="preserve">Sousa, A.; Agante, P.; Abrantes, S. and Gouveia, L. </v>
      </c>
      <c r="E168" t="str">
        <f t="shared" ca="1" si="1"/>
        <v>2018</v>
      </c>
      <c r="F168" t="str">
        <f t="shared" ca="1" si="2"/>
        <v xml:space="preserve"> LIBEROPINION – 
A Web Platform for Public Participation. </v>
      </c>
      <c r="G168" s="3">
        <f t="shared" ca="1" si="3"/>
        <v>58</v>
      </c>
      <c r="H168" s="2">
        <f t="shared" ca="1" si="4"/>
        <v>116</v>
      </c>
      <c r="I168" t="str">
        <f t="shared" ca="1" si="5"/>
        <v>Paper Session 5: Digital 
Participation, Engagement, and Empowerment. 4th April. 11th International 
Conference on Theory and Practice of Electronic Governance (ICEGOV2018).</v>
      </c>
      <c r="J168" s="3">
        <f t="shared" ca="1" si="9"/>
        <v>289</v>
      </c>
      <c r="K168" t="str">
        <f t="shared" ca="1" si="6"/>
        <v xml:space="preserve">Sousa, A.; Agante, P.; Abrantes, S. ; Gouveia, L. </v>
      </c>
      <c r="L168" t="str">
        <f t="shared" ca="1" si="7"/>
        <v xml:space="preserve">Quental, C. </v>
      </c>
      <c r="M168" t="str">
        <f ca="1">IFERROR(__xludf.DUMMYFUNCTION("""COMPUTED_VALUE""")," Agante, P.")</f>
        <v xml:space="preserve"> Agante, P.</v>
      </c>
      <c r="N168" t="str">
        <f ca="1">IFERROR(__xludf.DUMMYFUNCTION("""COMPUTED_VALUE""")," Abrantes, S. ")</f>
        <v xml:space="preserve"> Abrantes, S. </v>
      </c>
      <c r="O168" t="str">
        <f ca="1">IFERROR(__xludf.DUMMYFUNCTION("""COMPUTED_VALUE""")," Gouveia, L. ")</f>
        <v xml:space="preserve"> Gouveia, L. </v>
      </c>
    </row>
    <row r="169" spans="1:15" ht="15.75" customHeight="1">
      <c r="A169">
        <f ca="1">IFERROR(__xludf.DUMMYFUNCTION("""COMPUTED_VALUE"""),125)</f>
        <v>125</v>
      </c>
      <c r="B169" t="str">
        <f ca="1">IFERROR(__xludf.DUMMYFUNCTION("""COMPUTED_VALUE"""),"Khan, S. and Gouveia, L. (2017). An Empirical Factors that Influences the 
Adoption and Selection of Internet Service. Fourth Information Technology 
Trends (ITT 2017). 25-26 October. Higher Colleges of Technology - Al Ain 
Women’s College (AAWC). United "&amp;"Arabe Emirates (UAE).  
[ handle ]")</f>
        <v>Khan, S. and Gouveia, L. (2017). An Empirical Factors that Influences the 
Adoption and Selection of Internet Service. Fourth Information Technology 
Trends (ITT 2017). 25-26 October. Higher Colleges of Technology - Al Ain 
Women’s College (AAWC). United Arabe Emirates (UAE).  
[ handle ]</v>
      </c>
      <c r="C169" s="2">
        <f t="shared" ca="1" si="0"/>
        <v>26</v>
      </c>
      <c r="D169" t="str">
        <f t="shared" ca="1" si="8"/>
        <v xml:space="preserve">Khan, S. and Gouveia, L. </v>
      </c>
      <c r="E169" t="str">
        <f t="shared" ca="1" si="1"/>
        <v>2017</v>
      </c>
      <c r="F169" t="str">
        <f t="shared" ca="1" si="2"/>
        <v xml:space="preserve"> An Empirical Factors that Influences the 
Adoption and Selection of Internet Service. </v>
      </c>
      <c r="G169" s="3">
        <f t="shared" ca="1" si="3"/>
        <v>31</v>
      </c>
      <c r="H169" s="2">
        <f t="shared" ca="1" si="4"/>
        <v>118</v>
      </c>
      <c r="I169" t="str">
        <f t="shared" ca="1" si="5"/>
        <v>Fourth Information Technology 
Trends (ITT 2017).</v>
      </c>
      <c r="J169" s="3">
        <f t="shared" ca="1" si="9"/>
        <v>167</v>
      </c>
      <c r="K169" t="str">
        <f t="shared" ca="1" si="6"/>
        <v xml:space="preserve">Khan, S. ; Gouveia, L. </v>
      </c>
      <c r="L169" t="str">
        <f t="shared" ca="1" si="7"/>
        <v xml:space="preserve">Quental, C. </v>
      </c>
      <c r="M169" t="str">
        <f ca="1">IFERROR(__xludf.DUMMYFUNCTION("""COMPUTED_VALUE""")," Gouveia, L. ")</f>
        <v xml:space="preserve"> Gouveia, L. </v>
      </c>
    </row>
    <row r="170" spans="1:15" ht="15.75" customHeight="1">
      <c r="A170">
        <f ca="1">IFERROR(__xludf.DUMMYFUNCTION("""COMPUTED_VALUE"""),124)</f>
        <v>124</v>
      </c>
      <c r="B170" t="str">
        <f ca="1">IFERROR(__xludf.DUMMYFUNCTION("""COMPUTED_VALUE"""),"Araújo, P. e Gouveia, L. (2017). Plataforma Digital: Gestão da Informação e 
do Conhecimento. Esfera Digital Educacional. Apresentação oral do Poster. 
Colóquio Internacional EUTIC 2017. 20 de Outubro. Recife. Brasil.
[ handle ]")</f>
        <v>Araújo, P. e Gouveia, L. (2017). Plataforma Digital: Gestão da Informação e 
do Conhecimento. Esfera Digital Educacional. Apresentação oral do Poster. 
Colóquio Internacional EUTIC 2017. 20 de Outubro. Recife. Brasil.
[ handle ]</v>
      </c>
      <c r="C170" s="2">
        <f t="shared" ca="1" si="0"/>
        <v>26</v>
      </c>
      <c r="D170" t="str">
        <f t="shared" ca="1" si="8"/>
        <v xml:space="preserve">Araújo, P. e Gouveia, L. </v>
      </c>
      <c r="E170" t="str">
        <f t="shared" ca="1" si="1"/>
        <v>2017</v>
      </c>
      <c r="F170" t="str">
        <f t="shared" ca="1" si="2"/>
        <v xml:space="preserve"> Plataforma Digital: Gestão da Informação e 
do Conhecimento. </v>
      </c>
      <c r="G170" s="3">
        <f t="shared" ca="1" si="3"/>
        <v>31</v>
      </c>
      <c r="H170" s="2">
        <f t="shared" ca="1" si="4"/>
        <v>93</v>
      </c>
      <c r="I170" t="e">
        <f t="shared" ca="1" si="5"/>
        <v>#VALUE!</v>
      </c>
      <c r="J170" s="3" t="e">
        <f t="shared" ca="1" si="9"/>
        <v>#VALUE!</v>
      </c>
      <c r="K170" t="str">
        <f t="shared" ca="1" si="6"/>
        <v xml:space="preserve">Araújo, P. e Gouveia, L. </v>
      </c>
      <c r="L170" t="str">
        <f t="shared" ca="1" si="7"/>
        <v xml:space="preserve">Quental, C. </v>
      </c>
    </row>
    <row r="171" spans="1:15" ht="15.75" customHeight="1">
      <c r="A171">
        <f ca="1">IFERROR(__xludf.DUMMYFUNCTION("""COMPUTED_VALUE"""),123)</f>
        <v>123</v>
      </c>
      <c r="B171" t="str">
        <f ca="1">IFERROR(__xludf.DUMMYFUNCTION("""COMPUTED_VALUE"""),"Araújo, P. e Gouveia, L. (2017). Cultura Digital: uma discussão para uso e 
transformação no acesso e exploração da informação. Poster. Colóquio 
Internacional EUTIC 2017. Recife. Brasil.
[ handle ]")</f>
        <v>Araújo, P. e Gouveia, L. (2017). Cultura Digital: uma discussão para uso e 
transformação no acesso e exploração da informação. Poster. Colóquio 
Internacional EUTIC 2017. Recife. Brasil.
[ handle ]</v>
      </c>
      <c r="C171" s="2">
        <f t="shared" ca="1" si="0"/>
        <v>26</v>
      </c>
      <c r="D171" t="str">
        <f t="shared" ca="1" si="8"/>
        <v xml:space="preserve">Araújo, P. e Gouveia, L. </v>
      </c>
      <c r="E171" t="str">
        <f t="shared" ca="1" si="1"/>
        <v>2017</v>
      </c>
      <c r="F171" t="str">
        <f t="shared" ca="1" si="2"/>
        <v xml:space="preserve"> Cultura Digital: uma discussão para uso e 
transformação no acesso e exploração da informação. </v>
      </c>
      <c r="G171" s="3">
        <f t="shared" ca="1" si="3"/>
        <v>31</v>
      </c>
      <c r="H171" s="2">
        <f t="shared" ca="1" si="4"/>
        <v>127</v>
      </c>
      <c r="I171" t="e">
        <f t="shared" ca="1" si="5"/>
        <v>#VALUE!</v>
      </c>
      <c r="J171" s="3" t="e">
        <f t="shared" ca="1" si="9"/>
        <v>#VALUE!</v>
      </c>
      <c r="K171" t="str">
        <f t="shared" ca="1" si="6"/>
        <v xml:space="preserve">Araújo, P. e Gouveia, L. </v>
      </c>
      <c r="L171" t="str">
        <f t="shared" ca="1" si="7"/>
        <v xml:space="preserve">Quental, C. </v>
      </c>
    </row>
    <row r="172" spans="1:15" ht="15.75" customHeight="1">
      <c r="A172">
        <f ca="1">IFERROR(__xludf.DUMMYFUNCTION("""COMPUTED_VALUE"""),122)</f>
        <v>122</v>
      </c>
      <c r="B172" t="str">
        <f ca="1">IFERROR(__xludf.DUMMYFUNCTION("""COMPUTED_VALUE"""),"Salimo, G. e Gouveia, L. (2017). Contributos para o Ensino Superior em 
Moçambique. Os Desafios da Era Digital. Artigo REF nº 6953. 8º Congresso 
Luso-Moçambicano de Engenharia / V Congresso de Engenharia de Moçambique. 
CLME 2017/VCEM. Maputo, Moçambique"&amp;". 4 a 8 de Setembro. Ed: J. F. Silva 
Gomes et al.; Publ: INEGI/FEUP. 
[ paper ]")</f>
        <v>Salimo, G. e Gouveia, L. (2017). Contributos para o Ensino Superior em 
Moçambique. Os Desafios da Era Digital. Artigo REF nº 6953. 8º Congresso 
Luso-Moçambicano de Engenharia / V Congresso de Engenharia de Moçambique. 
CLME 2017/VCEM. Maputo, Moçambique. 4 a 8 de Setembro. Ed: J. F. Silva 
Gomes et al.; Publ: INEGI/FEUP. 
[ paper ]</v>
      </c>
      <c r="C172" s="2">
        <f t="shared" ca="1" si="0"/>
        <v>26</v>
      </c>
      <c r="D172" t="str">
        <f t="shared" ca="1" si="8"/>
        <v xml:space="preserve">Salimo, G. e Gouveia, L. </v>
      </c>
      <c r="E172" t="str">
        <f t="shared" ca="1" si="1"/>
        <v>2017</v>
      </c>
      <c r="F172" t="str">
        <f t="shared" ca="1" si="2"/>
        <v xml:space="preserve"> Contributos para o Ensino Superior em 
Moçambique. </v>
      </c>
      <c r="G172" s="3">
        <f t="shared" ca="1" si="3"/>
        <v>31</v>
      </c>
      <c r="H172" s="2">
        <f t="shared" ca="1" si="4"/>
        <v>83</v>
      </c>
      <c r="I172" t="e">
        <f t="shared" ca="1" si="5"/>
        <v>#VALUE!</v>
      </c>
      <c r="J172" s="3" t="e">
        <f t="shared" ca="1" si="9"/>
        <v>#VALUE!</v>
      </c>
      <c r="K172" t="str">
        <f t="shared" ca="1" si="6"/>
        <v xml:space="preserve">Salimo, G. e Gouveia, L. </v>
      </c>
      <c r="L172" t="str">
        <f t="shared" ca="1" si="7"/>
        <v xml:space="preserve">Quental, C. </v>
      </c>
    </row>
    <row r="173" spans="1:15" ht="15.75" customHeight="1">
      <c r="A173">
        <f ca="1">IFERROR(__xludf.DUMMYFUNCTION("""COMPUTED_VALUE"""),121)</f>
        <v>121</v>
      </c>
      <c r="B173" t="str">
        <f ca="1">IFERROR(__xludf.DUMMYFUNCTION("""COMPUTED_VALUE"""),"Araújo, P. e Gouveia, L. (2017). Governança Digital com o recurso de uma 
plataforma para a gestão da informação do Centro de Referência e Apoio a 
Educação Inclusiva. 14th CONTECSI – International Conference On Information 
Systems and Technology Managem"&amp;"ent. Universidade de São Paulo (USP). Brasil. 
24 a 26 de Maio. pp 5258-5275. ISSN 2448-1041. DOI: 
10.5748/9788599693131-14CONTECSI/DOC-5099
[ paper ]")</f>
        <v>Araújo, P. e Gouveia, L. (2017). Governança Digital com o recurso de uma 
plataforma para a gestão da informação do Centro de Referência e Apoio a 
Educação Inclusiva. 14th CONTECSI – International Conference On Information 
Systems and Technology Management. Universidade de São Paulo (USP). Brasil. 
24 a 26 de Maio. pp 5258-5275. ISSN 2448-1041. DOI: 
10.5748/9788599693131-14CONTECSI/DOC-5099
[ paper ]</v>
      </c>
      <c r="C173" s="2">
        <f t="shared" ca="1" si="0"/>
        <v>26</v>
      </c>
      <c r="D173" t="str">
        <f t="shared" ca="1" si="8"/>
        <v xml:space="preserve">Araújo, P. e Gouveia, L. </v>
      </c>
      <c r="E173" t="str">
        <f t="shared" ca="1" si="1"/>
        <v>2017</v>
      </c>
      <c r="F173" t="str">
        <f t="shared" ca="1" si="2"/>
        <v xml:space="preserve"> Governança Digital com o recurso de uma 
plataforma para a gestão da informação do Centro de Referência e Apoio a 
Educação Inclusiva. </v>
      </c>
      <c r="G173" s="3">
        <f t="shared" ca="1" si="3"/>
        <v>31</v>
      </c>
      <c r="H173" s="2">
        <f t="shared" ca="1" si="4"/>
        <v>167</v>
      </c>
      <c r="I173" t="str">
        <f t="shared" ca="1" si="5"/>
        <v>14th CONTECSI – International Conference On Information 
Systems and Technology Management. Universidade de São Paulo (USP).</v>
      </c>
      <c r="J173" s="3">
        <f t="shared" ca="1" si="9"/>
        <v>291</v>
      </c>
      <c r="K173" t="str">
        <f t="shared" ca="1" si="6"/>
        <v xml:space="preserve">Araújo, P. e Gouveia, L. </v>
      </c>
      <c r="L173" t="str">
        <f t="shared" ca="1" si="7"/>
        <v xml:space="preserve">Quental, C. </v>
      </c>
    </row>
    <row r="174" spans="1:15" ht="15.75" customHeight="1">
      <c r="A174">
        <f ca="1">IFERROR(__xludf.DUMMYFUNCTION("""COMPUTED_VALUE"""),120)</f>
        <v>120</v>
      </c>
      <c r="B174" t="str">
        <f ca="1">IFERROR(__xludf.DUMMYFUNCTION("""COMPUTED_VALUE"""),"Daradkeh, Y. and Gouveia, L.  (2017). *Keep using day-to-day tools in the 
classroom.*Workshop Perspectives of modern education and use of innovative 
technologies in training. International Scientific and Methodological 
Workshop.  March, 14th. The Facul"&amp;"ty of Basic Training of Kazakh university 
of Economics, Finance and International trade. 
[ handle ]")</f>
        <v>Daradkeh, Y. and Gouveia, L.  (2017). *Keep using day-to-day tools in the 
classroom.*Workshop Perspectives of modern education and use of innovative 
technologies in training. International Scientific and Methodological 
Workshop.  March, 14th. The Faculty of Basic Training of Kazakh university 
of Economics, Finance and International trade. 
[ handle ]</v>
      </c>
      <c r="C174" s="2">
        <f t="shared" ca="1" si="0"/>
        <v>31</v>
      </c>
      <c r="D174" t="str">
        <f t="shared" ca="1" si="8"/>
        <v xml:space="preserve">Daradkeh, Y. and Gouveia, L.  </v>
      </c>
      <c r="E174" t="str">
        <f t="shared" ca="1" si="1"/>
        <v>2017</v>
      </c>
      <c r="F174" t="str">
        <f t="shared" ca="1" si="2"/>
        <v xml:space="preserve"> *Keep using day-to-day tools in the 
classroom.*</v>
      </c>
      <c r="G174" s="3">
        <f t="shared" ca="1" si="3"/>
        <v>36</v>
      </c>
      <c r="H174" s="2">
        <f t="shared" ca="1" si="4"/>
        <v>85</v>
      </c>
      <c r="I174" t="e">
        <f t="shared" ca="1" si="5"/>
        <v>#VALUE!</v>
      </c>
      <c r="J174" s="3" t="e">
        <f t="shared" ca="1" si="9"/>
        <v>#VALUE!</v>
      </c>
      <c r="K174" t="str">
        <f t="shared" ca="1" si="6"/>
        <v xml:space="preserve">Daradkeh, Y. ; Gouveia, L.  </v>
      </c>
      <c r="L174" t="str">
        <f t="shared" ca="1" si="7"/>
        <v xml:space="preserve">Quental, C. </v>
      </c>
      <c r="M174" t="str">
        <f ca="1">IFERROR(__xludf.DUMMYFUNCTION("""COMPUTED_VALUE""")," Gouveia, L.  ")</f>
        <v xml:space="preserve"> Gouveia, L.  </v>
      </c>
    </row>
    <row r="175" spans="1:15" ht="15.75" customHeight="1">
      <c r="A175">
        <f ca="1">IFERROR(__xludf.DUMMYFUNCTION("""COMPUTED_VALUE"""),119)</f>
        <v>119</v>
      </c>
      <c r="B175" t="str">
        <f ca="1">IFERROR(__xludf.DUMMYFUNCTION("""COMPUTED_VALUE"""),"Quental, C. and Gouveia, L. (2016). e-consultation as a tool for 
participation in teachers’ unions. The greater the focus, the greater the 
number of visits. Full Paper. 11ª Conferência Ibérica de Sistemas e 
Tecnologias de Informação. 15 a 18 de Junho. "&amp;"Gran Canaria. Canarias. 
Espanha. In Rocha, A. et al. (2016). CISTI Proceedings. Vol I, pp 502-508. 
ISBN 978-989-98434-6-2.")</f>
        <v>Quental, C. and Gouveia, L. (2016). e-consultation as a tool for 
participation in teachers’ unions. The greater the focus, the greater the 
number of visits. Full Paper. 11ª Conferência Ibérica de Sistemas e 
Tecnologias de Informação. 15 a 18 de Junho. Gran Canaria. Canarias. 
Espanha. In Rocha, A. et al. (2016). CISTI Proceedings. Vol I, pp 502-508. 
ISBN 978-989-98434-6-2.</v>
      </c>
      <c r="C175" s="2">
        <f t="shared" ca="1" si="0"/>
        <v>29</v>
      </c>
      <c r="D175" t="str">
        <f t="shared" ca="1" si="8"/>
        <v xml:space="preserve">Quental, C. and Gouveia, L. </v>
      </c>
      <c r="E175" t="str">
        <f t="shared" ca="1" si="1"/>
        <v>2016</v>
      </c>
      <c r="F175" t="str">
        <f t="shared" ca="1" si="2"/>
        <v xml:space="preserve"> e-consultation as a tool for 
participation in teachers’ unions. </v>
      </c>
      <c r="G175" s="3">
        <f t="shared" ca="1" si="3"/>
        <v>34</v>
      </c>
      <c r="H175" s="2">
        <f t="shared" ca="1" si="4"/>
        <v>100</v>
      </c>
      <c r="I175" t="str">
        <f t="shared" ca="1" si="5"/>
        <v>The greater the focus, the greater the 
number of visits. Full Paper. 11ª Conferência Ibérica de Sistemas e 
Tecnologias de Informação. 15 a 18 de Junho. Gran Canaria. Canarias. 
Espanha. In Rocha, A. et al. (2016).</v>
      </c>
      <c r="J175" s="3">
        <f t="shared" ca="1" si="9"/>
        <v>315</v>
      </c>
      <c r="K175" t="str">
        <f t="shared" ca="1" si="6"/>
        <v xml:space="preserve">Quental, C. ; Gouveia, L. </v>
      </c>
      <c r="L175" t="str">
        <f t="shared" ca="1" si="7"/>
        <v xml:space="preserve">Quental, C. </v>
      </c>
      <c r="M175" t="str">
        <f ca="1">IFERROR(__xludf.DUMMYFUNCTION("""COMPUTED_VALUE""")," Gouveia, L. ")</f>
        <v xml:space="preserve"> Gouveia, L. </v>
      </c>
    </row>
    <row r="176" spans="1:15" ht="15.75" customHeight="1">
      <c r="A176">
        <f ca="1">IFERROR(__xludf.DUMMYFUNCTION("""COMPUTED_VALUE"""),118)</f>
        <v>118</v>
      </c>
      <c r="B176" t="str">
        <f ca="1">IFERROR(__xludf.DUMMYFUNCTION("""COMPUTED_VALUE"""),"Oliveira, M.; Louzada, M. e Gouveia, L. (2016). Desenvolvimento de um 
algoritmo avançado para mensuração de densidade óssea baseado na 
densitometria radiográfica. Symposium Doctoral Paper. 11ª Conferência 
Ibérica de Sistemas e Tecnologias de Informação"&amp;". 15 a 18 de Junho. Gran 
Canaria. Canarias. Espanha. In Rocha, A. et al. (2016). CISTI Proceedings. 
Vol II, pp 25-29. ISBN 978-989-98434-6-2.")</f>
        <v>Oliveira, M.; Louzada, M. e Gouveia, L. (2016). Desenvolvimento de um 
algoritmo avançado para mensuração de densidade óssea baseado na 
densitometria radiográfica. Symposium Doctoral Paper. 11ª Conferência 
Ibérica de Sistemas e Tecnologias de Informação. 15 a 18 de Junho. Gran 
Canaria. Canarias. Espanha. In Rocha, A. et al. (2016). CISTI Proceedings. 
Vol II, pp 25-29. ISBN 978-989-98434-6-2.</v>
      </c>
      <c r="C176" s="2">
        <f t="shared" ca="1" si="0"/>
        <v>41</v>
      </c>
      <c r="D176" t="str">
        <f t="shared" ca="1" si="8"/>
        <v xml:space="preserve">Oliveira, M.; Louzada, M. e Gouveia, L. </v>
      </c>
      <c r="E176" t="str">
        <f t="shared" ca="1" si="1"/>
        <v>2016</v>
      </c>
      <c r="F176" t="str">
        <f t="shared" ca="1" si="2"/>
        <v xml:space="preserve"> Desenvolvimento de um 
algoritmo avançado para mensuração de densidade óssea baseado na 
densitometria radiográfica. </v>
      </c>
      <c r="G176" s="3">
        <f t="shared" ca="1" si="3"/>
        <v>46</v>
      </c>
      <c r="H176" s="2">
        <f t="shared" ca="1" si="4"/>
        <v>164</v>
      </c>
      <c r="I176" t="str">
        <f t="shared" ca="1" si="5"/>
        <v>Symposium Doctoral Paper. 11ª Conferência 
Ibérica de Sistemas e Tecnologias de Informação. 15 a 18 de Junho. Gran 
Canaria. Canarias. Espanha. In Rocha, A. et al. (2016).</v>
      </c>
      <c r="J176" s="3">
        <f t="shared" ca="1" si="9"/>
        <v>335</v>
      </c>
      <c r="K176" t="str">
        <f t="shared" ca="1" si="6"/>
        <v xml:space="preserve">Oliveira, M.; Louzada, M. e Gouveia, L. </v>
      </c>
      <c r="L176" t="str">
        <f t="shared" ca="1" si="7"/>
        <v xml:space="preserve">Quental, C. </v>
      </c>
      <c r="M176" t="str">
        <f ca="1">IFERROR(__xludf.DUMMYFUNCTION("""COMPUTED_VALUE""")," Louzada, M. e Gouveia, L. ")</f>
        <v xml:space="preserve"> Louzada, M. e Gouveia, L. </v>
      </c>
    </row>
    <row r="177" spans="1:15" ht="15.75" customHeight="1">
      <c r="A177">
        <f ca="1">IFERROR(__xludf.DUMMYFUNCTION("""COMPUTED_VALUE"""),117)</f>
        <v>117</v>
      </c>
      <c r="B177" t="str">
        <f ca="1">IFERROR(__xludf.DUMMYFUNCTION("""COMPUTED_VALUE"""),"Daradkeh, Y; Pascal, O. Gouveia, L. (2015). Information Overload: a 
preliminary discussion. III International Scientific and Practical 
Conference Information Technologies. Problems and Solutions. 20-22 May. 
Ufa. Republic of Bashkortostan. Russia.")</f>
        <v>Daradkeh, Y; Pascal, O. Gouveia, L. (2015). Information Overload: a 
preliminary discussion. III International Scientific and Practical 
Conference Information Technologies. Problems and Solutions. 20-22 May. 
Ufa. Republic of Bashkortostan. Russia.</v>
      </c>
      <c r="C177" s="2">
        <f t="shared" ca="1" si="0"/>
        <v>37</v>
      </c>
      <c r="D177" t="str">
        <f t="shared" ca="1" si="8"/>
        <v xml:space="preserve">Daradkeh, Y; Pascal, O. Gouveia, L. </v>
      </c>
      <c r="E177" t="str">
        <f t="shared" ca="1" si="1"/>
        <v>2015</v>
      </c>
      <c r="F177" t="str">
        <f t="shared" ca="1" si="2"/>
        <v xml:space="preserve"> Information Overload: a 
preliminary discussion. </v>
      </c>
      <c r="G177" s="3">
        <f t="shared" ca="1" si="3"/>
        <v>42</v>
      </c>
      <c r="H177" s="2">
        <f t="shared" ca="1" si="4"/>
        <v>92</v>
      </c>
      <c r="I177" t="e">
        <f t="shared" ca="1" si="5"/>
        <v>#VALUE!</v>
      </c>
      <c r="J177" s="3" t="e">
        <f t="shared" ca="1" si="9"/>
        <v>#VALUE!</v>
      </c>
      <c r="K177" t="str">
        <f t="shared" ca="1" si="6"/>
        <v xml:space="preserve">Daradkeh, Y; Pascal, O. Gouveia, L. </v>
      </c>
      <c r="L177" t="str">
        <f t="shared" ca="1" si="7"/>
        <v xml:space="preserve">Quental, C. </v>
      </c>
      <c r="M177" t="str">
        <f ca="1">IFERROR(__xludf.DUMMYFUNCTION("""COMPUTED_VALUE""")," Pascal, O. Gouveia, L. ")</f>
        <v xml:space="preserve"> Pascal, O. Gouveia, L. </v>
      </c>
    </row>
    <row r="178" spans="1:15" ht="15.75" customHeight="1">
      <c r="A178">
        <f ca="1">IFERROR(__xludf.DUMMYFUNCTION("""COMPUTED_VALUE"""),116)</f>
        <v>116</v>
      </c>
      <c r="B178" t="str">
        <f ca="1">IFERROR(__xludf.DUMMYFUNCTION("""COMPUTED_VALUE"""),"Oliveira, M.; Nakamura, E.; Gouveia, L.; Massunari, L. &amp; Louzada, M. 
(2015). *Computational solution ""ODR-ATA"" to mesurement of bone density 
from radiographic density*. 4th Joint Meeting of ECTS and IBMS. European 
Calcified Tissue Society Internation"&amp;"al Bone &amp; Mineral Society. The 
Netherlands, Rotterdam. 25-28 April. ECTS-IBMS Abstracts (2015), pp 77. 
Poster on proceedings: IBMS BoneKEy 13, Article number: 673 (2015) | 
doi:10.1038/bonekey.2015.40")</f>
        <v>Oliveira, M.; Nakamura, E.; Gouveia, L.; Massunari, L. &amp; Louzada, M. 
(2015). *Computational solution "ODR-ATA" to mesurement of bone density 
from radiographic density*. 4th Joint Meeting of ECTS and IBMS. European 
Calcified Tissue Society International Bone &amp; Mineral Society. The 
Netherlands, Rotterdam. 25-28 April. ECTS-IBMS Abstracts (2015), pp 77. 
Poster on proceedings: IBMS BoneKEy 13, Article number: 673 (2015) | 
doi:10.1038/bonekey.2015.40</v>
      </c>
      <c r="C178" s="2">
        <f t="shared" ca="1" si="0"/>
        <v>71</v>
      </c>
      <c r="D178" t="str">
        <f t="shared" ca="1" si="8"/>
        <v xml:space="preserve">Oliveira, M.; Nakamura, E.; Gouveia, L.; Massunari, L. &amp; Louzada, M. 
</v>
      </c>
      <c r="E178" t="str">
        <f t="shared" ca="1" si="1"/>
        <v>2015</v>
      </c>
      <c r="F178" t="str">
        <f t="shared" ca="1" si="2"/>
        <v xml:space="preserve"> *Computational solution "ODR-ATA" to mesurement of bone density 
from radiographic density*. </v>
      </c>
      <c r="G178" s="3">
        <f t="shared" ca="1" si="3"/>
        <v>76</v>
      </c>
      <c r="H178" s="2">
        <f t="shared" ca="1" si="4"/>
        <v>170</v>
      </c>
      <c r="I178" t="e">
        <f t="shared" ca="1" si="5"/>
        <v>#VALUE!</v>
      </c>
      <c r="J178" s="3" t="e">
        <f t="shared" ca="1" si="9"/>
        <v>#VALUE!</v>
      </c>
      <c r="K178" t="str">
        <f t="shared" ca="1" si="6"/>
        <v xml:space="preserve">Oliveira, M.; Nakamura, E.; Gouveia, L.; Massunari, L. &amp; Louzada, M. 
</v>
      </c>
      <c r="L178" t="str">
        <f t="shared" ca="1" si="7"/>
        <v xml:space="preserve">Quental, C. </v>
      </c>
      <c r="M178" t="str">
        <f ca="1">IFERROR(__xludf.DUMMYFUNCTION("""COMPUTED_VALUE""")," Nakamura, E.")</f>
        <v xml:space="preserve"> Nakamura, E.</v>
      </c>
      <c r="N178" t="str">
        <f ca="1">IFERROR(__xludf.DUMMYFUNCTION("""COMPUTED_VALUE""")," Gouveia, L.")</f>
        <v xml:space="preserve"> Gouveia, L.</v>
      </c>
      <c r="O178" t="str">
        <f ca="1">IFERROR(__xludf.DUMMYFUNCTION("""COMPUTED_VALUE""")," Massunari, L. &amp; Louzada, M. 
")</f>
        <v xml:space="preserve"> Massunari, L. &amp; Louzada, M. 
</v>
      </c>
    </row>
    <row r="179" spans="1:15" ht="15.75" customHeight="1">
      <c r="A179">
        <f ca="1">IFERROR(__xludf.DUMMYFUNCTION("""COMPUTED_VALUE"""),115)</f>
        <v>115</v>
      </c>
      <c r="B179" t="str">
        <f ca="1">IFERROR(__xludf.DUMMYFUNCTION("""COMPUTED_VALUE"""),"Leal, J. e Gouveia, L. (2015). MOOC: Towards a Discourse on Higher 
Education Change. SEMiME. International Conference on Digital Exclusion in 
the Information and Knowledge Society. January 30-31. Lisbon, 
Portugal.ISBN: 9789727352043, pp 60-61.")</f>
        <v>Leal, J. e Gouveia, L. (2015). MOOC: Towards a Discourse on Higher 
Education Change. SEMiME. International Conference on Digital Exclusion in 
the Information and Knowledge Society. January 30-31. Lisbon, 
Portugal.ISBN: 9789727352043, pp 60-61.</v>
      </c>
      <c r="C179" s="2">
        <f t="shared" ca="1" si="0"/>
        <v>24</v>
      </c>
      <c r="D179" t="str">
        <f t="shared" ca="1" si="8"/>
        <v xml:space="preserve">Leal, J. e Gouveia, L. </v>
      </c>
      <c r="E179" t="str">
        <f t="shared" ca="1" si="1"/>
        <v>2015</v>
      </c>
      <c r="F179" t="str">
        <f t="shared" ca="1" si="2"/>
        <v xml:space="preserve"> MOOC: Towards a Discourse on Higher 
Education Change. </v>
      </c>
      <c r="G179" s="3">
        <f t="shared" ca="1" si="3"/>
        <v>29</v>
      </c>
      <c r="H179" s="2">
        <f t="shared" ca="1" si="4"/>
        <v>85</v>
      </c>
      <c r="I179" t="e">
        <f t="shared" ca="1" si="5"/>
        <v>#VALUE!</v>
      </c>
      <c r="J179" s="3" t="e">
        <f t="shared" ca="1" si="9"/>
        <v>#VALUE!</v>
      </c>
      <c r="K179" t="str">
        <f t="shared" ca="1" si="6"/>
        <v xml:space="preserve">Leal, J. e Gouveia, L. </v>
      </c>
      <c r="L179" t="str">
        <f t="shared" ca="1" si="7"/>
        <v xml:space="preserve">Quental, C. </v>
      </c>
    </row>
    <row r="180" spans="1:15" ht="15.75" customHeight="1">
      <c r="A180">
        <f ca="1">IFERROR(__xludf.DUMMYFUNCTION("""COMPUTED_VALUE"""),114)</f>
        <v>114</v>
      </c>
      <c r="B180" t="str">
        <f ca="1">IFERROR(__xludf.DUMMYFUNCTION("""COMPUTED_VALUE"""),"Leal, J. e Gouveia, L. (2014). MOOC: qual o papel na reconceptualização da 
Universidade? X EUTIC, Papel das TIC no Design de Processos Informacionais 
e Cognitivos. 22-24 de Outubro. Universidade Nova de Lisboa. In Tomé, I. 
(2015). Actas da X Conferênci"&amp;"a Internacional EUTIC 2014, pp 387-394.  ISBN 
978-989-95846-2-4.
[ handle ]")</f>
        <v>Leal, J. e Gouveia, L. (2014). MOOC: qual o papel na reconceptualização da 
Universidade? X EUTIC, Papel das TIC no Design de Processos Informacionais 
e Cognitivos. 22-24 de Outubro. Universidade Nova de Lisboa. In Tomé, I. 
(2015). Actas da X Conferência Internacional EUTIC 2014, pp 387-394.  ISBN 
978-989-95846-2-4.
[ handle ]</v>
      </c>
      <c r="C180" s="2">
        <f t="shared" ca="1" si="0"/>
        <v>24</v>
      </c>
      <c r="D180" t="str">
        <f t="shared" ca="1" si="8"/>
        <v xml:space="preserve">Leal, J. e Gouveia, L. </v>
      </c>
      <c r="E180" t="str">
        <f t="shared" ca="1" si="1"/>
        <v>2014</v>
      </c>
      <c r="F180" t="str">
        <f t="shared" ca="1" si="2"/>
        <v xml:space="preserve"> MOOC: qual o papel na reconceptualização da 
Universidade? X EUTIC, Papel das TIC no Design de Processos Informacionais 
e Cognitivos. </v>
      </c>
      <c r="G180" s="3">
        <f t="shared" ca="1" si="3"/>
        <v>29</v>
      </c>
      <c r="H180" s="2">
        <f t="shared" ca="1" si="4"/>
        <v>165</v>
      </c>
      <c r="I180" t="str">
        <f t="shared" ca="1" si="5"/>
        <v>22-24 de Outubro. Universidade Nova de Lisboa. In Tomé, I. 
(2015).</v>
      </c>
      <c r="J180" s="3">
        <f t="shared" ca="1" si="9"/>
        <v>232</v>
      </c>
      <c r="K180" t="str">
        <f t="shared" ca="1" si="6"/>
        <v xml:space="preserve">Leal, J. e Gouveia, L. </v>
      </c>
      <c r="L180" t="str">
        <f t="shared" ca="1" si="7"/>
        <v xml:space="preserve">Quental, C. </v>
      </c>
    </row>
    <row r="181" spans="1:15" ht="15.75" customHeight="1">
      <c r="A181">
        <f ca="1">IFERROR(__xludf.DUMMYFUNCTION("""COMPUTED_VALUE"""),113)</f>
        <v>113</v>
      </c>
      <c r="B181" t="str">
        <f ca="1">IFERROR(__xludf.DUMMYFUNCTION("""COMPUTED_VALUE"""),"Gouveia, L. (2014). Uma reflexão sobre o digital e o impacte no trabalho. 
XVI Congresso Internacional de Formação para o Trabalho Norte de Portugal - 
Galiza. Porto. 16 de Outubro.
[ handle ]")</f>
        <v>Gouveia, L. (2014). Uma reflexão sobre o digital e o impacte no trabalho. 
XVI Congresso Internacional de Formação para o Trabalho Norte de Portugal - 
Galiza. Porto. 16 de Outubro.
[ handle ]</v>
      </c>
      <c r="C181" s="2">
        <f t="shared" ca="1" si="0"/>
        <v>13</v>
      </c>
      <c r="D181" t="str">
        <f t="shared" ca="1" si="8"/>
        <v xml:space="preserve">Gouveia, L. </v>
      </c>
      <c r="E181" t="str">
        <f t="shared" ca="1" si="1"/>
        <v>2014</v>
      </c>
      <c r="F181" t="str">
        <f t="shared" ca="1" si="2"/>
        <v xml:space="preserve"> Uma reflexão sobre o digital e o impacte no trabalho. </v>
      </c>
      <c r="G181" s="3">
        <f t="shared" ca="1" si="3"/>
        <v>18</v>
      </c>
      <c r="H181" s="2">
        <f t="shared" ca="1" si="4"/>
        <v>73</v>
      </c>
      <c r="I181" t="e">
        <f t="shared" ca="1" si="5"/>
        <v>#VALUE!</v>
      </c>
      <c r="J181" s="3" t="e">
        <f t="shared" ca="1" si="9"/>
        <v>#VALUE!</v>
      </c>
      <c r="K181" t="str">
        <f t="shared" ca="1" si="6"/>
        <v xml:space="preserve">Gouveia, L. </v>
      </c>
      <c r="L181" t="str">
        <f t="shared" ca="1" si="7"/>
        <v xml:space="preserve">Quental, C. </v>
      </c>
    </row>
    <row r="182" spans="1:15" ht="15.75" customHeight="1">
      <c r="A182">
        <f ca="1">IFERROR(__xludf.DUMMYFUNCTION("""COMPUTED_VALUE"""),112)</f>
        <v>112</v>
      </c>
      <c r="B182" t="str">
        <f ca="1">IFERROR(__xludf.DUMMYFUNCTION("""COMPUTED_VALUE"""),"Sousa, A.; Agante, P.; Quental, C; Gouveia, L. (2014). *Model of Digital 
Mediation to support Communication between Teachers Unions and the 
Education Community*. International Conference on Electronic Government and 
the Information Systems Perspective "&amp;"(EGOVIS 2014). September 1-3, 2014, 
Munich, Germany. 
[ presentation ]")</f>
        <v>Sousa, A.; Agante, P.; Quental, C; Gouveia, L. (2014). *Model of Digital 
Mediation to support Communication between Teachers Unions and the 
Education Community*. International Conference on Electronic Government and 
the Information Systems Perspective (EGOVIS 2014). September 1-3, 2014, 
Munich, Germany. 
[ presentation ]</v>
      </c>
      <c r="C182" s="2">
        <f t="shared" ca="1" si="0"/>
        <v>48</v>
      </c>
      <c r="D182" t="str">
        <f t="shared" ca="1" si="8"/>
        <v xml:space="preserve">Sousa, A.; Agante, P.; Quental, C; Gouveia, L. </v>
      </c>
      <c r="E182" t="str">
        <f t="shared" ca="1" si="1"/>
        <v>2014</v>
      </c>
      <c r="F182" t="str">
        <f t="shared" ca="1" si="2"/>
        <v xml:space="preserve"> *Model of Digital 
Mediation to support Communication between Teachers Unions and the 
Education Community*. </v>
      </c>
      <c r="G182" s="3">
        <f t="shared" ca="1" si="3"/>
        <v>53</v>
      </c>
      <c r="H182" s="2">
        <f t="shared" ca="1" si="4"/>
        <v>163</v>
      </c>
      <c r="I182" t="str">
        <f t="shared" ca="1" si="5"/>
        <v>International Conference on Electronic Government and 
the Information Systems Perspective (EGOVIS 2014).</v>
      </c>
      <c r="J182" s="3">
        <f t="shared" ca="1" si="9"/>
        <v>268</v>
      </c>
      <c r="K182" t="str">
        <f t="shared" ca="1" si="6"/>
        <v xml:space="preserve">Sousa, A.; Agante, P.; Quental, C; Gouveia, L. </v>
      </c>
      <c r="L182" t="str">
        <f t="shared" ca="1" si="7"/>
        <v xml:space="preserve">Quental, C. </v>
      </c>
      <c r="M182" t="str">
        <f ca="1">IFERROR(__xludf.DUMMYFUNCTION("""COMPUTED_VALUE""")," Agante, P.")</f>
        <v xml:space="preserve"> Agante, P.</v>
      </c>
      <c r="N182" t="str">
        <f ca="1">IFERROR(__xludf.DUMMYFUNCTION("""COMPUTED_VALUE""")," Quental, C")</f>
        <v xml:space="preserve"> Quental, C</v>
      </c>
      <c r="O182" t="str">
        <f ca="1">IFERROR(__xludf.DUMMYFUNCTION("""COMPUTED_VALUE""")," Gouveia, L. ")</f>
        <v xml:space="preserve"> Gouveia, L. </v>
      </c>
    </row>
    <row r="183" spans="1:15" ht="15.75" customHeight="1">
      <c r="A183">
        <f ca="1">IFERROR(__xludf.DUMMYFUNCTION("""COMPUTED_VALUE"""),111)</f>
        <v>111</v>
      </c>
      <c r="B183" t="str">
        <f ca="1">IFERROR(__xludf.DUMMYFUNCTION("""COMPUTED_VALUE"""),"Sousa, A.; Agante, P.; Gouveia, L. (2014). *Communication Model for 
Generalist News Media Websites*. International Conference on Future 
Information Engineering (FIE 2014), July 7-8, 2014, Beijing, China). 
[ paper ]")</f>
        <v>Sousa, A.; Agante, P.; Gouveia, L. (2014). *Communication Model for 
Generalist News Media Websites*. International Conference on Future 
Information Engineering (FIE 2014), July 7-8, 2014, Beijing, China). 
[ paper ]</v>
      </c>
      <c r="C183" s="2">
        <f t="shared" ca="1" si="0"/>
        <v>36</v>
      </c>
      <c r="D183" t="str">
        <f t="shared" ca="1" si="8"/>
        <v xml:space="preserve">Sousa, A.; Agante, P.; Gouveia, L. </v>
      </c>
      <c r="E183" t="str">
        <f t="shared" ca="1" si="1"/>
        <v>2014</v>
      </c>
      <c r="F183" t="str">
        <f t="shared" ca="1" si="2"/>
        <v xml:space="preserve"> *Communication Model for 
Generalist News Media Websites*. </v>
      </c>
      <c r="G183" s="3">
        <f t="shared" ca="1" si="3"/>
        <v>41</v>
      </c>
      <c r="H183" s="2">
        <f t="shared" ca="1" si="4"/>
        <v>101</v>
      </c>
      <c r="I183" t="str">
        <f t="shared" ca="1" si="5"/>
        <v>International Conference on Future 
Information Engineering (FIE 2014), July 7-8, 2014, Beijing, China).</v>
      </c>
      <c r="J183" s="3">
        <f t="shared" ca="1" si="9"/>
        <v>205</v>
      </c>
      <c r="K183" t="str">
        <f t="shared" ca="1" si="6"/>
        <v xml:space="preserve">Sousa, A.; Agante, P.; Gouveia, L. </v>
      </c>
      <c r="L183" t="str">
        <f t="shared" ca="1" si="7"/>
        <v xml:space="preserve">Quental, C. </v>
      </c>
      <c r="M183" t="str">
        <f ca="1">IFERROR(__xludf.DUMMYFUNCTION("""COMPUTED_VALUE""")," Agante, P.")</f>
        <v xml:space="preserve"> Agante, P.</v>
      </c>
      <c r="N183" t="str">
        <f ca="1">IFERROR(__xludf.DUMMYFUNCTION("""COMPUTED_VALUE""")," Gouveia, L. ")</f>
        <v xml:space="preserve"> Gouveia, L. </v>
      </c>
    </row>
    <row r="184" spans="1:15" ht="15.75" customHeight="1">
      <c r="A184">
        <f ca="1">IFERROR(__xludf.DUMMYFUNCTION("""COMPUTED_VALUE"""),110)</f>
        <v>110</v>
      </c>
      <c r="B184" t="str">
        <f ca="1">IFERROR(__xludf.DUMMYFUNCTION("""COMPUTED_VALUE"""),"Salimo, G. e Gouveia, L. (2014). *Estudo preliminar para a adopção de 
práticas de EAD na Unizambeze*. In Gomes; António, C.; Afonso, . e Matos, 
A. (eds). Proceedings CLME2014 - 7º Congresso Luso-Moçambicano de 
Engenharia e IVCEM - 4º Congresso de Engen"&amp;"haria de Moçambique. Livro de 
Atas de Conferência Internacional, pp 17-18. ISBN: 978-989-98832-0-8.
[ handle ]")</f>
        <v>Salimo, G. e Gouveia, L. (2014). *Estudo preliminar para a adopção de 
práticas de EAD na Unizambeze*. In Gomes; António, C.; Afonso, . e Matos, 
A. (eds). Proceedings CLME2014 - 7º Congresso Luso-Moçambicano de 
Engenharia e IVCEM - 4º Congresso de Engenharia de Moçambique. Livro de 
Atas de Conferência Internacional, pp 17-18. ISBN: 978-989-98832-0-8.
[ handle ]</v>
      </c>
      <c r="C184" s="2">
        <f t="shared" ca="1" si="0"/>
        <v>26</v>
      </c>
      <c r="D184" t="str">
        <f t="shared" ca="1" si="8"/>
        <v xml:space="preserve">Salimo, G. e Gouveia, L. </v>
      </c>
      <c r="E184" t="str">
        <f t="shared" ca="1" si="1"/>
        <v>2014</v>
      </c>
      <c r="F184" t="str">
        <f t="shared" ca="1" si="2"/>
        <v xml:space="preserve"> *Estudo preliminar para a adopção de 
práticas de EAD na Unizambeze*. </v>
      </c>
      <c r="G184" s="3">
        <f t="shared" ca="1" si="3"/>
        <v>31</v>
      </c>
      <c r="H184" s="2">
        <f t="shared" ca="1" si="4"/>
        <v>102</v>
      </c>
      <c r="I184" t="str">
        <f t="shared" ca="1" si="5"/>
        <v>In Gomes; António, C.; Afonso, . e Matos, 
A. (eds).</v>
      </c>
      <c r="J184" s="3">
        <f t="shared" ca="1" si="9"/>
        <v>154</v>
      </c>
      <c r="K184" t="str">
        <f t="shared" ca="1" si="6"/>
        <v xml:space="preserve">Salimo, G. e Gouveia, L. </v>
      </c>
      <c r="L184" t="str">
        <f t="shared" ca="1" si="7"/>
        <v xml:space="preserve">Quental, C. </v>
      </c>
    </row>
    <row r="185" spans="1:15" ht="15.75" customHeight="1">
      <c r="A185">
        <f ca="1">IFERROR(__xludf.DUMMYFUNCTION("""COMPUTED_VALUE"""),109)</f>
        <v>109</v>
      </c>
      <c r="B185" t="str">
        <f ca="1">IFERROR(__xludf.DUMMYFUNCTION("""COMPUTED_VALUE"""),"Sousa, A.; Agante, P.; Gouveia, L. (2014). *Proposta de um Modelo Funcional 
para iniciativas de mediação digital em campanhas eleitorais*. Alvaro, R. 
et al. (eds). (2014). Sistemas y Tecnologías de Información. Actas de la 9ª 
Conferencia Ibérica de Sis"&amp;"temas y Tecnologías de Información. Barcelona, 
España. 18 al 21 de Junio de 2014 AISTI | La Salle URL | UPM | UOLS. ISBN: 
978-989-98434-3-1, Vol 1. pp 725-730.")</f>
        <v>Sousa, A.; Agante, P.; Gouveia, L. (2014). *Proposta de um Modelo Funcional 
para iniciativas de mediação digital em campanhas eleitorais*. Alvaro, R. 
et al. (eds). (2014). Sistemas y Tecnologías de Información. Actas de la 9ª 
Conferencia Ibérica de Sistemas y Tecnologías de Información. Barcelona, 
España. 18 al 21 de Junio de 2014 AISTI | La Salle URL | UPM | UOLS. ISBN: 
978-989-98434-3-1, Vol 1. pp 725-730.</v>
      </c>
      <c r="C185" s="2">
        <f t="shared" ca="1" si="0"/>
        <v>36</v>
      </c>
      <c r="D185" t="str">
        <f t="shared" ca="1" si="8"/>
        <v xml:space="preserve">Sousa, A.; Agante, P.; Gouveia, L. </v>
      </c>
      <c r="E185" t="str">
        <f t="shared" ca="1" si="1"/>
        <v>2014</v>
      </c>
      <c r="F185" t="str">
        <f t="shared" ca="1" si="2"/>
        <v xml:space="preserve"> *Proposta de um Modelo Funcional 
para iniciativas de mediação digital em campanhas eleitorais*. </v>
      </c>
      <c r="G185" s="3">
        <f t="shared" ca="1" si="3"/>
        <v>41</v>
      </c>
      <c r="H185" s="2">
        <f t="shared" ca="1" si="4"/>
        <v>139</v>
      </c>
      <c r="I185" t="str">
        <f t="shared" ca="1" si="5"/>
        <v>Alvaro, R. 
et al. (eds).</v>
      </c>
      <c r="J185" s="3">
        <f t="shared" ca="1" si="9"/>
        <v>164</v>
      </c>
      <c r="K185" t="str">
        <f t="shared" ca="1" si="6"/>
        <v xml:space="preserve">Sousa, A.; Agante, P.; Gouveia, L. </v>
      </c>
      <c r="L185" t="str">
        <f t="shared" ca="1" si="7"/>
        <v xml:space="preserve">Quental, C. </v>
      </c>
      <c r="M185" t="str">
        <f ca="1">IFERROR(__xludf.DUMMYFUNCTION("""COMPUTED_VALUE""")," Agante, P.")</f>
        <v xml:space="preserve"> Agante, P.</v>
      </c>
      <c r="N185" t="str">
        <f ca="1">IFERROR(__xludf.DUMMYFUNCTION("""COMPUTED_VALUE""")," Gouveia, L. ")</f>
        <v xml:space="preserve"> Gouveia, L. </v>
      </c>
    </row>
    <row r="186" spans="1:15" ht="15.75" customHeight="1">
      <c r="A186">
        <f ca="1">IFERROR(__xludf.DUMMYFUNCTION("""COMPUTED_VALUE"""),108)</f>
        <v>108</v>
      </c>
      <c r="B186" t="str">
        <f ca="1">IFERROR(__xludf.DUMMYFUNCTION("""COMPUTED_VALUE"""),"Rurato, P.; Gouveia, L. (2014). *The importance of the learner’s 
characteristics in distance learning environments: a case study*. Alvaro, 
R. et al. (eds). (2014). Sistemas y Tecnologías de Información. Actas de la 
9ª Conferencia Ibérica de Sistemas y "&amp;"Tecnologías de Información. Barcelona, 
España. 18 al 21 de Junio de 2014 AISTI | La Salle URL | UPM | UOLS. ISBN: 
978-989-98434-3-1, Vol 2. pp 247-253. Vol 1. pp 856-861.")</f>
        <v>Rurato, P.; Gouveia, L. (2014). *The importance of the learner’s 
characteristics in distance learning environments: a case study*. Alvaro, 
R. et al. (eds). (2014). Sistemas y Tecnologías de Información. Actas de la 
9ª Conferencia Ibérica de Sistemas y Tecnologías de Información. Barcelona, 
España. 18 al 21 de Junio de 2014 AISTI | La Salle URL | UPM | UOLS. ISBN: 
978-989-98434-3-1, Vol 2. pp 247-253. Vol 1. pp 856-861.</v>
      </c>
      <c r="C186" s="2">
        <f t="shared" ca="1" si="0"/>
        <v>25</v>
      </c>
      <c r="D186" t="str">
        <f t="shared" ca="1" si="8"/>
        <v xml:space="preserve">Rurato, P.; Gouveia, L. </v>
      </c>
      <c r="E186" t="str">
        <f t="shared" ca="1" si="1"/>
        <v>2014</v>
      </c>
      <c r="F186" t="str">
        <f t="shared" ca="1" si="2"/>
        <v xml:space="preserve"> *The importance of the learner’s 
characteristics in distance learning environments: a case study*. </v>
      </c>
      <c r="G186" s="3">
        <f t="shared" ca="1" si="3"/>
        <v>30</v>
      </c>
      <c r="H186" s="2">
        <f t="shared" ca="1" si="4"/>
        <v>131</v>
      </c>
      <c r="I186" t="str">
        <f t="shared" ca="1" si="5"/>
        <v>Alvaro, 
R. et al. (eds).</v>
      </c>
      <c r="J186" s="3">
        <f t="shared" ca="1" si="9"/>
        <v>156</v>
      </c>
      <c r="K186" t="str">
        <f t="shared" ca="1" si="6"/>
        <v xml:space="preserve">Rurato, P.; Gouveia, L. </v>
      </c>
      <c r="L186" t="str">
        <f t="shared" ca="1" si="7"/>
        <v xml:space="preserve">Quental, C. </v>
      </c>
      <c r="M186" t="str">
        <f ca="1">IFERROR(__xludf.DUMMYFUNCTION("""COMPUTED_VALUE""")," Gouveia, L. ")</f>
        <v xml:space="preserve"> Gouveia, L. </v>
      </c>
    </row>
    <row r="187" spans="1:15" ht="15.75" customHeight="1">
      <c r="A187">
        <f ca="1">IFERROR(__xludf.DUMMYFUNCTION("""COMPUTED_VALUE"""),107)</f>
        <v>107</v>
      </c>
      <c r="B187" t="str">
        <f ca="1">IFERROR(__xludf.DUMMYFUNCTION("""COMPUTED_VALUE"""),"Quental, C.; Gouveia, L. (2014). *Participação pública com recurso a meios 
digitais: será que os políticos utilizam novos meios com estratégias 
antigas*. Alvaro, R. et al. (eds). (2014). Sistemas y Tecnologías de 
Información. Actas de la 9ª Conferencia"&amp;" Ibérica de Sistemas y Tecnologías 
de Información. Barcelona, España. 18 al 21 de Junio de 2014 AISTI | La 
Salle URL | UPM | UOLS. ISBN: 978-989-98434-3-1, Vol 2. pp 247-253.")</f>
        <v>Quental, C.; Gouveia, L. (2014). *Participação pública com recurso a meios 
digitais: será que os políticos utilizam novos meios com estratégias 
antigas*. Alvaro, R. et al. (eds). (2014). Sistemas y Tecnologías de 
Información. Actas de la 9ª Conferencia Ibérica de Sistemas y Tecnologías 
de Información. Barcelona, España. 18 al 21 de Junio de 2014 AISTI | La 
Salle URL | UPM | UOLS. ISBN: 978-989-98434-3-1, Vol 2. pp 247-253.</v>
      </c>
      <c r="C187" s="2">
        <f t="shared" ca="1" si="0"/>
        <v>26</v>
      </c>
      <c r="D187" t="str">
        <f t="shared" ca="1" si="8"/>
        <v xml:space="preserve">Quental, C.; Gouveia, L. </v>
      </c>
      <c r="E187" t="str">
        <f t="shared" ca="1" si="1"/>
        <v>2014</v>
      </c>
      <c r="F187" t="str">
        <f t="shared" ca="1" si="2"/>
        <v xml:space="preserve"> *Participação pública com recurso a meios 
digitais: será que os políticos utilizam novos meios com estratégias 
antigas*. </v>
      </c>
      <c r="G187" s="3">
        <f t="shared" ca="1" si="3"/>
        <v>31</v>
      </c>
      <c r="H187" s="2">
        <f t="shared" ca="1" si="4"/>
        <v>155</v>
      </c>
      <c r="I187" t="str">
        <f t="shared" ca="1" si="5"/>
        <v>Alvaro, R. et al. (eds).</v>
      </c>
      <c r="J187" s="3">
        <f t="shared" ca="1" si="9"/>
        <v>179</v>
      </c>
      <c r="K187" t="str">
        <f t="shared" ca="1" si="6"/>
        <v xml:space="preserve">Quental, C.; Gouveia, L. </v>
      </c>
      <c r="L187" t="str">
        <f t="shared" ca="1" si="7"/>
        <v xml:space="preserve">Quental, C. </v>
      </c>
      <c r="M187" t="str">
        <f ca="1">IFERROR(__xludf.DUMMYFUNCTION("""COMPUTED_VALUE""")," Gouveia, L. ")</f>
        <v xml:space="preserve"> Gouveia, L. </v>
      </c>
    </row>
    <row r="188" spans="1:15" ht="15.75" customHeight="1">
      <c r="A188">
        <f ca="1">IFERROR(__xludf.DUMMYFUNCTION("""COMPUTED_VALUE"""),106)</f>
        <v>106</v>
      </c>
      <c r="B188" t="str">
        <f ca="1">IFERROR(__xludf.DUMMYFUNCTION("""COMPUTED_VALUE"""),"Leal, J.; Gouveia, L. (2014). *MOOC e reconceptualização do Ensino na 
Universidade*. Alvaro, R. et al. (eds). (2014). Sistemas y Tecnologías de 
Información. Actas de la 9ª Conferencia Ibérica de Sistemas y Tecnologías 
de Información. Barcelona, España."&amp;" 18 al 21 de Junio de 2014 AISTI | La 
Salle URL | UPM | UOLS. ISBN: 978-989-98434-3-1, Vol 2. pp 226-228.")</f>
        <v>Leal, J.; Gouveia, L. (2014). *MOOC e reconceptualização do Ensino na 
Universidade*. Alvaro, R. et al. (eds). (2014). Sistemas y Tecnologías de 
Información. Actas de la 9ª Conferencia Ibérica de Sistemas y Tecnologías 
de Información. Barcelona, España. 18 al 21 de Junio de 2014 AISTI | La 
Salle URL | UPM | UOLS. ISBN: 978-989-98434-3-1, Vol 2. pp 226-228.</v>
      </c>
      <c r="C188" s="2">
        <f t="shared" ca="1" si="0"/>
        <v>23</v>
      </c>
      <c r="D188" t="str">
        <f t="shared" ca="1" si="8"/>
        <v xml:space="preserve">Leal, J.; Gouveia, L. </v>
      </c>
      <c r="E188" t="str">
        <f t="shared" ca="1" si="1"/>
        <v>2014</v>
      </c>
      <c r="F188" t="str">
        <f t="shared" ca="1" si="2"/>
        <v xml:space="preserve"> *MOOC e reconceptualização do Ensino na 
Universidade*. </v>
      </c>
      <c r="G188" s="3">
        <f t="shared" ca="1" si="3"/>
        <v>28</v>
      </c>
      <c r="H188" s="2">
        <f t="shared" ca="1" si="4"/>
        <v>85</v>
      </c>
      <c r="I188" t="str">
        <f t="shared" ca="1" si="5"/>
        <v>Alvaro, R. et al. (eds).</v>
      </c>
      <c r="J188" s="3">
        <f t="shared" ca="1" si="9"/>
        <v>109</v>
      </c>
      <c r="K188" t="str">
        <f t="shared" ca="1" si="6"/>
        <v xml:space="preserve">Leal, J.; Gouveia, L. </v>
      </c>
      <c r="L188" t="str">
        <f t="shared" ca="1" si="7"/>
        <v xml:space="preserve">Quental, C. </v>
      </c>
      <c r="M188" t="str">
        <f ca="1">IFERROR(__xludf.DUMMYFUNCTION("""COMPUTED_VALUE""")," Gouveia, L. ")</f>
        <v xml:space="preserve"> Gouveia, L. </v>
      </c>
    </row>
    <row r="189" spans="1:15" ht="15.75" customHeight="1">
      <c r="A189">
        <f ca="1">IFERROR(__xludf.DUMMYFUNCTION("""COMPUTED_VALUE"""),105)</f>
        <v>105</v>
      </c>
      <c r="B189" t="str">
        <f ca="1">IFERROR(__xludf.DUMMYFUNCTION("""COMPUTED_VALUE"""),"Sousa, A.; Agante, P.; Gouveia, L. (2014). *Communication Model for Sports 
Media Web Portals*. 2014 AASRI Conference on  Sports Engineering and 
Computer Science (SECS 2014). June 21-22, 2014, London, England. 
[ paper ]")</f>
        <v>Sousa, A.; Agante, P.; Gouveia, L. (2014). *Communication Model for Sports 
Media Web Portals*. 2014 AASRI Conference on  Sports Engineering and 
Computer Science (SECS 2014). June 21-22, 2014, London, England. 
[ paper ]</v>
      </c>
      <c r="C189" s="2">
        <f t="shared" ca="1" si="0"/>
        <v>36</v>
      </c>
      <c r="D189" t="str">
        <f t="shared" ca="1" si="8"/>
        <v xml:space="preserve">Sousa, A.; Agante, P.; Gouveia, L. </v>
      </c>
      <c r="E189" t="str">
        <f t="shared" ca="1" si="1"/>
        <v>2014</v>
      </c>
      <c r="F189" t="str">
        <f t="shared" ca="1" si="2"/>
        <v xml:space="preserve"> *Communication Model for Sports 
Media Web Portals*. </v>
      </c>
      <c r="G189" s="3">
        <f t="shared" ca="1" si="3"/>
        <v>41</v>
      </c>
      <c r="H189" s="2">
        <f t="shared" ca="1" si="4"/>
        <v>95</v>
      </c>
      <c r="I189" t="str">
        <f t="shared" ca="1" si="5"/>
        <v>2014 AASRI Conference on  Sports Engineering and 
Computer Science (SECS 2014).</v>
      </c>
      <c r="J189" s="3">
        <f t="shared" ca="1" si="9"/>
        <v>174</v>
      </c>
      <c r="K189" t="str">
        <f t="shared" ca="1" si="6"/>
        <v xml:space="preserve">Sousa, A.; Agante, P.; Gouveia, L. </v>
      </c>
      <c r="L189" t="str">
        <f t="shared" ca="1" si="7"/>
        <v xml:space="preserve">Quental, C. </v>
      </c>
      <c r="M189" t="str">
        <f ca="1">IFERROR(__xludf.DUMMYFUNCTION("""COMPUTED_VALUE""")," Agante, P.")</f>
        <v xml:space="preserve"> Agante, P.</v>
      </c>
      <c r="N189" t="str">
        <f ca="1">IFERROR(__xludf.DUMMYFUNCTION("""COMPUTED_VALUE""")," Gouveia, L. ")</f>
        <v xml:space="preserve"> Gouveia, L. </v>
      </c>
    </row>
    <row r="190" spans="1:15" ht="15.75" customHeight="1">
      <c r="A190">
        <f ca="1">IFERROR(__xludf.DUMMYFUNCTION("""COMPUTED_VALUE"""),104)</f>
        <v>104</v>
      </c>
      <c r="B190" t="str">
        <f ca="1">IFERROR(__xludf.DUMMYFUNCTION("""COMPUTED_VALUE"""),"Martins, S.; Lopes, A.; Gouveia, L. (2014). Issues and specifications on a 
prescription system for controlling patient takes and  drugs usage. 2nd 
IPLeiria International Health Congress: Challenges &amp; Innovation in Health 
(Health@IPLeiria 2014). Institu"&amp;"to Politécnico de Leiria, 9-10 Maio, Leiria, 
Portugal. 
[ presentation ]")</f>
        <v>Martins, S.; Lopes, A.; Gouveia, L. (2014). Issues and specifications on a 
prescription system for controlling patient takes and  drugs usage. 2nd 
IPLeiria International Health Congress: Challenges &amp; Innovation in Health 
(Health@IPLeiria 2014). Instituto Politécnico de Leiria, 9-10 Maio, Leiria, 
Portugal. 
[ presentation ]</v>
      </c>
      <c r="C190" s="2">
        <f t="shared" ca="1" si="0"/>
        <v>37</v>
      </c>
      <c r="D190" t="str">
        <f t="shared" ca="1" si="8"/>
        <v xml:space="preserve">Martins, S.; Lopes, A.; Gouveia, L. </v>
      </c>
      <c r="E190" t="str">
        <f t="shared" ca="1" si="1"/>
        <v>2014</v>
      </c>
      <c r="F190" t="str">
        <f t="shared" ca="1" si="2"/>
        <v xml:space="preserve"> Issues and specifications on a 
prescription system for controlling patient takes and  drugs usage. </v>
      </c>
      <c r="G190" s="3">
        <f t="shared" ca="1" si="3"/>
        <v>42</v>
      </c>
      <c r="H190" s="2">
        <f t="shared" ca="1" si="4"/>
        <v>143</v>
      </c>
      <c r="I190" t="str">
        <f t="shared" ca="1" si="5"/>
        <v>2nd 
IPLeiria International Health Congress: Challenges &amp; Innovation in Health 
(Health@IPLeiria 2014).</v>
      </c>
      <c r="J190" s="3">
        <f t="shared" ca="1" si="9"/>
        <v>246</v>
      </c>
      <c r="K190" t="str">
        <f t="shared" ca="1" si="6"/>
        <v xml:space="preserve">Martins, S.; Lopes, A.; Gouveia, L. </v>
      </c>
      <c r="L190" t="str">
        <f t="shared" ca="1" si="7"/>
        <v xml:space="preserve">Quental, C. </v>
      </c>
      <c r="M190" t="str">
        <f ca="1">IFERROR(__xludf.DUMMYFUNCTION("""COMPUTED_VALUE""")," Lopes, A.")</f>
        <v xml:space="preserve"> Lopes, A.</v>
      </c>
      <c r="N190" t="str">
        <f ca="1">IFERROR(__xludf.DUMMYFUNCTION("""COMPUTED_VALUE""")," Gouveia, L. ")</f>
        <v xml:space="preserve"> Gouveia, L. </v>
      </c>
    </row>
    <row r="191" spans="1:15" ht="15.75" customHeight="1">
      <c r="A191">
        <f ca="1">IFERROR(__xludf.DUMMYFUNCTION("""COMPUTED_VALUE"""),103)</f>
        <v>103</v>
      </c>
      <c r="B191" t="str">
        <f ca="1">IFERROR(__xludf.DUMMYFUNCTION("""COMPUTED_VALUE"""),"Sousa, A.; Agante, P. and Gouveia, L. (2013). Model of Digital Mediation 
for Direct Public Participation in electoral Periods. How important are the 
Media? ICEGOV. 7th International Conference on Theory and Practice of 
Electronic Governance. 22-25 Octo"&amp;"ber. Seoul. Korea, pp 303-312. ISBN 
78-1-4503-2456-4. 
[ presentation ]")</f>
        <v>Sousa, A.; Agante, P. and Gouveia, L. (2013). Model of Digital Mediation 
for Direct Public Participation in electoral Periods. How important are the 
Media? ICEGOV. 7th International Conference on Theory and Practice of 
Electronic Governance. 22-25 October. Seoul. Korea, pp 303-312. ISBN 
78-1-4503-2456-4. 
[ presentation ]</v>
      </c>
      <c r="C191" s="2">
        <f t="shared" ca="1" si="0"/>
        <v>39</v>
      </c>
      <c r="D191" t="str">
        <f t="shared" ca="1" si="8"/>
        <v xml:space="preserve">Sousa, A.; Agante, P. and Gouveia, L. </v>
      </c>
      <c r="E191" t="str">
        <f t="shared" ca="1" si="1"/>
        <v>2013</v>
      </c>
      <c r="F191" t="str">
        <f t="shared" ca="1" si="2"/>
        <v xml:space="preserve"> Model of Digital Mediation 
for Direct Public Participation in electoral Periods. </v>
      </c>
      <c r="G191" s="3">
        <f t="shared" ca="1" si="3"/>
        <v>44</v>
      </c>
      <c r="H191" s="2">
        <f t="shared" ca="1" si="4"/>
        <v>127</v>
      </c>
      <c r="I191" t="e">
        <f t="shared" ca="1" si="5"/>
        <v>#VALUE!</v>
      </c>
      <c r="J191" s="3" t="e">
        <f t="shared" ca="1" si="9"/>
        <v>#VALUE!</v>
      </c>
      <c r="K191" t="str">
        <f t="shared" ca="1" si="6"/>
        <v xml:space="preserve">Sousa, A.; Agante, P. ; Gouveia, L. </v>
      </c>
      <c r="L191" t="str">
        <f t="shared" ca="1" si="7"/>
        <v xml:space="preserve">Quental, C. </v>
      </c>
      <c r="M191" t="str">
        <f ca="1">IFERROR(__xludf.DUMMYFUNCTION("""COMPUTED_VALUE""")," Agante, P. ")</f>
        <v xml:space="preserve"> Agante, P. </v>
      </c>
      <c r="N191" t="str">
        <f ca="1">IFERROR(__xludf.DUMMYFUNCTION("""COMPUTED_VALUE""")," Gouveia, L. ")</f>
        <v xml:space="preserve"> Gouveia, L. </v>
      </c>
    </row>
    <row r="192" spans="1:15" ht="15.75" customHeight="1">
      <c r="A192">
        <f ca="1">IFERROR(__xludf.DUMMYFUNCTION("""COMPUTED_VALUE"""),102)</f>
        <v>102</v>
      </c>
      <c r="B192" t="str">
        <f ca="1">IFERROR(__xludf.DUMMYFUNCTION("""COMPUTED_VALUE"""),"Silva, P and Gouveia, L. (2013). The Impact of Digital in Learning Spaces: 
An Analysis on the Perspective of Teachers in Higher Education. Proceedings 
of Informing Science &amp; IT Education Conference (InSiITE). 2013, pp 521-529. 
ISBN 9781932886719. 
[ pa"&amp;"per | presentation ]")</f>
        <v>Silva, P and Gouveia, L. (2013). The Impact of Digital in Learning Spaces: 
An Analysis on the Perspective of Teachers in Higher Education. Proceedings 
of Informing Science &amp; IT Education Conference (InSiITE). 2013, pp 521-529. 
ISBN 9781932886719. 
[ paper | presentation ]</v>
      </c>
      <c r="C192" s="2">
        <f t="shared" ca="1" si="0"/>
        <v>26</v>
      </c>
      <c r="D192" t="str">
        <f t="shared" ca="1" si="8"/>
        <v xml:space="preserve">Silva, P and Gouveia, L. </v>
      </c>
      <c r="E192" t="str">
        <f t="shared" ca="1" si="1"/>
        <v>2013</v>
      </c>
      <c r="F192" t="str">
        <f t="shared" ca="1" si="2"/>
        <v xml:space="preserve"> The Impact of Digital in Learning Spaces: 
An Analysis on the Perspective of Teachers in Higher Education. </v>
      </c>
      <c r="G192" s="3">
        <f t="shared" ca="1" si="3"/>
        <v>31</v>
      </c>
      <c r="H192" s="2">
        <f t="shared" ca="1" si="4"/>
        <v>139</v>
      </c>
      <c r="I192" t="str">
        <f t="shared" ca="1" si="5"/>
        <v>Proceedings 
of Informing Science &amp; IT Education Conference (InSiITE).</v>
      </c>
      <c r="J192" s="3">
        <f t="shared" ca="1" si="9"/>
        <v>209</v>
      </c>
      <c r="K192" t="str">
        <f t="shared" ca="1" si="6"/>
        <v xml:space="preserve">Silva, P ; Gouveia, L. </v>
      </c>
      <c r="L192" t="str">
        <f t="shared" ca="1" si="7"/>
        <v xml:space="preserve">Quental, C. </v>
      </c>
      <c r="M192" t="str">
        <f ca="1">IFERROR(__xludf.DUMMYFUNCTION("""COMPUTED_VALUE""")," Gouveia, L. ")</f>
        <v xml:space="preserve"> Gouveia, L. </v>
      </c>
    </row>
    <row r="193" spans="1:17" ht="15.75" customHeight="1">
      <c r="A193">
        <f ca="1">IFERROR(__xludf.DUMMYFUNCTION("""COMPUTED_VALUE"""),101)</f>
        <v>101</v>
      </c>
      <c r="B193" t="str">
        <f ca="1">IFERROR(__xludf.DUMMYFUNCTION("""COMPUTED_VALUE"""),"Robalo, A. e Gouveia, L. (2013). As Tecnologias na Educação: um novo olhar 
pedagógico no ambiente virtual Edmodo. Encuentro por la unidad de los 
educadores. Pedagogia 2013. Palacio de Convenciones de La Habana, del 4 al 
8 de Febrero. Cuba. Actas em CD-"&amp;"ROM. ISBN 978-959-18-0870-3.
[ paper ]")</f>
        <v>Robalo, A. e Gouveia, L. (2013). As Tecnologias na Educação: um novo olhar 
pedagógico no ambiente virtual Edmodo. Encuentro por la unidad de los 
educadores. Pedagogia 2013. Palacio de Convenciones de La Habana, del 4 al 
8 de Febrero. Cuba. Actas em CD-ROM. ISBN 978-959-18-0870-3.
[ paper ]</v>
      </c>
      <c r="C193" s="2">
        <f t="shared" ca="1" si="0"/>
        <v>26</v>
      </c>
      <c r="D193" t="str">
        <f t="shared" ca="1" si="8"/>
        <v xml:space="preserve">Robalo, A. e Gouveia, L. </v>
      </c>
      <c r="E193" t="str">
        <f t="shared" ca="1" si="1"/>
        <v>2013</v>
      </c>
      <c r="F193" t="str">
        <f t="shared" ca="1" si="2"/>
        <v xml:space="preserve"> As Tecnologias na Educação: um novo olhar 
pedagógico no ambiente virtual Edmodo. </v>
      </c>
      <c r="G193" s="3">
        <f t="shared" ca="1" si="3"/>
        <v>31</v>
      </c>
      <c r="H193" s="2">
        <f t="shared" ca="1" si="4"/>
        <v>114</v>
      </c>
      <c r="I193" t="e">
        <f t="shared" ca="1" si="5"/>
        <v>#VALUE!</v>
      </c>
      <c r="J193" s="3" t="e">
        <f t="shared" ca="1" si="9"/>
        <v>#VALUE!</v>
      </c>
      <c r="K193" t="str">
        <f t="shared" ca="1" si="6"/>
        <v xml:space="preserve">Robalo, A. e Gouveia, L. </v>
      </c>
      <c r="L193" t="str">
        <f t="shared" ca="1" si="7"/>
        <v xml:space="preserve">Quental, C. </v>
      </c>
    </row>
    <row r="194" spans="1:17" ht="15.75" customHeight="1">
      <c r="A194">
        <f ca="1">IFERROR(__xludf.DUMMYFUNCTION("""COMPUTED_VALUE"""),100)</f>
        <v>100</v>
      </c>
      <c r="B194" t="str">
        <f ca="1">IFERROR(__xludf.DUMMYFUNCTION("""COMPUTED_VALUE"""),"Gouveia, L. (2012). The Information Warfare - how it can affect us. 
International Conference Rethinking Warfare. 9-10th November. Universidade 
Fernando Pessoa.
[ slideshare ]")</f>
        <v>Gouveia, L. (2012). The Information Warfare - how it can affect us. 
International Conference Rethinking Warfare. 9-10th November. Universidade 
Fernando Pessoa.
[ slideshare ]</v>
      </c>
      <c r="C194" s="2">
        <f t="shared" ca="1" si="0"/>
        <v>13</v>
      </c>
      <c r="D194" t="str">
        <f t="shared" ca="1" si="8"/>
        <v xml:space="preserve">Gouveia, L. </v>
      </c>
      <c r="E194" t="str">
        <f t="shared" ca="1" si="1"/>
        <v>2012</v>
      </c>
      <c r="F194" t="str">
        <f t="shared" ca="1" si="2"/>
        <v xml:space="preserve"> The Information Warfare - how it can affect us. </v>
      </c>
      <c r="G194" s="3">
        <f t="shared" ca="1" si="3"/>
        <v>18</v>
      </c>
      <c r="H194" s="2">
        <f t="shared" ca="1" si="4"/>
        <v>67</v>
      </c>
      <c r="I194" t="e">
        <f t="shared" ca="1" si="5"/>
        <v>#VALUE!</v>
      </c>
      <c r="J194" s="3" t="e">
        <f t="shared" ca="1" si="9"/>
        <v>#VALUE!</v>
      </c>
      <c r="K194" t="str">
        <f t="shared" ca="1" si="6"/>
        <v xml:space="preserve">Gouveia, L. </v>
      </c>
      <c r="L194" t="str">
        <f t="shared" ca="1" si="7"/>
        <v xml:space="preserve">Quental, C. </v>
      </c>
    </row>
    <row r="195" spans="1:17" ht="15.75" customHeight="1">
      <c r="A195">
        <f ca="1">IFERROR(__xludf.DUMMYFUNCTION("""COMPUTED_VALUE"""),99)</f>
        <v>99</v>
      </c>
      <c r="B195" t="str">
        <f ca="1">IFERROR(__xludf.DUMMYFUNCTION("""COMPUTED_VALUE"""),"Sousa, A. e Gouveia, L. (2012). Proposta de mediação digital para a 
participação pública directa em períodos eleitorais. In Rocha, A. et al. 
(2012). Sistemas y tecnologías de Información. Actas de la 7ª Conferencia 
Ibérica de Sistemas y Tecnologías de "&amp;"Información. Madrid, España. 20 al 23 
de Junio. AISTI, vol I - Artículo, tomo 1, pp 602-606. ISBN: 
978-989-96247-6-4.
[ paper: zip ]")</f>
        <v>Sousa, A. e Gouveia, L. (2012). Proposta de mediação digital para a 
participação pública directa em períodos eleitorais. In Rocha, A. et al. 
(2012). Sistemas y tecnologías de Información. Actas de la 7ª Conferencia 
Ibérica de Sistemas y Tecnologías de Información. Madrid, España. 20 al 23 
de Junio. AISTI, vol I - Artículo, tomo 1, pp 602-606. ISBN: 
978-989-96247-6-4.
[ paper: zip ]</v>
      </c>
      <c r="C195" s="2">
        <f t="shared" ca="1" si="0"/>
        <v>25</v>
      </c>
      <c r="D195" t="str">
        <f t="shared" ca="1" si="8"/>
        <v xml:space="preserve">Sousa, A. e Gouveia, L. </v>
      </c>
      <c r="E195" t="str">
        <f t="shared" ca="1" si="1"/>
        <v>2012</v>
      </c>
      <c r="F195" t="str">
        <f t="shared" ca="1" si="2"/>
        <v xml:space="preserve"> Proposta de mediação digital para a 
participação pública directa em períodos eleitorais. </v>
      </c>
      <c r="G195" s="3">
        <f t="shared" ca="1" si="3"/>
        <v>30</v>
      </c>
      <c r="H195" s="2">
        <f t="shared" ca="1" si="4"/>
        <v>121</v>
      </c>
      <c r="I195" t="str">
        <f t="shared" ca="1" si="5"/>
        <v>In Rocha, A. et al. 
(2012).</v>
      </c>
      <c r="J195" s="3">
        <f t="shared" ca="1" si="9"/>
        <v>149</v>
      </c>
      <c r="K195" t="str">
        <f t="shared" ca="1" si="6"/>
        <v xml:space="preserve">Sousa, A. e Gouveia, L. </v>
      </c>
      <c r="L195" t="str">
        <f t="shared" ca="1" si="7"/>
        <v xml:space="preserve">Quental, C. </v>
      </c>
    </row>
    <row r="196" spans="1:17" ht="15.75" customHeight="1">
      <c r="A196">
        <f ca="1">IFERROR(__xludf.DUMMYFUNCTION("""COMPUTED_VALUE"""),98)</f>
        <v>98</v>
      </c>
      <c r="B196" t="str">
        <f ca="1">IFERROR(__xludf.DUMMYFUNCTION("""COMPUTED_VALUE"""),"Fidalgo, F. and Gouveia, L. (2012). Turnover and ICT Contribution in 
Organizational Knowledge Management. The Fourth International Conference on 
Information, Process, and Knowledge Management. eKnow 2012. January 30 - 
February 4. Valencia, Spain. Proce"&amp;"eding of the eKnow 2012 conference. 
IARIA, pp 40-46. ISBN: 978-1-61208-181-6.")</f>
        <v>Fidalgo, F. and Gouveia, L. (2012). Turnover and ICT Contribution in 
Organizational Knowledge Management. The Fourth International Conference on 
Information, Process, and Knowledge Management. eKnow 2012. January 30 - 
February 4. Valencia, Spain. Proceeding of the eKnow 2012 conference. 
IARIA, pp 40-46. ISBN: 978-1-61208-181-6.</v>
      </c>
      <c r="C196" s="2">
        <f t="shared" ca="1" si="0"/>
        <v>29</v>
      </c>
      <c r="D196" t="str">
        <f t="shared" ca="1" si="8"/>
        <v xml:space="preserve">Fidalgo, F. and Gouveia, L. </v>
      </c>
      <c r="E196" t="str">
        <f t="shared" ca="1" si="1"/>
        <v>2012</v>
      </c>
      <c r="F196" t="str">
        <f t="shared" ca="1" si="2"/>
        <v xml:space="preserve"> Turnover and ICT Contribution in 
Organizational Knowledge Management. </v>
      </c>
      <c r="G196" s="3">
        <f t="shared" ca="1" si="3"/>
        <v>34</v>
      </c>
      <c r="H196" s="2">
        <f t="shared" ca="1" si="4"/>
        <v>106</v>
      </c>
      <c r="I196" t="e">
        <f t="shared" ca="1" si="5"/>
        <v>#VALUE!</v>
      </c>
      <c r="J196" s="3" t="e">
        <f t="shared" ca="1" si="9"/>
        <v>#VALUE!</v>
      </c>
      <c r="K196" t="str">
        <f t="shared" ca="1" si="6"/>
        <v xml:space="preserve">Fidalgo, F. ; Gouveia, L. </v>
      </c>
      <c r="L196" t="str">
        <f t="shared" ca="1" si="7"/>
        <v xml:space="preserve">Quental, C. </v>
      </c>
      <c r="M196" t="str">
        <f ca="1">IFERROR(__xludf.DUMMYFUNCTION("""COMPUTED_VALUE""")," Gouveia, L. ")</f>
        <v xml:space="preserve"> Gouveia, L. </v>
      </c>
    </row>
    <row r="197" spans="1:17" ht="15.75" customHeight="1">
      <c r="A197">
        <f ca="1">IFERROR(__xludf.DUMMYFUNCTION("""COMPUTED_VALUE"""),97)</f>
        <v>97</v>
      </c>
      <c r="B197" t="str">
        <f ca="1">IFERROR(__xludf.DUMMYFUNCTION("""COMPUTED_VALUE"""),"Abrantes, S. e Gouveia, L. (2011). Assessing the use of m-learning support 
in an higher education context - A study approach based in the innovation 
spreading. 6th European Conference on Innovation and Entrepreneurship (ECIE 
2011). 15-16 September. Abe"&amp;"rdeen, Scotland. Proceedings of ECIE 2011, pp 
13-23. ISBN: 978-908272.")</f>
        <v>Abrantes, S. e Gouveia, L. (2011). Assessing the use of m-learning support 
in an higher education context - A study approach based in the innovation 
spreading. 6th European Conference on Innovation and Entrepreneurship (ECIE 
2011). 15-16 September. Aberdeen, Scotland. Proceedings of ECIE 2011, pp 
13-23. ISBN: 978-908272.</v>
      </c>
      <c r="C197" s="2">
        <f t="shared" ca="1" si="0"/>
        <v>28</v>
      </c>
      <c r="D197" t="str">
        <f t="shared" ca="1" si="8"/>
        <v xml:space="preserve">Abrantes, S. e Gouveia, L. </v>
      </c>
      <c r="E197" t="str">
        <f t="shared" ca="1" si="1"/>
        <v>2011</v>
      </c>
      <c r="F197" t="str">
        <f t="shared" ca="1" si="2"/>
        <v xml:space="preserve"> Assessing the use of m-learning support 
in an higher education context - A study approach based in the innovation 
spreading. </v>
      </c>
      <c r="G197" s="3">
        <f t="shared" ca="1" si="3"/>
        <v>33</v>
      </c>
      <c r="H197" s="2">
        <f t="shared" ca="1" si="4"/>
        <v>161</v>
      </c>
      <c r="I197" t="str">
        <f t="shared" ca="1" si="5"/>
        <v>6th European Conference on Innovation and Entrepreneurship (ECIE 
2011).</v>
      </c>
      <c r="J197" s="3">
        <f t="shared" ca="1" si="9"/>
        <v>233</v>
      </c>
      <c r="K197" t="str">
        <f t="shared" ca="1" si="6"/>
        <v xml:space="preserve">Abrantes, S. e Gouveia, L. </v>
      </c>
      <c r="L197" t="str">
        <f t="shared" ca="1" si="7"/>
        <v xml:space="preserve">Quental, C. </v>
      </c>
    </row>
    <row r="198" spans="1:17" ht="15.75" customHeight="1">
      <c r="A198">
        <f ca="1">IFERROR(__xludf.DUMMYFUNCTION("""COMPUTED_VALUE"""),96)</f>
        <v>96</v>
      </c>
      <c r="B198" t="str">
        <f ca="1">IFERROR(__xludf.DUMMYFUNCTION("""COMPUTED_VALUE"""),"Peres, P.; Gouveia, L. and Pimenta, P. (2011). Blended-learning Strategies 
in Higher Education. The 3rd annual International Conference on Education 
and New Learning Technologies. EDULERN11. 4-6 July. Barcelon. Spain. 
Edulearn11 Proceedings, pp 1857-18"&amp;"66. ISBN 978-84-615-0441-1.")</f>
        <v>Peres, P.; Gouveia, L. and Pimenta, P. (2011). Blended-learning Strategies 
in Higher Education. The 3rd annual International Conference on Education 
and New Learning Technologies. EDULERN11. 4-6 July. Barcelon. Spain. 
Edulearn11 Proceedings, pp 1857-1866. ISBN 978-84-615-0441-1.</v>
      </c>
      <c r="C198" s="2">
        <f t="shared" ca="1" si="0"/>
        <v>40</v>
      </c>
      <c r="D198" t="str">
        <f t="shared" ca="1" si="8"/>
        <v xml:space="preserve">Peres, P.; Gouveia, L. and Pimenta, P. </v>
      </c>
      <c r="E198" t="str">
        <f t="shared" ca="1" si="1"/>
        <v>2011</v>
      </c>
      <c r="F198" t="str">
        <f t="shared" ca="1" si="2"/>
        <v xml:space="preserve"> Blended-learning Strategies 
in Higher Education. </v>
      </c>
      <c r="G198" s="3">
        <f t="shared" ca="1" si="3"/>
        <v>45</v>
      </c>
      <c r="H198" s="2">
        <f t="shared" ca="1" si="4"/>
        <v>96</v>
      </c>
      <c r="I198" t="e">
        <f t="shared" ca="1" si="5"/>
        <v>#VALUE!</v>
      </c>
      <c r="J198" s="3" t="e">
        <f t="shared" ca="1" si="9"/>
        <v>#VALUE!</v>
      </c>
      <c r="K198" t="str">
        <f t="shared" ca="1" si="6"/>
        <v xml:space="preserve">Peres, P.; Gouveia, L. ; Pimenta, P. </v>
      </c>
      <c r="L198" t="str">
        <f t="shared" ca="1" si="7"/>
        <v xml:space="preserve">Quental, C. </v>
      </c>
      <c r="M198" t="str">
        <f ca="1">IFERROR(__xludf.DUMMYFUNCTION("""COMPUTED_VALUE""")," Gouveia, L. ")</f>
        <v xml:space="preserve"> Gouveia, L. </v>
      </c>
      <c r="N198" t="str">
        <f ca="1">IFERROR(__xludf.DUMMYFUNCTION("""COMPUTED_VALUE""")," Pimenta, P. ")</f>
        <v xml:space="preserve"> Pimenta, P. </v>
      </c>
    </row>
    <row r="199" spans="1:17" ht="15.75" customHeight="1">
      <c r="A199">
        <f ca="1">IFERROR(__xludf.DUMMYFUNCTION("""COMPUTED_VALUE"""),95)</f>
        <v>95</v>
      </c>
      <c r="B199" t="str">
        <f ca="1">IFERROR(__xludf.DUMMYFUNCTION("""COMPUTED_VALUE"""),"Abrantes, S. e Gouveia, L. (2011). Assessing Messaging Activity In An 
Online Discussion Forum Using an Innovation Adoption Approach. Proceedings 
of ICTEL 2011 - International Conference on Technology-enhanced Learning. 
25-27 Julho. Sofia, Bulgária, pp6"&amp;"14-623. ISBN 978-3-89958-541-4.")</f>
        <v>Abrantes, S. e Gouveia, L. (2011). Assessing Messaging Activity In An 
Online Discussion Forum Using an Innovation Adoption Approach. Proceedings 
of ICTEL 2011 - International Conference on Technology-enhanced Learning. 
25-27 Julho. Sofia, Bulgária, pp614-623. ISBN 978-3-89958-541-4.</v>
      </c>
      <c r="C199" s="2">
        <f t="shared" ca="1" si="0"/>
        <v>28</v>
      </c>
      <c r="D199" t="str">
        <f t="shared" ca="1" si="8"/>
        <v xml:space="preserve">Abrantes, S. e Gouveia, L. </v>
      </c>
      <c r="E199" t="str">
        <f t="shared" ca="1" si="1"/>
        <v>2011</v>
      </c>
      <c r="F199" t="str">
        <f t="shared" ca="1" si="2"/>
        <v xml:space="preserve"> Assessing Messaging Activity In An 
Online Discussion Forum Using an Innovation Adoption Approach. </v>
      </c>
      <c r="G199" s="3">
        <f t="shared" ca="1" si="3"/>
        <v>33</v>
      </c>
      <c r="H199" s="2">
        <f t="shared" ca="1" si="4"/>
        <v>133</v>
      </c>
      <c r="I199" t="e">
        <f t="shared" ca="1" si="5"/>
        <v>#VALUE!</v>
      </c>
      <c r="J199" s="3" t="e">
        <f t="shared" ca="1" si="9"/>
        <v>#VALUE!</v>
      </c>
      <c r="K199" t="str">
        <f t="shared" ca="1" si="6"/>
        <v xml:space="preserve">Abrantes, S. e Gouveia, L. </v>
      </c>
      <c r="L199" t="str">
        <f t="shared" ca="1" si="7"/>
        <v xml:space="preserve">Quental, C. </v>
      </c>
    </row>
    <row r="200" spans="1:17" ht="15.75" customHeight="1">
      <c r="A200">
        <f ca="1">IFERROR(__xludf.DUMMYFUNCTION("""COMPUTED_VALUE"""),94)</f>
        <v>94</v>
      </c>
      <c r="B200" t="str">
        <f ca="1">IFERROR(__xludf.DUMMYFUNCTION("""COMPUTED_VALUE"""),"Silva, P. e Gouveia, L. (2011). On Learning Spaces in Higher Education: 
Space as an Agent of Change. Proceedings of Informing Science &amp; IT 
Education Conference (InSite) 2011. 18-23 Junho. Novi Sad, Serbia, 
pp537-543. ISSN 1535-07-03.")</f>
        <v>Silva, P. e Gouveia, L. (2011). On Learning Spaces in Higher Education: 
Space as an Agent of Change. Proceedings of Informing Science &amp; IT 
Education Conference (InSite) 2011. 18-23 Junho. Novi Sad, Serbia, 
pp537-543. ISSN 1535-07-03.</v>
      </c>
      <c r="C200" s="2">
        <f t="shared" ca="1" si="0"/>
        <v>25</v>
      </c>
      <c r="D200" t="str">
        <f t="shared" ca="1" si="8"/>
        <v xml:space="preserve">Silva, P. e Gouveia, L. </v>
      </c>
      <c r="E200" t="str">
        <f t="shared" ca="1" si="1"/>
        <v>2011</v>
      </c>
      <c r="F200" t="str">
        <f t="shared" ca="1" si="2"/>
        <v xml:space="preserve"> On Learning Spaces in Higher Education: 
Space as an Agent of Change. </v>
      </c>
      <c r="G200" s="3">
        <f t="shared" ca="1" si="3"/>
        <v>30</v>
      </c>
      <c r="H200" s="2">
        <f t="shared" ca="1" si="4"/>
        <v>101</v>
      </c>
      <c r="I200" t="e">
        <f t="shared" ca="1" si="5"/>
        <v>#VALUE!</v>
      </c>
      <c r="J200" s="3" t="e">
        <f t="shared" ca="1" si="9"/>
        <v>#VALUE!</v>
      </c>
      <c r="K200" t="str">
        <f t="shared" ca="1" si="6"/>
        <v xml:space="preserve">Silva, P. e Gouveia, L. </v>
      </c>
      <c r="L200" t="str">
        <f t="shared" ca="1" si="7"/>
        <v xml:space="preserve">Quental, C. </v>
      </c>
    </row>
    <row r="201" spans="1:17" ht="15.75" customHeight="1">
      <c r="A201">
        <f ca="1">IFERROR(__xludf.DUMMYFUNCTION("""COMPUTED_VALUE"""),93)</f>
        <v>93</v>
      </c>
      <c r="B201" t="str">
        <f ca="1">IFERROR(__xludf.DUMMYFUNCTION("""COMPUTED_VALUE"""),"Abrantes, S. e Gouveia, L. (2011). Comparing Google Groups use by 
evaluating flow experience and generated messages in laptop and desktop 
higher education students. Proceedings of Informing Science &amp; IT Education 
Conference (InSite) 2011. 18-23 Junho. "&amp;"Novi Sad, Serbia, pp1-20. ISSN 
1535-07-03.")</f>
        <v>Abrantes, S. e Gouveia, L. (2011). Comparing Google Groups use by 
evaluating flow experience and generated messages in laptop and desktop 
higher education students. Proceedings of Informing Science &amp; IT Education 
Conference (InSite) 2011. 18-23 Junho. Novi Sad, Serbia, pp1-20. ISSN 
1535-07-03.</v>
      </c>
      <c r="C201" s="2">
        <f t="shared" ca="1" si="0"/>
        <v>28</v>
      </c>
      <c r="D201" t="str">
        <f t="shared" ca="1" si="8"/>
        <v xml:space="preserve">Abrantes, S. e Gouveia, L. </v>
      </c>
      <c r="E201" t="str">
        <f t="shared" ca="1" si="1"/>
        <v>2011</v>
      </c>
      <c r="F201" t="str">
        <f t="shared" ca="1" si="2"/>
        <v xml:space="preserve"> Comparing Google Groups use by 
evaluating flow experience and generated messages in laptop and desktop 
higher education students. </v>
      </c>
      <c r="G201" s="3">
        <f t="shared" ca="1" si="3"/>
        <v>33</v>
      </c>
      <c r="H201" s="2">
        <f t="shared" ca="1" si="4"/>
        <v>166</v>
      </c>
      <c r="I201" t="e">
        <f t="shared" ca="1" si="5"/>
        <v>#VALUE!</v>
      </c>
      <c r="J201" s="3" t="e">
        <f t="shared" ca="1" si="9"/>
        <v>#VALUE!</v>
      </c>
      <c r="K201" t="str">
        <f t="shared" ca="1" si="6"/>
        <v xml:space="preserve">Abrantes, S. e Gouveia, L. </v>
      </c>
      <c r="L201" t="str">
        <f t="shared" ca="1" si="7"/>
        <v xml:space="preserve">Quental, C. </v>
      </c>
    </row>
    <row r="202" spans="1:17" ht="15.75" customHeight="1">
      <c r="A202">
        <f ca="1">IFERROR(__xludf.DUMMYFUNCTION("""COMPUTED_VALUE"""),92)</f>
        <v>92</v>
      </c>
      <c r="B202" t="str">
        <f ca="1">IFERROR(__xludf.DUMMYFUNCTION("""COMPUTED_VALUE"""),"Fidalgo, F. e Gouveia, L. (2011). O impacto da rotatividade na Gestão do 
Conhecimento Organizacional. A rotatividade nas actividades imobiliárias em 
Portugal. *Actas da CISTI  2011 - 6ª Conferência Ibérica de Sistemas e 
Tecnologias de Informação*. Vol "&amp;"1, pp 459-464. ISSN: 978-989-96247-4-0.")</f>
        <v>Fidalgo, F. e Gouveia, L. (2011). O impacto da rotatividade na Gestão do 
Conhecimento Organizacional. A rotatividade nas actividades imobiliárias em 
Portugal. *Actas da CISTI  2011 - 6ª Conferência Ibérica de Sistemas e 
Tecnologias de Informação*. Vol 1, pp 459-464. ISSN: 978-989-96247-4-0.</v>
      </c>
      <c r="C202" s="2">
        <f t="shared" ca="1" si="0"/>
        <v>27</v>
      </c>
      <c r="D202" t="str">
        <f t="shared" ca="1" si="8"/>
        <v xml:space="preserve">Fidalgo, F. e Gouveia, L. </v>
      </c>
      <c r="E202" t="str">
        <f t="shared" ca="1" si="1"/>
        <v>2011</v>
      </c>
      <c r="F202" t="str">
        <f t="shared" ca="1" si="2"/>
        <v xml:space="preserve"> O impacto da rotatividade na Gestão do 
Conhecimento Organizacional. </v>
      </c>
      <c r="G202" s="3">
        <f t="shared" ca="1" si="3"/>
        <v>32</v>
      </c>
      <c r="H202" s="2">
        <f t="shared" ca="1" si="4"/>
        <v>102</v>
      </c>
      <c r="I202" t="e">
        <f t="shared" ca="1" si="5"/>
        <v>#VALUE!</v>
      </c>
      <c r="J202" s="3" t="e">
        <f t="shared" ca="1" si="9"/>
        <v>#VALUE!</v>
      </c>
      <c r="K202" t="str">
        <f t="shared" ca="1" si="6"/>
        <v xml:space="preserve">Fidalgo, F. e Gouveia, L. </v>
      </c>
      <c r="L202" t="str">
        <f t="shared" ca="1" si="7"/>
        <v xml:space="preserve">Quental, C. </v>
      </c>
    </row>
    <row r="203" spans="1:17" ht="15.75" customHeight="1">
      <c r="A203">
        <f ca="1">IFERROR(__xludf.DUMMYFUNCTION("""COMPUTED_VALUE"""),91)</f>
        <v>91</v>
      </c>
      <c r="B203" t="str">
        <f ca="1">IFERROR(__xludf.DUMMYFUNCTION("""COMPUTED_VALUE"""),"Abrantes, S. e Gouveia, L. (2011). Avaliação do uso do Google Groups com 
desktops ou laptops enquanto ambiente colaborativo: o caso da qualidade das 
mensagens. *CISTI 2011. 15-18 Junho. Chaves, Portugal.* Actas da CISTI  
2011 - 6ª Conferência Ibérica d"&amp;"e Sistemas e Tecnologias de Informação. Vol 
2, pp 144-149. ISSN: 978-989-96247-5-7.")</f>
        <v>Abrantes, S. e Gouveia, L. (2011). Avaliação do uso do Google Groups com 
desktops ou laptops enquanto ambiente colaborativo: o caso da qualidade das 
mensagens. *CISTI 2011. 15-18 Junho. Chaves, Portugal.* Actas da CISTI  
2011 - 6ª Conferência Ibérica de Sistemas e Tecnologias de Informação. Vol 
2, pp 144-149. ISSN: 978-989-96247-5-7.</v>
      </c>
      <c r="C203" s="2">
        <f t="shared" ca="1" si="0"/>
        <v>28</v>
      </c>
      <c r="D203" t="str">
        <f t="shared" ca="1" si="8"/>
        <v xml:space="preserve">Abrantes, S. e Gouveia, L. </v>
      </c>
      <c r="E203" t="str">
        <f t="shared" ca="1" si="1"/>
        <v>2011</v>
      </c>
      <c r="F203" t="str">
        <f t="shared" ca="1" si="2"/>
        <v xml:space="preserve"> Avaliação do uso do Google Groups com 
desktops ou laptops enquanto ambiente colaborativo: o caso da qualidade das 
mensagens. </v>
      </c>
      <c r="G203" s="3">
        <f t="shared" ca="1" si="3"/>
        <v>33</v>
      </c>
      <c r="H203" s="2">
        <f t="shared" ca="1" si="4"/>
        <v>161</v>
      </c>
      <c r="I203" t="e">
        <f t="shared" ca="1" si="5"/>
        <v>#VALUE!</v>
      </c>
      <c r="J203" s="3" t="e">
        <f t="shared" ca="1" si="9"/>
        <v>#VALUE!</v>
      </c>
      <c r="K203" t="str">
        <f t="shared" ca="1" si="6"/>
        <v xml:space="preserve">Abrantes, S. e Gouveia, L. </v>
      </c>
      <c r="L203" t="str">
        <f t="shared" ca="1" si="7"/>
        <v xml:space="preserve">Quental, C. </v>
      </c>
    </row>
    <row r="204" spans="1:17" ht="15.75" customHeight="1">
      <c r="A204">
        <f ca="1">IFERROR(__xludf.DUMMYFUNCTION("""COMPUTED_VALUE"""),90)</f>
        <v>90</v>
      </c>
      <c r="B204" t="str">
        <f ca="1">IFERROR(__xludf.DUMMYFUNCTION("""COMPUTED_VALUE"""),"Sousa, A. e Gouveia, L. (2011). Governómetro: uma Aplicação Web para 
Monitorizar a Actividade Governativa. *CISTI 2011. 15-18 Junho. Chaves, 
Portugal.* Actas da CISTI  2011 - 6ª Conferência Ibérica de Sistemas e 
Tecnologias de Informação. Vol 2, pp 129"&amp;"-132. ISSN: 978-989-96247-5-7.")</f>
        <v>Sousa, A. e Gouveia, L. (2011). Governómetro: uma Aplicação Web para 
Monitorizar a Actividade Governativa. *CISTI 2011. 15-18 Junho. Chaves, 
Portugal.* Actas da CISTI  2011 - 6ª Conferência Ibérica de Sistemas e 
Tecnologias de Informação. Vol 2, pp 129-132. ISSN: 978-989-96247-5-7.</v>
      </c>
      <c r="C204" s="2">
        <f t="shared" ca="1" si="0"/>
        <v>25</v>
      </c>
      <c r="D204" t="str">
        <f t="shared" ca="1" si="8"/>
        <v xml:space="preserve">Sousa, A. e Gouveia, L. </v>
      </c>
      <c r="E204" t="str">
        <f t="shared" ca="1" si="1"/>
        <v>2011</v>
      </c>
      <c r="F204" t="str">
        <f t="shared" ca="1" si="2"/>
        <v xml:space="preserve"> Governómetro: uma Aplicação Web para 
Monitorizar a Actividade Governativa. </v>
      </c>
      <c r="G204" s="3">
        <f t="shared" ca="1" si="3"/>
        <v>30</v>
      </c>
      <c r="H204" s="2">
        <f t="shared" ca="1" si="4"/>
        <v>107</v>
      </c>
      <c r="I204" t="e">
        <f t="shared" ca="1" si="5"/>
        <v>#VALUE!</v>
      </c>
      <c r="J204" s="3" t="e">
        <f t="shared" ca="1" si="9"/>
        <v>#VALUE!</v>
      </c>
      <c r="K204" t="str">
        <f t="shared" ca="1" si="6"/>
        <v xml:space="preserve">Sousa, A. e Gouveia, L. </v>
      </c>
      <c r="L204" t="str">
        <f t="shared" ca="1" si="7"/>
        <v xml:space="preserve">Quental, C. </v>
      </c>
    </row>
    <row r="205" spans="1:17" ht="15.75" customHeight="1">
      <c r="A205">
        <f ca="1">IFERROR(__xludf.DUMMYFUNCTION("""COMPUTED_VALUE"""),89)</f>
        <v>89</v>
      </c>
      <c r="B205" t="str">
        <f ca="1">IFERROR(__xludf.DUMMYFUNCTION("""COMPUTED_VALUE"""),"Peres, P. e Pimenta, P. e Gouveia, L. (2011). Planeamento pedagógico: 
documentos, mobilidade e reutilização. Um protótipo para gerir a descrição 
de unidades curriculares no contexto do ensino superior. *CISTI 2011. 15-18 
Junho. Chaves, Portugal.* Actas"&amp;" da CISTI  2011 - 6ª Conferência Ibérica de 
Sistemas e Tecnologias de Informação. Vol 2, pp 45-49. ISSN: 
978-989-96247-5-7.")</f>
        <v>Peres, P. e Pimenta, P. e Gouveia, L. (2011). Planeamento pedagógico: 
documentos, mobilidade e reutilização. Um protótipo para gerir a descrição 
de unidades curriculares no contexto do ensino superior. *CISTI 2011. 15-18 
Junho. Chaves, Portugal.* Actas da CISTI  2011 - 6ª Conferência Ibérica de 
Sistemas e Tecnologias de Informação. Vol 2, pp 45-49. ISSN: 
978-989-96247-5-7.</v>
      </c>
      <c r="C205" s="2">
        <f t="shared" ca="1" si="0"/>
        <v>39</v>
      </c>
      <c r="D205" t="str">
        <f t="shared" ca="1" si="8"/>
        <v xml:space="preserve">Peres, P. e Pimenta, P. e Gouveia, L. </v>
      </c>
      <c r="E205" t="str">
        <f t="shared" ca="1" si="1"/>
        <v>2011</v>
      </c>
      <c r="F205" t="str">
        <f t="shared" ca="1" si="2"/>
        <v xml:space="preserve"> Planeamento pedagógico: 
documentos, mobilidade e reutilização. </v>
      </c>
      <c r="G205" s="3">
        <f t="shared" ca="1" si="3"/>
        <v>44</v>
      </c>
      <c r="H205" s="2">
        <f t="shared" ca="1" si="4"/>
        <v>109</v>
      </c>
      <c r="I205" t="e">
        <f t="shared" ca="1" si="5"/>
        <v>#VALUE!</v>
      </c>
      <c r="J205" s="3" t="e">
        <f t="shared" ca="1" si="9"/>
        <v>#VALUE!</v>
      </c>
      <c r="K205" t="str">
        <f t="shared" ca="1" si="6"/>
        <v xml:space="preserve">Peres, P. e Pimenta, P. e Gouveia, L. </v>
      </c>
      <c r="L205" t="str">
        <f t="shared" ca="1" si="7"/>
        <v xml:space="preserve">Quental, C. </v>
      </c>
    </row>
    <row r="206" spans="1:17" ht="15.75" customHeight="1">
      <c r="A206">
        <f ca="1">IFERROR(__xludf.DUMMYFUNCTION("""COMPUTED_VALUE"""),88)</f>
        <v>88</v>
      </c>
      <c r="B206" t="str">
        <f ca="1">IFERROR(__xludf.DUMMYFUNCTION("""COMPUTED_VALUE"""),"Peres, P. e Gouveia, L. (2011). The e-learning in the Portuguese Higher 
Education: past, present and future. INTE 2011. International Conference on 
New Horizons in Education. Instituto Politécnico da Guarda, Portugal, 8-10 
July. In Isman, A and Sousa, "&amp;"C. (2011). INTE 2011 Proceedings Book. pp 
703-712.")</f>
        <v>Peres, P. e Gouveia, L. (2011). The e-learning in the Portuguese Higher 
Education: past, present and future. INTE 2011. International Conference on 
New Horizons in Education. Instituto Politécnico da Guarda, Portugal, 8-10 
July. In Isman, A and Sousa, C. (2011). INTE 2011 Proceedings Book. pp 
703-712.</v>
      </c>
      <c r="C206" s="2">
        <f t="shared" ca="1" si="0"/>
        <v>25</v>
      </c>
      <c r="D206" t="str">
        <f t="shared" ca="1" si="8"/>
        <v xml:space="preserve">Peres, P. e Gouveia, L. </v>
      </c>
      <c r="E206" t="str">
        <f t="shared" ca="1" si="1"/>
        <v>2011</v>
      </c>
      <c r="F206" t="str">
        <f t="shared" ca="1" si="2"/>
        <v xml:space="preserve"> The e-learning in the Portuguese Higher 
Education: past, present and future. </v>
      </c>
      <c r="G206" s="3">
        <f t="shared" ca="1" si="3"/>
        <v>30</v>
      </c>
      <c r="H206" s="2">
        <f t="shared" ca="1" si="4"/>
        <v>109</v>
      </c>
      <c r="I206" t="str">
        <f t="shared" ca="1" si="5"/>
        <v>INTE 2011. International Conference on 
New Horizons in Education. Instituto Politécnico da Guarda, Portugal, 8-10 
July. In Isman, A and Sousa, C. (2011).</v>
      </c>
      <c r="J206" s="3">
        <f t="shared" ca="1" si="9"/>
        <v>264</v>
      </c>
      <c r="K206" t="str">
        <f t="shared" ca="1" si="6"/>
        <v xml:space="preserve">Peres, P. e Gouveia, L. </v>
      </c>
      <c r="L206" t="str">
        <f t="shared" ca="1" si="7"/>
        <v xml:space="preserve">Quental, C. </v>
      </c>
    </row>
    <row r="207" spans="1:17" ht="15.75" customHeight="1">
      <c r="A207">
        <f ca="1">IFERROR(__xludf.DUMMYFUNCTION("""COMPUTED_VALUE"""),87)</f>
        <v>87</v>
      </c>
      <c r="B207" t="str">
        <f ca="1">IFERROR(__xludf.DUMMYFUNCTION("""COMPUTED_VALUE"""),"Silva, P. and Gouveia, L. (2011). Learning Spaces Framework Qualitative 
findings. ED-MEDIA 2011, World Conference on Educational Multimedia, 
Hypermedia &amp; Telecommunications, Lisbon, Portugal, June 27-July 1. In 
Bastiaens, T. &amp; Ebner, M. (Eds). Proceedi"&amp;"ngs of World Conference on 
Educational Multimedia, Hypermedia and Telecommunications 2011. Chesapeake, 
VA: AACE, pp2439-2444. ISBN 1-880094-35-X.")</f>
        <v>Silva, P. and Gouveia, L. (2011). Learning Spaces Framework Qualitative 
findings. ED-MEDIA 2011, World Conference on Educational Multimedia, 
Hypermedia &amp; Telecommunications, Lisbon, Portugal, June 27-July 1. In 
Bastiaens, T. &amp; Ebner, M. (Eds). Proceedings of World Conference on 
Educational Multimedia, Hypermedia and Telecommunications 2011. Chesapeake, 
VA: AACE, pp2439-2444. ISBN 1-880094-35-X.</v>
      </c>
      <c r="C207" s="2">
        <f t="shared" ca="1" si="0"/>
        <v>27</v>
      </c>
      <c r="D207" t="str">
        <f t="shared" ca="1" si="8"/>
        <v xml:space="preserve">Silva, P. and Gouveia, L. </v>
      </c>
      <c r="E207" t="str">
        <f t="shared" ca="1" si="1"/>
        <v>2011</v>
      </c>
      <c r="F207" t="str">
        <f t="shared" ca="1" si="2"/>
        <v xml:space="preserve"> Learning Spaces Framework Qualitative 
findings. </v>
      </c>
      <c r="G207" s="3">
        <f t="shared" ca="1" si="3"/>
        <v>32</v>
      </c>
      <c r="H207" s="2">
        <f t="shared" ca="1" si="4"/>
        <v>82</v>
      </c>
      <c r="I207" t="str">
        <f t="shared" ca="1" si="5"/>
        <v>ED-MEDIA 2011, World Conference on Educational Multimedia, 
Hypermedia &amp; Telecommunications, Lisbon, Portugal, June 27-July 1. In 
Bastiaens, T. &amp; Ebner, M. (Eds).</v>
      </c>
      <c r="J207" s="3">
        <f t="shared" ca="1" si="9"/>
        <v>245</v>
      </c>
      <c r="K207" t="str">
        <f t="shared" ca="1" si="6"/>
        <v xml:space="preserve">Silva, P. ; Gouveia, L. </v>
      </c>
      <c r="L207" t="str">
        <f t="shared" ca="1" si="7"/>
        <v xml:space="preserve">Quental, C. </v>
      </c>
      <c r="M207" t="str">
        <f ca="1">IFERROR(__xludf.DUMMYFUNCTION("""COMPUTED_VALUE""")," Gouveia, L. ")</f>
        <v xml:space="preserve"> Gouveia, L. </v>
      </c>
    </row>
    <row r="208" spans="1:17" ht="15.75" customHeight="1">
      <c r="A208">
        <f ca="1">IFERROR(__xludf.DUMMYFUNCTION("""COMPUTED_VALUE"""),86)</f>
        <v>86</v>
      </c>
      <c r="B208" t="str">
        <f ca="1">IFERROR(__xludf.DUMMYFUNCTION("""COMPUTED_VALUE"""),"Dias, A.; Santos, C.; Costa, C.; Gouveia, L.; Peres, P.; Simões, P. e 
Torrão, S. (2010). Workshop sobre LMS vs PLE: fusão ou choque? TICEduca 
2010. Lisboa, 20 de Novembro.
paper [ slideshare ]")</f>
        <v>Dias, A.; Santos, C.; Costa, C.; Gouveia, L.; Peres, P.; Simões, P. e 
Torrão, S. (2010). Workshop sobre LMS vs PLE: fusão ou choque? TICEduca 
2010. Lisboa, 20 de Novembro.
paper [ slideshare ]</v>
      </c>
      <c r="C208" s="2">
        <f t="shared" ca="1" si="0"/>
        <v>83</v>
      </c>
      <c r="D208" t="str">
        <f t="shared" ca="1" si="8"/>
        <v xml:space="preserve">Dias, A.; Santos, C.; Costa, C.; Gouveia, L.; Peres, P.; Simões, P. e 
Torrão, S. </v>
      </c>
      <c r="E208" t="str">
        <f t="shared" ca="1" si="1"/>
        <v>2010</v>
      </c>
      <c r="F208" t="str">
        <f t="shared" ca="1" si="2"/>
        <v xml:space="preserve"> Workshop sobre LMS vs PLE: fusão ou choque? TICEduca 
2010. </v>
      </c>
      <c r="G208" s="3">
        <f t="shared" ca="1" si="3"/>
        <v>88</v>
      </c>
      <c r="H208" s="2">
        <f t="shared" ca="1" si="4"/>
        <v>149</v>
      </c>
      <c r="I208" t="e">
        <f t="shared" ca="1" si="5"/>
        <v>#VALUE!</v>
      </c>
      <c r="J208" s="3" t="e">
        <f t="shared" ca="1" si="9"/>
        <v>#VALUE!</v>
      </c>
      <c r="K208" t="str">
        <f t="shared" ca="1" si="6"/>
        <v xml:space="preserve">Dias, A.; Santos, C.; Costa, C.; Gouveia, L.; Peres, P.; Simões, P. e 
Torrão, S. </v>
      </c>
      <c r="L208" t="str">
        <f t="shared" ca="1" si="7"/>
        <v xml:space="preserve">Quental, C. </v>
      </c>
      <c r="M208" t="str">
        <f ca="1">IFERROR(__xludf.DUMMYFUNCTION("""COMPUTED_VALUE""")," Santos, C.")</f>
        <v xml:space="preserve"> Santos, C.</v>
      </c>
      <c r="N208" t="str">
        <f ca="1">IFERROR(__xludf.DUMMYFUNCTION("""COMPUTED_VALUE""")," Costa, C.")</f>
        <v xml:space="preserve"> Costa, C.</v>
      </c>
      <c r="O208" t="str">
        <f ca="1">IFERROR(__xludf.DUMMYFUNCTION("""COMPUTED_VALUE""")," Gouveia, L.")</f>
        <v xml:space="preserve"> Gouveia, L.</v>
      </c>
      <c r="P208" t="str">
        <f ca="1">IFERROR(__xludf.DUMMYFUNCTION("""COMPUTED_VALUE""")," Peres, P.")</f>
        <v xml:space="preserve"> Peres, P.</v>
      </c>
      <c r="Q208" t="str">
        <f ca="1">IFERROR(__xludf.DUMMYFUNCTION("""COMPUTED_VALUE""")," Simões, P. e 
Torrão, S. ")</f>
        <v xml:space="preserve"> Simões, P. e 
Torrão, S. </v>
      </c>
    </row>
    <row r="209" spans="1:14" ht="15.75" customHeight="1">
      <c r="A209">
        <f ca="1">IFERROR(__xludf.DUMMYFUNCTION("""COMPUTED_VALUE"""),85)</f>
        <v>85</v>
      </c>
      <c r="B209" t="str">
        <f ca="1">IFERROR(__xludf.DUMMYFUNCTION("""COMPUTED_VALUE"""),"Abrantes, S. e Gouveia, L. (2010). A comparison study on early adoption of 
mobile devices and desktops within collaborative environments in higher 
education. 15th IBIMA Conference in Cairo, Egypt 6-7 November 2010. 
Conference proceedings full paper. IS"&amp;"BN: 978-0-9821489-4-5.")</f>
        <v>Abrantes, S. e Gouveia, L. (2010). A comparison study on early adoption of 
mobile devices and desktops within collaborative environments in higher 
education. 15th IBIMA Conference in Cairo, Egypt 6-7 November 2010. 
Conference proceedings full paper. ISBN: 978-0-9821489-4-5.</v>
      </c>
      <c r="C209" s="2">
        <f t="shared" ca="1" si="0"/>
        <v>28</v>
      </c>
      <c r="D209" t="str">
        <f t="shared" ca="1" si="8"/>
        <v xml:space="preserve">Abrantes, S. e Gouveia, L. </v>
      </c>
      <c r="E209" t="str">
        <f t="shared" ca="1" si="1"/>
        <v>2010</v>
      </c>
      <c r="F209" t="str">
        <f t="shared" ca="1" si="2"/>
        <v xml:space="preserve"> A comparison study on early adoption of 
mobile devices and desktops within collaborative environments in higher 
education. </v>
      </c>
      <c r="G209" s="3">
        <f t="shared" ca="1" si="3"/>
        <v>33</v>
      </c>
      <c r="H209" s="2">
        <f t="shared" ca="1" si="4"/>
        <v>159</v>
      </c>
      <c r="I209" t="e">
        <f t="shared" ca="1" si="5"/>
        <v>#VALUE!</v>
      </c>
      <c r="J209" s="3" t="e">
        <f t="shared" ca="1" si="9"/>
        <v>#VALUE!</v>
      </c>
      <c r="K209" t="str">
        <f t="shared" ca="1" si="6"/>
        <v xml:space="preserve">Abrantes, S. e Gouveia, L. </v>
      </c>
      <c r="L209" t="str">
        <f t="shared" ca="1" si="7"/>
        <v xml:space="preserve">Quental, C. </v>
      </c>
    </row>
    <row r="210" spans="1:14" ht="15.75" customHeight="1">
      <c r="A210">
        <f ca="1">IFERROR(__xludf.DUMMYFUNCTION("""COMPUTED_VALUE"""),84)</f>
        <v>84</v>
      </c>
      <c r="B210" t="str">
        <f ca="1">IFERROR(__xludf.DUMMYFUNCTION("""COMPUTED_VALUE"""),"Sousa, A.; Agante, P. and Gouveia, L. (2010). *Liberopinion: a Web Platform 
for Enhancing e-Democracy*. Cunningham, P. and Cunningham, M. (eds) (2010). 
eChallenges e-2010 Conference Proceedings. IIMC International Information 
Management Corporation. IE"&amp;"EE Xplore Digital Library. ISBN: 
978-1-905824-21-2 
paper [ pdf (292KB)]")</f>
        <v>Sousa, A.; Agante, P. and Gouveia, L. (2010). *Liberopinion: a Web Platform 
for Enhancing e-Democracy*. Cunningham, P. and Cunningham, M. (eds) (2010). 
eChallenges e-2010 Conference Proceedings. IIMC International Information 
Management Corporation. IEEE Xplore Digital Library. ISBN: 
978-1-905824-21-2 
paper [ pdf (292KB)]</v>
      </c>
      <c r="C210" s="2">
        <f t="shared" ca="1" si="0"/>
        <v>39</v>
      </c>
      <c r="D210" t="str">
        <f t="shared" ca="1" si="8"/>
        <v xml:space="preserve">Sousa, A.; Agante, P. and Gouveia, L. </v>
      </c>
      <c r="E210" t="str">
        <f t="shared" ca="1" si="1"/>
        <v>2010</v>
      </c>
      <c r="F210" t="str">
        <f t="shared" ca="1" si="2"/>
        <v xml:space="preserve"> *Liberopinion: a Web Platform 
for Enhancing e-Democracy*. </v>
      </c>
      <c r="G210" s="3">
        <f t="shared" ca="1" si="3"/>
        <v>44</v>
      </c>
      <c r="H210" s="2">
        <f t="shared" ca="1" si="4"/>
        <v>104</v>
      </c>
      <c r="I210" t="str">
        <f t="shared" ca="1" si="5"/>
        <v>Cunningham, P. and Cunningham, M. (eds) (2010).</v>
      </c>
      <c r="J210" s="3">
        <f t="shared" ca="1" si="9"/>
        <v>151</v>
      </c>
      <c r="K210" t="str">
        <f t="shared" ca="1" si="6"/>
        <v xml:space="preserve">Sousa, A.; Agante, P. ; Gouveia, L. </v>
      </c>
      <c r="L210" t="str">
        <f t="shared" ca="1" si="7"/>
        <v xml:space="preserve">Quental, C. </v>
      </c>
      <c r="M210" t="str">
        <f ca="1">IFERROR(__xludf.DUMMYFUNCTION("""COMPUTED_VALUE""")," Agante, P. ")</f>
        <v xml:space="preserve"> Agante, P. </v>
      </c>
      <c r="N210" t="str">
        <f ca="1">IFERROR(__xludf.DUMMYFUNCTION("""COMPUTED_VALUE""")," Gouveia, L. ")</f>
        <v xml:space="preserve"> Gouveia, L. </v>
      </c>
    </row>
    <row r="211" spans="1:14" ht="15.75" customHeight="1">
      <c r="A211">
        <f ca="1">IFERROR(__xludf.DUMMYFUNCTION("""COMPUTED_VALUE"""),83)</f>
        <v>83</v>
      </c>
      <c r="B211" t="str">
        <f ca="1">IFERROR(__xludf.DUMMYFUNCTION("""COMPUTED_VALUE"""),"Sousa, A.; Agante, P. and Gouveia, L. (2010). Governmeter: monitoring 
government performance. A Web Based Application Proposal. Andersen, K. et 
al. (Eds.): EGOVIS 2010. *Lecture Notes on Computer Science*. 
Springer-Verlag Berlin Heidelberg. LNCS 6267, "&amp;"pp. 158–165.")</f>
        <v>Sousa, A.; Agante, P. and Gouveia, L. (2010). Governmeter: monitoring 
government performance. A Web Based Application Proposal. Andersen, K. et 
al. (Eds.): EGOVIS 2010. *Lecture Notes on Computer Science*. 
Springer-Verlag Berlin Heidelberg. LNCS 6267, pp. 158–165.</v>
      </c>
      <c r="C211" s="2">
        <f t="shared" ca="1" si="0"/>
        <v>39</v>
      </c>
      <c r="D211" t="str">
        <f t="shared" ca="1" si="8"/>
        <v xml:space="preserve">Sousa, A.; Agante, P. and Gouveia, L. </v>
      </c>
      <c r="E211" t="str">
        <f t="shared" ca="1" si="1"/>
        <v>2010</v>
      </c>
      <c r="F211" t="str">
        <f t="shared" ca="1" si="2"/>
        <v xml:space="preserve"> Governmeter: monitoring 
government performance. </v>
      </c>
      <c r="G211" s="3">
        <f t="shared" ca="1" si="3"/>
        <v>44</v>
      </c>
      <c r="H211" s="2">
        <f t="shared" ca="1" si="4"/>
        <v>94</v>
      </c>
      <c r="I211" t="e">
        <f t="shared" ca="1" si="5"/>
        <v>#VALUE!</v>
      </c>
      <c r="J211" s="3" t="e">
        <f t="shared" ca="1" si="9"/>
        <v>#VALUE!</v>
      </c>
      <c r="K211" t="str">
        <f t="shared" ca="1" si="6"/>
        <v xml:space="preserve">Sousa, A.; Agante, P. ; Gouveia, L. </v>
      </c>
      <c r="L211" t="str">
        <f t="shared" ca="1" si="7"/>
        <v xml:space="preserve">Quental, C. </v>
      </c>
      <c r="M211" t="str">
        <f ca="1">IFERROR(__xludf.DUMMYFUNCTION("""COMPUTED_VALUE""")," Agante, P. ")</f>
        <v xml:space="preserve"> Agante, P. </v>
      </c>
      <c r="N211" t="str">
        <f ca="1">IFERROR(__xludf.DUMMYFUNCTION("""COMPUTED_VALUE""")," Gouveia, L. ")</f>
        <v xml:space="preserve"> Gouveia, L. </v>
      </c>
    </row>
    <row r="212" spans="1:14" ht="15.75" customHeight="1">
      <c r="A212">
        <f ca="1">IFERROR(__xludf.DUMMYFUNCTION("""COMPUTED_VALUE"""),82)</f>
        <v>82</v>
      </c>
      <c r="B212" t="str">
        <f ca="1">IFERROR(__xludf.DUMMYFUNCTION("""COMPUTED_VALUE"""),"Sousa, A.; Agante, P. and Gouveia, L. (2010). *Liberopinion: a Web Platform 
for Enhancing e-Democracy*. Cunningham, P. and Cunningham, M. (eds) (2010). 
eChallenges e-2010 Conference Proceedings. IIMC International Information 
Management Corporation. IS"&amp;"BN: 978-1-905824-20 
presentation [ slideshare ]")</f>
        <v>Sousa, A.; Agante, P. and Gouveia, L. (2010). *Liberopinion: a Web Platform 
for Enhancing e-Democracy*. Cunningham, P. and Cunningham, M. (eds) (2010). 
eChallenges e-2010 Conference Proceedings. IIMC International Information 
Management Corporation. ISBN: 978-1-905824-20 
presentation [ slideshare ]</v>
      </c>
      <c r="C212" s="2">
        <f t="shared" ca="1" si="0"/>
        <v>39</v>
      </c>
      <c r="D212" t="str">
        <f t="shared" ca="1" si="8"/>
        <v xml:space="preserve">Sousa, A.; Agante, P. and Gouveia, L. </v>
      </c>
      <c r="E212" t="str">
        <f t="shared" ca="1" si="1"/>
        <v>2010</v>
      </c>
      <c r="F212" t="str">
        <f t="shared" ca="1" si="2"/>
        <v xml:space="preserve"> *Liberopinion: a Web Platform 
for Enhancing e-Democracy*. </v>
      </c>
      <c r="G212" s="3">
        <f t="shared" ca="1" si="3"/>
        <v>44</v>
      </c>
      <c r="H212" s="2">
        <f t="shared" ca="1" si="4"/>
        <v>104</v>
      </c>
      <c r="I212" t="str">
        <f t="shared" ca="1" si="5"/>
        <v>Cunningham, P. and Cunningham, M. (eds) (2010).</v>
      </c>
      <c r="J212" s="3">
        <f t="shared" ca="1" si="9"/>
        <v>151</v>
      </c>
      <c r="K212" t="str">
        <f t="shared" ca="1" si="6"/>
        <v xml:space="preserve">Sousa, A.; Agante, P. ; Gouveia, L. </v>
      </c>
      <c r="L212" t="str">
        <f t="shared" ca="1" si="7"/>
        <v xml:space="preserve">Quental, C. </v>
      </c>
      <c r="M212" t="str">
        <f ca="1">IFERROR(__xludf.DUMMYFUNCTION("""COMPUTED_VALUE""")," Agante, P. ")</f>
        <v xml:space="preserve"> Agante, P. </v>
      </c>
      <c r="N212" t="str">
        <f ca="1">IFERROR(__xludf.DUMMYFUNCTION("""COMPUTED_VALUE""")," Gouveia, L. ")</f>
        <v xml:space="preserve"> Gouveia, L. </v>
      </c>
    </row>
    <row r="213" spans="1:14" ht="15.75" customHeight="1">
      <c r="A213">
        <f ca="1">IFERROR(__xludf.DUMMYFUNCTION("""COMPUTED_VALUE"""),81)</f>
        <v>81</v>
      </c>
      <c r="B213" t="str">
        <f ca="1">IFERROR(__xludf.DUMMYFUNCTION("""COMPUTED_VALUE"""),"Abrantes, S. e Gouveia, L. (2010). Laptops vs Desktops in a Google Groups 
environment. 13th Interactive Computer Aided Learning (ICL) 2010. 15-17 
September. Hasselt, Belgium. ICL2010 Proceedings on CD ISBN: 978-3-89958 
paper [  pdf (KB)] | apresentação"&amp;" [ slideshare ]")</f>
        <v>Abrantes, S. e Gouveia, L. (2010). Laptops vs Desktops in a Google Groups 
environment. 13th Interactive Computer Aided Learning (ICL) 2010. 15-17 
September. Hasselt, Belgium. ICL2010 Proceedings on CD ISBN: 978-3-89958 
paper [  pdf (KB)] | apresentação [ slideshare ]</v>
      </c>
      <c r="C213" s="2">
        <f t="shared" ca="1" si="0"/>
        <v>28</v>
      </c>
      <c r="D213" t="str">
        <f t="shared" ca="1" si="8"/>
        <v xml:space="preserve">Abrantes, S. e Gouveia, L. </v>
      </c>
      <c r="E213" t="str">
        <f t="shared" ca="1" si="1"/>
        <v>2010</v>
      </c>
      <c r="F213" t="str">
        <f t="shared" ca="1" si="2"/>
        <v xml:space="preserve"> Laptops vs Desktops in a Google Groups 
environment. </v>
      </c>
      <c r="G213" s="3">
        <f t="shared" ca="1" si="3"/>
        <v>33</v>
      </c>
      <c r="H213" s="2">
        <f t="shared" ca="1" si="4"/>
        <v>87</v>
      </c>
      <c r="I213" t="e">
        <f t="shared" ca="1" si="5"/>
        <v>#VALUE!</v>
      </c>
      <c r="J213" s="3" t="e">
        <f t="shared" ca="1" si="9"/>
        <v>#VALUE!</v>
      </c>
      <c r="K213" t="str">
        <f t="shared" ca="1" si="6"/>
        <v xml:space="preserve">Abrantes, S. e Gouveia, L. </v>
      </c>
      <c r="L213" t="str">
        <f t="shared" ca="1" si="7"/>
        <v xml:space="preserve">Quental, C. </v>
      </c>
    </row>
    <row r="214" spans="1:14" ht="15.75" customHeight="1">
      <c r="A214">
        <f ca="1">IFERROR(__xludf.DUMMYFUNCTION("""COMPUTED_VALUE"""),80)</f>
        <v>80</v>
      </c>
      <c r="B214" t="str">
        <f ca="1">IFERROR(__xludf.DUMMYFUNCTION("""COMPUTED_VALUE"""),"Abrantes, S. e Gouveia, L. (2010). A study on the usage of mobile devices 
in collaborative environments vs desktops. International Conference on 
e-Business (ICE-B) 2010. 26-28 July. Athens, Greece. (poster) 
paper [ ieeeXplore ] | poster [ slideshare ]")</f>
        <v>Abrantes, S. e Gouveia, L. (2010). A study on the usage of mobile devices 
in collaborative environments vs desktops. International Conference on 
e-Business (ICE-B) 2010. 26-28 July. Athens, Greece. (poster) 
paper [ ieeeXplore ] | poster [ slideshare ]</v>
      </c>
      <c r="C214" s="2">
        <f t="shared" ca="1" si="0"/>
        <v>28</v>
      </c>
      <c r="D214" t="str">
        <f t="shared" ca="1" si="8"/>
        <v xml:space="preserve">Abrantes, S. e Gouveia, L. </v>
      </c>
      <c r="E214" t="str">
        <f t="shared" ca="1" si="1"/>
        <v>2010</v>
      </c>
      <c r="F214" t="str">
        <f t="shared" ca="1" si="2"/>
        <v xml:space="preserve"> A study on the usage of mobile devices 
in collaborative environments vs desktops. </v>
      </c>
      <c r="G214" s="3">
        <f t="shared" ca="1" si="3"/>
        <v>33</v>
      </c>
      <c r="H214" s="2">
        <f t="shared" ca="1" si="4"/>
        <v>117</v>
      </c>
      <c r="I214" t="e">
        <f t="shared" ca="1" si="5"/>
        <v>#VALUE!</v>
      </c>
      <c r="J214" s="3" t="e">
        <f t="shared" ca="1" si="9"/>
        <v>#VALUE!</v>
      </c>
      <c r="K214" t="str">
        <f t="shared" ca="1" si="6"/>
        <v xml:space="preserve">Abrantes, S. e Gouveia, L. </v>
      </c>
      <c r="L214" t="str">
        <f t="shared" ca="1" si="7"/>
        <v xml:space="preserve">Quental, C. </v>
      </c>
    </row>
    <row r="215" spans="1:14" ht="15.75" customHeight="1">
      <c r="A215">
        <f ca="1">IFERROR(__xludf.DUMMYFUNCTION("""COMPUTED_VALUE"""),79)</f>
        <v>79</v>
      </c>
      <c r="B215" t="str">
        <f ca="1">IFERROR(__xludf.DUMMYFUNCTION("""COMPUTED_VALUE"""),"Sousa, A. e Gouveia, L. (2010). *Liberopinion: uma plataforma para Eleições 
2.0*. Rocha, A. e tal. (2010). Actas da 5º CISTI – Sistemas y Tecnologías 
de Información. AISTI. Santiago de Compostela, Espanã. Vol I – Artículos, 
pp 468-472. ISBN: 978-989-96"&amp;"247-3-3.
paper [ ieeeXplore ] | presentation [ slideshare ]")</f>
        <v>Sousa, A. e Gouveia, L. (2010). *Liberopinion: uma plataforma para Eleições 
2.0*. Rocha, A. e tal. (2010). Actas da 5º CISTI – Sistemas y Tecnologías 
de Información. AISTI. Santiago de Compostela, Espanã. Vol I – Artículos, 
pp 468-472. ISBN: 978-989-96247-3-3.
paper [ ieeeXplore ] | presentation [ slideshare ]</v>
      </c>
      <c r="C215" s="2">
        <f t="shared" ca="1" si="0"/>
        <v>25</v>
      </c>
      <c r="D215" t="str">
        <f t="shared" ca="1" si="8"/>
        <v xml:space="preserve">Sousa, A. e Gouveia, L. </v>
      </c>
      <c r="E215" t="str">
        <f t="shared" ca="1" si="1"/>
        <v>2010</v>
      </c>
      <c r="F215" t="str">
        <f t="shared" ca="1" si="2"/>
        <v xml:space="preserve"> *Liberopinion: uma plataforma para Eleições 
2.0</v>
      </c>
      <c r="G215" s="3">
        <f t="shared" ca="1" si="3"/>
        <v>30</v>
      </c>
      <c r="H215" s="2">
        <f t="shared" ca="1" si="4"/>
        <v>79</v>
      </c>
      <c r="I215" t="str">
        <f t="shared" ca="1" si="5"/>
        <v>*. Rocha, A. e tal. (2010).</v>
      </c>
      <c r="J215" s="3">
        <f t="shared" ca="1" si="9"/>
        <v>106</v>
      </c>
      <c r="K215" t="str">
        <f t="shared" ca="1" si="6"/>
        <v xml:space="preserve">Sousa, A. e Gouveia, L. </v>
      </c>
      <c r="L215" t="str">
        <f t="shared" ca="1" si="7"/>
        <v xml:space="preserve">Quental, C. </v>
      </c>
    </row>
    <row r="216" spans="1:14" ht="15.75" customHeight="1">
      <c r="A216">
        <f ca="1">IFERROR(__xludf.DUMMYFUNCTION("""COMPUTED_VALUE"""),78)</f>
        <v>78</v>
      </c>
      <c r="B216" t="str">
        <f ca="1">IFERROR(__xludf.DUMMYFUNCTION("""COMPUTED_VALUE"""),"Abrantes, S. e Gouveia, L. (2010). Using Google Groups in an m-learning 
environment. International Conference on Education and New Learning 
Technologies EDULEARN10. 5-7 July. Barcelona, Spain. EDULEARN10 Proceedings 
on CD.
ISBN: 978-84-613-9386-2 
pape"&amp;"r [ pdf (KB)] | apresentação [ slideshare ]")</f>
        <v>Abrantes, S. e Gouveia, L. (2010). Using Google Groups in an m-learning 
environment. International Conference on Education and New Learning 
Technologies EDULEARN10. 5-7 July. Barcelona, Spain. EDULEARN10 Proceedings 
on CD.
ISBN: 978-84-613-9386-2 
paper [ pdf (KB)] | apresentação [ slideshare ]</v>
      </c>
      <c r="C216" s="2">
        <f t="shared" ca="1" si="0"/>
        <v>28</v>
      </c>
      <c r="D216" t="str">
        <f t="shared" ca="1" si="8"/>
        <v xml:space="preserve">Abrantes, S. e Gouveia, L. </v>
      </c>
      <c r="E216" t="str">
        <f t="shared" ca="1" si="1"/>
        <v>2010</v>
      </c>
      <c r="F216" t="str">
        <f t="shared" ca="1" si="2"/>
        <v xml:space="preserve"> Using Google Groups in an m-learning 
environment. </v>
      </c>
      <c r="G216" s="3">
        <f t="shared" ca="1" si="3"/>
        <v>33</v>
      </c>
      <c r="H216" s="2">
        <f t="shared" ca="1" si="4"/>
        <v>85</v>
      </c>
      <c r="I216" t="e">
        <f t="shared" ca="1" si="5"/>
        <v>#VALUE!</v>
      </c>
      <c r="J216" s="3" t="e">
        <f t="shared" ca="1" si="9"/>
        <v>#VALUE!</v>
      </c>
      <c r="K216" t="str">
        <f t="shared" ca="1" si="6"/>
        <v xml:space="preserve">Abrantes, S. e Gouveia, L. </v>
      </c>
      <c r="L216" t="str">
        <f t="shared" ca="1" si="7"/>
        <v xml:space="preserve">Quental, C. </v>
      </c>
    </row>
    <row r="217" spans="1:14" ht="15.75" customHeight="1">
      <c r="A217">
        <f ca="1">IFERROR(__xludf.DUMMYFUNCTION("""COMPUTED_VALUE"""),77)</f>
        <v>77</v>
      </c>
      <c r="B217" t="str">
        <f ca="1">IFERROR(__xludf.DUMMYFUNCTION("""COMPUTED_VALUE"""),"Abrantes, S. e Gouveia, L. (2010). Learning Environments. InSite 2010. 
19-24 Junho. Cassino, Italy. Proceedings of Informing Science &amp; IT 
Education Conference (InSITE) 2010, pp 449-466. ISSN: 1535-07-03. 
paper [  pdf ] | apresentação [ slideshare ]")</f>
        <v>Abrantes, S. e Gouveia, L. (2010). Learning Environments. InSite 2010. 
19-24 Junho. Cassino, Italy. Proceedings of Informing Science &amp; IT 
Education Conference (InSITE) 2010, pp 449-466. ISSN: 1535-07-03. 
paper [  pdf ] | apresentação [ slideshare ]</v>
      </c>
      <c r="C217" s="2">
        <f t="shared" ca="1" si="0"/>
        <v>28</v>
      </c>
      <c r="D217" t="str">
        <f t="shared" ca="1" si="8"/>
        <v xml:space="preserve">Abrantes, S. e Gouveia, L. </v>
      </c>
      <c r="E217" t="str">
        <f t="shared" ca="1" si="1"/>
        <v>2010</v>
      </c>
      <c r="F217" t="str">
        <f t="shared" ca="1" si="2"/>
        <v xml:space="preserve"> Learning Environments. </v>
      </c>
      <c r="G217" s="3">
        <f t="shared" ca="1" si="3"/>
        <v>33</v>
      </c>
      <c r="H217" s="2">
        <f t="shared" ca="1" si="4"/>
        <v>57</v>
      </c>
      <c r="I217" t="e">
        <f t="shared" ca="1" si="5"/>
        <v>#VALUE!</v>
      </c>
      <c r="J217" s="3" t="e">
        <f t="shared" ca="1" si="9"/>
        <v>#VALUE!</v>
      </c>
      <c r="K217" t="str">
        <f t="shared" ca="1" si="6"/>
        <v xml:space="preserve">Abrantes, S. e Gouveia, L. </v>
      </c>
      <c r="L217" t="str">
        <f t="shared" ca="1" si="7"/>
        <v xml:space="preserve">Quental, C. </v>
      </c>
    </row>
    <row r="218" spans="1:14" ht="15.75" customHeight="1">
      <c r="A218">
        <f ca="1">IFERROR(__xludf.DUMMYFUNCTION("""COMPUTED_VALUE"""),76)</f>
        <v>76</v>
      </c>
      <c r="B218" t="str">
        <f ca="1">IFERROR(__xludf.DUMMYFUNCTION("""COMPUTED_VALUE"""),"Sousa, A.; Agante, P. and Gouveia, L. (2010). *Liberopinion as an enabling 
platform for elections 2.0: a case study*. EPMA – European Projects &amp; 
Management. Praha. Czech Republic, 21-23 April. 
Presentation [ slideshare ]")</f>
        <v>Sousa, A.; Agante, P. and Gouveia, L. (2010). *Liberopinion as an enabling 
platform for elections 2.0: a case study*. EPMA – European Projects &amp; 
Management. Praha. Czech Republic, 21-23 April. 
Presentation [ slideshare ]</v>
      </c>
      <c r="C218" s="2">
        <f t="shared" ca="1" si="0"/>
        <v>39</v>
      </c>
      <c r="D218" t="str">
        <f t="shared" ca="1" si="8"/>
        <v xml:space="preserve">Sousa, A.; Agante, P. and Gouveia, L. </v>
      </c>
      <c r="E218" t="str">
        <f t="shared" ca="1" si="1"/>
        <v>2010</v>
      </c>
      <c r="F218" t="str">
        <f t="shared" ca="1" si="2"/>
        <v xml:space="preserve"> *Liberopinion as an enabling 
platform for elections 2.0</v>
      </c>
      <c r="G218" s="3">
        <f t="shared" ca="1" si="3"/>
        <v>44</v>
      </c>
      <c r="H218" s="2">
        <f t="shared" ca="1" si="4"/>
        <v>101</v>
      </c>
      <c r="I218" t="e">
        <f t="shared" ca="1" si="5"/>
        <v>#VALUE!</v>
      </c>
      <c r="J218" s="3" t="e">
        <f t="shared" ca="1" si="9"/>
        <v>#VALUE!</v>
      </c>
      <c r="K218" t="str">
        <f t="shared" ca="1" si="6"/>
        <v xml:space="preserve">Sousa, A.; Agante, P. ; Gouveia, L. </v>
      </c>
      <c r="L218" t="str">
        <f t="shared" ca="1" si="7"/>
        <v xml:space="preserve">Quental, C. </v>
      </c>
      <c r="M218" t="str">
        <f ca="1">IFERROR(__xludf.DUMMYFUNCTION("""COMPUTED_VALUE""")," Agante, P. ")</f>
        <v xml:space="preserve"> Agante, P. </v>
      </c>
      <c r="N218" t="str">
        <f ca="1">IFERROR(__xludf.DUMMYFUNCTION("""COMPUTED_VALUE""")," Gouveia, L. ")</f>
        <v xml:space="preserve"> Gouveia, L. </v>
      </c>
    </row>
    <row r="219" spans="1:14" ht="15.75" customHeight="1">
      <c r="A219">
        <f ca="1">IFERROR(__xludf.DUMMYFUNCTION("""COMPUTED_VALUE"""),75)</f>
        <v>75</v>
      </c>
      <c r="B219" t="str">
        <f ca="1">IFERROR(__xludf.DUMMYFUNCTION("""COMPUTED_VALUE"""),"Silva, P. e Gouveia, L. (2010). A geração digital no novo mundo 
empresarial. XI Conferência Internacional de Educação em Engenharia e 
Tecnologia INTERTECH’ 2010. Ilhéus. Baia. Brasil, 7-10 de Março. ISBN: 
978858912075-3.
apresentação [ slideshare ]")</f>
        <v>Silva, P. e Gouveia, L. (2010). A geração digital no novo mundo 
empresarial. XI Conferência Internacional de Educação em Engenharia e 
Tecnologia INTERTECH’ 2010. Ilhéus. Baia. Brasil, 7-10 de Março. ISBN: 
978858912075-3.
apresentação [ slideshare ]</v>
      </c>
      <c r="C219" s="2">
        <f t="shared" ca="1" si="0"/>
        <v>25</v>
      </c>
      <c r="D219" t="str">
        <f t="shared" ca="1" si="8"/>
        <v xml:space="preserve">Silva, P. e Gouveia, L. </v>
      </c>
      <c r="E219" t="str">
        <f t="shared" ca="1" si="1"/>
        <v>2010</v>
      </c>
      <c r="F219" t="str">
        <f t="shared" ca="1" si="2"/>
        <v xml:space="preserve"> A geração digital no novo mundo 
empresarial. </v>
      </c>
      <c r="G219" s="3">
        <f t="shared" ca="1" si="3"/>
        <v>30</v>
      </c>
      <c r="H219" s="2">
        <f t="shared" ca="1" si="4"/>
        <v>77</v>
      </c>
      <c r="I219" t="e">
        <f t="shared" ca="1" si="5"/>
        <v>#VALUE!</v>
      </c>
      <c r="J219" s="3" t="e">
        <f t="shared" ca="1" si="9"/>
        <v>#VALUE!</v>
      </c>
      <c r="K219" t="str">
        <f t="shared" ca="1" si="6"/>
        <v xml:space="preserve">Silva, P. e Gouveia, L. </v>
      </c>
      <c r="L219" t="str">
        <f t="shared" ca="1" si="7"/>
        <v xml:space="preserve">Quental, C. </v>
      </c>
    </row>
    <row r="220" spans="1:14" ht="15.75" customHeight="1">
      <c r="A220">
        <f ca="1">IFERROR(__xludf.DUMMYFUNCTION("""COMPUTED_VALUE"""),74)</f>
        <v>74</v>
      </c>
      <c r="B220" t="str">
        <f ca="1">IFERROR(__xludf.DUMMYFUNCTION("""COMPUTED_VALUE"""),"Gouveia, L. (2009). *O Conceito de Rede no Digital face aos Media Sociais.* 
XI Forum «Communiquer et Entreprendre». 26/27 Novembre. RCMFM et Université 
Fernando Pessoa. Porto, Portugal.
paper [ pdf (496KB)] | apresentação [ slideshare ]")</f>
        <v>Gouveia, L. (2009). *O Conceito de Rede no Digital face aos Media Sociais.* 
XI Forum «Communiquer et Entreprendre». 26/27 Novembre. RCMFM et Université 
Fernando Pessoa. Porto, Portugal.
paper [ pdf (496KB)] | apresentação [ slideshare ]</v>
      </c>
      <c r="C220" s="2">
        <f t="shared" ca="1" si="0"/>
        <v>13</v>
      </c>
      <c r="D220" t="str">
        <f t="shared" ca="1" si="8"/>
        <v xml:space="preserve">Gouveia, L. </v>
      </c>
      <c r="E220" t="str">
        <f t="shared" ca="1" si="1"/>
        <v>2009</v>
      </c>
      <c r="F220" t="str">
        <f t="shared" ca="1" si="2"/>
        <v xml:space="preserve"> *O Conceito de Rede no Digital face aos Media Sociais.*</v>
      </c>
      <c r="G220" s="3">
        <f t="shared" ca="1" si="3"/>
        <v>18</v>
      </c>
      <c r="H220" s="2">
        <f t="shared" ca="1" si="4"/>
        <v>74</v>
      </c>
      <c r="I220" t="e">
        <f t="shared" ca="1" si="5"/>
        <v>#VALUE!</v>
      </c>
      <c r="J220" s="3" t="e">
        <f t="shared" ca="1" si="9"/>
        <v>#VALUE!</v>
      </c>
      <c r="K220" t="str">
        <f t="shared" ca="1" si="6"/>
        <v xml:space="preserve">Gouveia, L. </v>
      </c>
      <c r="L220" t="str">
        <f t="shared" ca="1" si="7"/>
        <v xml:space="preserve">Quental, C. </v>
      </c>
    </row>
    <row r="221" spans="1:14" ht="15.75" customHeight="1">
      <c r="A221">
        <f ca="1">IFERROR(__xludf.DUMMYFUNCTION("""COMPUTED_VALUE"""),73)</f>
        <v>73</v>
      </c>
      <c r="B221" t="str">
        <f ca="1">IFERROR(__xludf.DUMMYFUNCTION("""COMPUTED_VALUE"""),"Gouveia, L. e Gouveia, F. (2009). *Sakai as a Collaborative Open-source 
learning platform for use at University Fernando Pessoa.* IBIMA Conference. 
13th IBIMA Conference on Knowledge Management and Innovation in Advancing 
Economies. 9-10 November 2009."&amp;" Marrakech, Morocco. 
paper [ pdf (48KB)]")</f>
        <v>Gouveia, L. e Gouveia, F. (2009). *Sakai as a Collaborative Open-source 
learning platform for use at University Fernando Pessoa.* IBIMA Conference. 
13th IBIMA Conference on Knowledge Management and Innovation in Advancing 
Economies. 9-10 November 2009. Marrakech, Morocco. 
paper [ pdf (48KB)]</v>
      </c>
      <c r="C221" s="2">
        <f t="shared" ca="1" si="0"/>
        <v>27</v>
      </c>
      <c r="D221" t="str">
        <f t="shared" ca="1" si="8"/>
        <v xml:space="preserve">Gouveia, L. e Gouveia, F. </v>
      </c>
      <c r="E221" t="str">
        <f t="shared" ca="1" si="1"/>
        <v>2009</v>
      </c>
      <c r="F221" t="str">
        <f t="shared" ca="1" si="2"/>
        <v xml:space="preserve"> *Sakai as a Collaborative Open-source 
learning platform for use at University Fernando Pessoa.*</v>
      </c>
      <c r="G221" s="3">
        <f t="shared" ca="1" si="3"/>
        <v>32</v>
      </c>
      <c r="H221" s="2">
        <f t="shared" ca="1" si="4"/>
        <v>129</v>
      </c>
      <c r="I221" t="e">
        <f t="shared" ca="1" si="5"/>
        <v>#VALUE!</v>
      </c>
      <c r="J221" s="3" t="e">
        <f t="shared" ca="1" si="9"/>
        <v>#VALUE!</v>
      </c>
      <c r="K221" t="str">
        <f t="shared" ca="1" si="6"/>
        <v xml:space="preserve">Gouveia, L. e Gouveia, F. </v>
      </c>
      <c r="L221" t="str">
        <f t="shared" ca="1" si="7"/>
        <v xml:space="preserve">Quental, C. </v>
      </c>
    </row>
    <row r="222" spans="1:14" ht="15.75" customHeight="1">
      <c r="A222">
        <f ca="1">IFERROR(__xludf.DUMMYFUNCTION("""COMPUTED_VALUE"""),72)</f>
        <v>72</v>
      </c>
      <c r="B222" t="str">
        <f ca="1">IFERROR(__xludf.DUMMYFUNCTION("""COMPUTED_VALUE"""),"Gouveia, L. e Gouveia, F. (2009). *Sakai experience from a real setting. 
(Our) Current ideas on how to explore the Digital Opportunity.* EDEN 
Conference. The Seventh Open Classroom Conference Incubating Creativity and 
the Capacity for Innovation: open "&amp;"content, social networking tools and 
creative learning for all. 15-17 October 2009. Porto, Portugal. 
presentation [ slideshare ]")</f>
        <v>Gouveia, L. e Gouveia, F. (2009). *Sakai experience from a real setting. 
(Our) Current ideas on how to explore the Digital Opportunity.* EDEN 
Conference. The Seventh Open Classroom Conference Incubating Creativity and 
the Capacity for Innovation: open content, social networking tools and 
creative learning for all. 15-17 October 2009. Porto, Portugal. 
presentation [ slideshare ]</v>
      </c>
      <c r="C222" s="2">
        <f t="shared" ca="1" si="0"/>
        <v>27</v>
      </c>
      <c r="D222" t="str">
        <f t="shared" ca="1" si="8"/>
        <v xml:space="preserve">Gouveia, L. e Gouveia, F. </v>
      </c>
      <c r="E222" t="str">
        <f t="shared" ca="1" si="1"/>
        <v>2009</v>
      </c>
      <c r="F222" t="str">
        <f t="shared" ca="1" si="2"/>
        <v xml:space="preserve"> *Sakai experience from a real setting. </v>
      </c>
      <c r="G222" s="3">
        <f t="shared" ca="1" si="3"/>
        <v>32</v>
      </c>
      <c r="H222" s="2">
        <f t="shared" ca="1" si="4"/>
        <v>72</v>
      </c>
      <c r="I222" t="e">
        <f t="shared" ca="1" si="5"/>
        <v>#VALUE!</v>
      </c>
      <c r="J222" s="3" t="e">
        <f t="shared" ca="1" si="9"/>
        <v>#VALUE!</v>
      </c>
      <c r="K222" t="str">
        <f t="shared" ca="1" si="6"/>
        <v xml:space="preserve">Gouveia, L. e Gouveia, F. </v>
      </c>
      <c r="L222" t="str">
        <f t="shared" ca="1" si="7"/>
        <v xml:space="preserve">Quental, C. </v>
      </c>
    </row>
    <row r="223" spans="1:14" ht="15.75" customHeight="1">
      <c r="A223">
        <f ca="1">IFERROR(__xludf.DUMMYFUNCTION("""COMPUTED_VALUE"""),71)</f>
        <v>71</v>
      </c>
      <c r="B223" t="str">
        <f ca="1">IFERROR(__xludf.DUMMYFUNCTION("""COMPUTED_VALUE"""),"*Simões, L. e Gouveia, L . (2009)* Schools and Social Software Appropriation. 
VI Conferência Internacional de TIC na Educação - Challenges 2009. Universidade 
do Minho. 14 e 15 de Maio, Braga. 
presentation [ pdf(88KB) ]")</f>
        <v>*Simões, L. e Gouveia, L . (2009)* Schools and Social Software Appropriation. 
VI Conferência Internacional de TIC na Educação - Challenges 2009. Universidade 
do Minho. 14 e 15 de Maio, Braga. 
presentation [ pdf(88KB) ]</v>
      </c>
      <c r="C223" s="2">
        <f t="shared" ca="1" si="0"/>
        <v>28</v>
      </c>
      <c r="D223" t="str">
        <f t="shared" ca="1" si="8"/>
        <v xml:space="preserve">*Simões, L. e Gouveia, L . </v>
      </c>
      <c r="E223" t="str">
        <f t="shared" ca="1" si="1"/>
        <v>2009</v>
      </c>
      <c r="F223" t="e">
        <f t="shared" ca="1" si="2"/>
        <v>#VALUE!</v>
      </c>
      <c r="G223" s="3" t="e">
        <f t="shared" ca="1" si="3"/>
        <v>#VALUE!</v>
      </c>
      <c r="H223" s="2" t="e">
        <f t="shared" ca="1" si="4"/>
        <v>#VALUE!</v>
      </c>
      <c r="I223" t="e">
        <f t="shared" ca="1" si="5"/>
        <v>#VALUE!</v>
      </c>
      <c r="J223" s="3" t="e">
        <f t="shared" ca="1" si="9"/>
        <v>#VALUE!</v>
      </c>
      <c r="K223" t="str">
        <f t="shared" ca="1" si="6"/>
        <v xml:space="preserve">*Simões, L. e Gouveia, L . </v>
      </c>
      <c r="L223" t="str">
        <f t="shared" ca="1" si="7"/>
        <v xml:space="preserve">Quental, C. </v>
      </c>
    </row>
    <row r="224" spans="1:14" ht="15.75" customHeight="1">
      <c r="A224">
        <f ca="1">IFERROR(__xludf.DUMMYFUNCTION("""COMPUTED_VALUE"""),70)</f>
        <v>70</v>
      </c>
      <c r="B224" t="str">
        <f ca="1">IFERROR(__xludf.DUMMYFUNCTION("""COMPUTED_VALUE"""),"Gaio, S.; Gouveia, L. and Gouveia, J. (2008). *Netorwork Based Branding: a 
collaborative model for the development of place brands*. International 
Conference Marketing Cities: Place Branding in Perspective. 4-6th December. 
Berlin, City Hall. 
presentat"&amp;"ion [ pdf(209KB) ]")</f>
        <v>Gaio, S.; Gouveia, L. and Gouveia, J. (2008). *Netorwork Based Branding: a 
collaborative model for the development of place brands*. International 
Conference Marketing Cities: Place Branding in Perspective. 4-6th December. 
Berlin, City Hall. 
presentation [ pdf(209KB) ]</v>
      </c>
      <c r="C224" s="2">
        <f t="shared" ca="1" si="0"/>
        <v>39</v>
      </c>
      <c r="D224" t="str">
        <f t="shared" ca="1" si="8"/>
        <v xml:space="preserve">Gaio, S.; Gouveia, L. and Gouveia, J. </v>
      </c>
      <c r="E224" t="str">
        <f t="shared" ca="1" si="1"/>
        <v>2008</v>
      </c>
      <c r="F224" t="str">
        <f t="shared" ca="1" si="2"/>
        <v xml:space="preserve"> *Netorwork Based Branding: a 
collaborative model for the development of place brands*. </v>
      </c>
      <c r="G224" s="3">
        <f t="shared" ca="1" si="3"/>
        <v>44</v>
      </c>
      <c r="H224" s="2">
        <f t="shared" ca="1" si="4"/>
        <v>133</v>
      </c>
      <c r="I224" t="e">
        <f t="shared" ca="1" si="5"/>
        <v>#VALUE!</v>
      </c>
      <c r="J224" s="3" t="e">
        <f t="shared" ca="1" si="9"/>
        <v>#VALUE!</v>
      </c>
      <c r="K224" t="str">
        <f t="shared" ca="1" si="6"/>
        <v xml:space="preserve">Gaio, S.; Gouveia, L. ; Gouveia, J. </v>
      </c>
      <c r="L224" t="str">
        <f t="shared" ca="1" si="7"/>
        <v xml:space="preserve">Quental, C. </v>
      </c>
      <c r="M224" t="str">
        <f ca="1">IFERROR(__xludf.DUMMYFUNCTION("""COMPUTED_VALUE""")," Gouveia, L. ")</f>
        <v xml:space="preserve"> Gouveia, L. </v>
      </c>
      <c r="N224" t="str">
        <f ca="1">IFERROR(__xludf.DUMMYFUNCTION("""COMPUTED_VALUE""")," Gouveia, J. ")</f>
        <v xml:space="preserve"> Gouveia, J. </v>
      </c>
    </row>
    <row r="225" spans="1:14" ht="15.75" customHeight="1">
      <c r="A225">
        <f ca="1">IFERROR(__xludf.DUMMYFUNCTION("""COMPUTED_VALUE"""),69)</f>
        <v>69</v>
      </c>
      <c r="B225" t="str">
        <f ca="1">IFERROR(__xludf.DUMMYFUNCTION("""COMPUTED_VALUE"""),"Silva, P. e Gouveia, L. (2008). *Learning space*. World Conference on 
Educational Multimedia, Hypermedia &amp; Telecommunications. ED-MEDIA 08. 
Vienna University of Technology. Vienna, Austria. June 30 - July 4. 
paper [ pdf 108KB) ] | presentation [ pdf(53"&amp;"6KB) ]")</f>
        <v>Silva, P. e Gouveia, L. (2008). *Learning space*. World Conference on 
Educational Multimedia, Hypermedia &amp; Telecommunications. ED-MEDIA 08. 
Vienna University of Technology. Vienna, Austria. June 30 - July 4. 
paper [ pdf 108KB) ] | presentation [ pdf(536KB) ]</v>
      </c>
      <c r="C225" s="2">
        <f t="shared" ca="1" si="0"/>
        <v>25</v>
      </c>
      <c r="D225" t="str">
        <f t="shared" ca="1" si="8"/>
        <v xml:space="preserve">Silva, P. e Gouveia, L. </v>
      </c>
      <c r="E225" t="str">
        <f t="shared" ca="1" si="1"/>
        <v>2008</v>
      </c>
      <c r="F225" t="str">
        <f t="shared" ca="1" si="2"/>
        <v xml:space="preserve"> *Learning space*. </v>
      </c>
      <c r="G225" s="3">
        <f t="shared" ca="1" si="3"/>
        <v>30</v>
      </c>
      <c r="H225" s="2">
        <f t="shared" ca="1" si="4"/>
        <v>49</v>
      </c>
      <c r="I225" t="e">
        <f t="shared" ca="1" si="5"/>
        <v>#VALUE!</v>
      </c>
      <c r="J225" s="3" t="e">
        <f t="shared" ca="1" si="9"/>
        <v>#VALUE!</v>
      </c>
      <c r="K225" t="str">
        <f t="shared" ca="1" si="6"/>
        <v xml:space="preserve">Silva, P. e Gouveia, L. </v>
      </c>
      <c r="L225" t="str">
        <f t="shared" ca="1" si="7"/>
        <v xml:space="preserve">Quental, C. </v>
      </c>
    </row>
    <row r="226" spans="1:14" ht="15.75" customHeight="1">
      <c r="A226">
        <f ca="1">IFERROR(__xludf.DUMMYFUNCTION("""COMPUTED_VALUE"""),68)</f>
        <v>68</v>
      </c>
      <c r="B226" t="str">
        <f ca="1">IFERROR(__xludf.DUMMYFUNCTION("""COMPUTED_VALUE"""),"Simões, L. e Gouveia, L. (2008). *Web 2.0 and Higher Education: Pedagogical 
Implications*. Higher Education: New Challenges and Emerging Roles for 
Human and Social Development. 4th International Barcelona Conference on 
Higher Education Technical Univer"&amp;"sity of Catalonia (UPC). 31 March, 1-2 
April. Proceedings of the 4th International Barcelona Conference on Higher 
Education, Vol. 2. Knowledge technologies for social transformation. 
Barcelona: GUNI. Available at http://www.guni-rmies.net. 
paper [ pdf"&amp;" (82KB) ] | presentation [ pdf(1001KB) ]")</f>
        <v>Simões, L. e Gouveia, L. (2008). *Web 2.0 and Higher Education: Pedagogical 
Implications*. Higher Education: New Challenges and Emerging Roles for 
Human and Social Development. 4th International Barcelona Conference on 
Higher Education Technical University of Catalonia (UPC). 31 March, 1-2 
April. Proceedings of the 4th International Barcelona Conference on Higher 
Education, Vol. 2. Knowledge technologies for social transformation. 
Barcelona: GUNI. Available at http://www.guni-rmies.net. 
paper [ pdf (82KB) ] | presentation [ pdf(1001KB) ]</v>
      </c>
      <c r="C226" s="2">
        <f t="shared" ca="1" si="0"/>
        <v>26</v>
      </c>
      <c r="D226" t="str">
        <f t="shared" ca="1" si="8"/>
        <v xml:space="preserve">Simões, L. e Gouveia, L. </v>
      </c>
      <c r="E226" t="str">
        <f t="shared" ca="1" si="1"/>
        <v>2008</v>
      </c>
      <c r="F226" t="str">
        <f t="shared" ca="1" si="2"/>
        <v xml:space="preserve"> *Web 2.0</v>
      </c>
      <c r="G226" s="3">
        <f t="shared" ca="1" si="3"/>
        <v>31</v>
      </c>
      <c r="H226" s="2">
        <f t="shared" ca="1" si="4"/>
        <v>40</v>
      </c>
      <c r="I226" t="str">
        <f t="shared" ca="1" si="5"/>
        <v xml:space="preserve"> and Higher Education: Pedagogical 
Implications*. Higher Education: New Challenges and Emerging Roles for 
Human and Social Development. 4th International Barcelona Conference on 
Higher Education Technical University of Catalonia (UPC).</v>
      </c>
      <c r="J226" s="3">
        <f t="shared" ca="1" si="9"/>
        <v>278</v>
      </c>
      <c r="K226" t="str">
        <f t="shared" ca="1" si="6"/>
        <v xml:space="preserve">Simões, L. e Gouveia, L. </v>
      </c>
      <c r="L226" t="str">
        <f t="shared" ca="1" si="7"/>
        <v xml:space="preserve">Quental, C. </v>
      </c>
    </row>
    <row r="227" spans="1:14" ht="15.75" customHeight="1">
      <c r="A227">
        <f ca="1">IFERROR(__xludf.DUMMYFUNCTION("""COMPUTED_VALUE"""),67)</f>
        <v>67</v>
      </c>
      <c r="B227" t="str">
        <f ca="1">IFERROR(__xludf.DUMMYFUNCTION("""COMPUTED_VALUE"""),"Gouveia, J.  e Gouveia, L. (2007). *Resultados de uma abordagem de cidade 
digital para a administração local*. 12ª CLAD. Painel As autarquias na era 
da informação: o governo electrónico local. Santo Domingo. Républica 
Dominicana. 26-30 de Outubro.
arti"&amp;"go [ pdf (126KB] ] | apresentação [ pdf (41KB] ]")</f>
        <v>Gouveia, J.  e Gouveia, L. (2007). *Resultados de uma abordagem de cidade 
digital para a administração local*. 12ª CLAD. Painel As autarquias na era 
da informação: o governo electrónico local. Santo Domingo. Républica 
Dominicana. 26-30 de Outubro.
artigo [ pdf (126KB] ] | apresentação [ pdf (41KB] ]</v>
      </c>
      <c r="C227" s="2">
        <f t="shared" ca="1" si="0"/>
        <v>28</v>
      </c>
      <c r="D227" t="str">
        <f t="shared" ca="1" si="8"/>
        <v xml:space="preserve">Gouveia, J.  e Gouveia, L. </v>
      </c>
      <c r="E227" t="str">
        <f t="shared" ca="1" si="1"/>
        <v>2007</v>
      </c>
      <c r="F227" t="str">
        <f t="shared" ca="1" si="2"/>
        <v xml:space="preserve"> *Resultados de uma abordagem de cidade 
digital para a administração local*. </v>
      </c>
      <c r="G227" s="3">
        <f t="shared" ca="1" si="3"/>
        <v>33</v>
      </c>
      <c r="H227" s="2">
        <f t="shared" ca="1" si="4"/>
        <v>111</v>
      </c>
      <c r="I227" t="e">
        <f t="shared" ca="1" si="5"/>
        <v>#VALUE!</v>
      </c>
      <c r="J227" s="3" t="e">
        <f t="shared" ca="1" si="9"/>
        <v>#VALUE!</v>
      </c>
      <c r="K227" t="str">
        <f t="shared" ca="1" si="6"/>
        <v xml:space="preserve">Gouveia, J.  e Gouveia, L. </v>
      </c>
      <c r="L227" t="str">
        <f t="shared" ca="1" si="7"/>
        <v xml:space="preserve">Quental, C. </v>
      </c>
    </row>
    <row r="228" spans="1:14" ht="15.75" customHeight="1">
      <c r="A228">
        <f ca="1">IFERROR(__xludf.DUMMYFUNCTION("""COMPUTED_VALUE"""),66)</f>
        <v>66</v>
      </c>
      <c r="B228" t="str">
        <f ca="1">IFERROR(__xludf.DUMMYFUNCTION("""COMPUTED_VALUE"""),"Gouveia, J.  e Gouveia, L. (2007). *Uma perspectiva orientada ao território 
para o local e-government*. 12ª CLAD. Painel As autarquias na era da 
informação: o governo electrónico local. Santo Domingo. Républica 
Dominicana. 26-30 de Outubro.
artigo [ pd"&amp;"f (138KB] ] | apresentação [ pdf (165KB] ]")</f>
        <v>Gouveia, J.  e Gouveia, L. (2007). *Uma perspectiva orientada ao território 
para o local e-government*. 12ª CLAD. Painel As autarquias na era da 
informação: o governo electrónico local. Santo Domingo. Républica 
Dominicana. 26-30 de Outubro.
artigo [ pdf (138KB] ] | apresentação [ pdf (165KB] ]</v>
      </c>
      <c r="C228" s="2">
        <f t="shared" ca="1" si="0"/>
        <v>28</v>
      </c>
      <c r="D228" t="str">
        <f t="shared" ca="1" si="8"/>
        <v xml:space="preserve">Gouveia, J.  e Gouveia, L. </v>
      </c>
      <c r="E228" t="str">
        <f t="shared" ca="1" si="1"/>
        <v>2007</v>
      </c>
      <c r="F228" t="str">
        <f t="shared" ca="1" si="2"/>
        <v xml:space="preserve"> *Uma perspectiva orientada ao território 
para o local e-government*. </v>
      </c>
      <c r="G228" s="3">
        <f t="shared" ca="1" si="3"/>
        <v>33</v>
      </c>
      <c r="H228" s="2">
        <f t="shared" ca="1" si="4"/>
        <v>104</v>
      </c>
      <c r="I228" t="e">
        <f t="shared" ca="1" si="5"/>
        <v>#VALUE!</v>
      </c>
      <c r="J228" s="3" t="e">
        <f t="shared" ca="1" si="9"/>
        <v>#VALUE!</v>
      </c>
      <c r="K228" t="str">
        <f t="shared" ca="1" si="6"/>
        <v xml:space="preserve">Gouveia, J.  e Gouveia, L. </v>
      </c>
      <c r="L228" t="str">
        <f t="shared" ca="1" si="7"/>
        <v xml:space="preserve">Quental, C. </v>
      </c>
    </row>
    <row r="229" spans="1:14" ht="15.75" customHeight="1">
      <c r="A229">
        <f ca="1">IFERROR(__xludf.DUMMYFUNCTION("""COMPUTED_VALUE"""),65)</f>
        <v>65</v>
      </c>
      <c r="B229" t="str">
        <f ca="1">IFERROR(__xludf.DUMMYFUNCTION("""COMPUTED_VALUE"""),"Abrantes, S. and Gouveia, L. (2007). *An approach to teaching with computer 
games by applying the flow experience*. Learning by Games conference. LG 
2007. 25th September. France. 
presentation [ pdf(240KB] ]")</f>
        <v>Abrantes, S. and Gouveia, L. (2007). *An approach to teaching with computer 
games by applying the flow experience*. Learning by Games conference. LG 
2007. 25th September. France. 
presentation [ pdf(240KB] ]</v>
      </c>
      <c r="C229" s="2">
        <f t="shared" ca="1" si="0"/>
        <v>30</v>
      </c>
      <c r="D229" t="str">
        <f t="shared" ca="1" si="8"/>
        <v xml:space="preserve">Abrantes, S. and Gouveia, L. </v>
      </c>
      <c r="E229" t="str">
        <f t="shared" ca="1" si="1"/>
        <v>2007</v>
      </c>
      <c r="F229" t="str">
        <f t="shared" ca="1" si="2"/>
        <v xml:space="preserve"> *An approach to teaching with computer 
games by applying the flow experience*. </v>
      </c>
      <c r="G229" s="3">
        <f t="shared" ca="1" si="3"/>
        <v>35</v>
      </c>
      <c r="H229" s="2">
        <f t="shared" ca="1" si="4"/>
        <v>116</v>
      </c>
      <c r="I229" t="e">
        <f t="shared" ca="1" si="5"/>
        <v>#VALUE!</v>
      </c>
      <c r="J229" s="3" t="e">
        <f t="shared" ca="1" si="9"/>
        <v>#VALUE!</v>
      </c>
      <c r="K229" t="str">
        <f t="shared" ca="1" si="6"/>
        <v xml:space="preserve">Abrantes, S. ; Gouveia, L. </v>
      </c>
      <c r="L229" t="str">
        <f t="shared" ca="1" si="7"/>
        <v xml:space="preserve">Quental, C. </v>
      </c>
      <c r="M229" t="str">
        <f ca="1">IFERROR(__xludf.DUMMYFUNCTION("""COMPUTED_VALUE""")," Gouveia, L. ")</f>
        <v xml:space="preserve"> Gouveia, L. </v>
      </c>
    </row>
    <row r="230" spans="1:14" ht="15.75" customHeight="1">
      <c r="A230">
        <f ca="1">IFERROR(__xludf.DUMMYFUNCTION("""COMPUTED_VALUE"""),64)</f>
        <v>64</v>
      </c>
      <c r="B230" t="str">
        <f ca="1">IFERROR(__xludf.DUMMYFUNCTION("""COMPUTED_VALUE"""),"Constantino, J. e Gouveia, L. (2007). *Towards an e-participation engine: 
where people tak place*. Digital Cities Summit 07. 24-25th September, ISCP 
- Instituti Superior de Ciências Sociais e Políticas, UTL. Lisbon. 
presentation [ pdf(184KB] ]")</f>
        <v>Constantino, J. e Gouveia, L. (2007). *Towards an e-participation engine: 
where people tak place*. Digital Cities Summit 07. 24-25th September, ISCP 
- Instituti Superior de Ciências Sociais e Políticas, UTL. Lisbon. 
presentation [ pdf(184KB] ]</v>
      </c>
      <c r="C230" s="2">
        <f t="shared" ca="1" si="0"/>
        <v>31</v>
      </c>
      <c r="D230" t="str">
        <f t="shared" ca="1" si="8"/>
        <v xml:space="preserve">Constantino, J. e Gouveia, L. </v>
      </c>
      <c r="E230" t="str">
        <f t="shared" ca="1" si="1"/>
        <v>2007</v>
      </c>
      <c r="F230" t="str">
        <f t="shared" ca="1" si="2"/>
        <v xml:space="preserve"> *Towards an e-participation engine: 
where people tak place*. </v>
      </c>
      <c r="G230" s="3">
        <f t="shared" ca="1" si="3"/>
        <v>36</v>
      </c>
      <c r="H230" s="2">
        <f t="shared" ca="1" si="4"/>
        <v>99</v>
      </c>
      <c r="I230" t="e">
        <f t="shared" ca="1" si="5"/>
        <v>#VALUE!</v>
      </c>
      <c r="J230" s="3" t="e">
        <f t="shared" ca="1" si="9"/>
        <v>#VALUE!</v>
      </c>
      <c r="K230" t="str">
        <f t="shared" ca="1" si="6"/>
        <v xml:space="preserve">Constantino, J. e Gouveia, L. </v>
      </c>
      <c r="L230" t="str">
        <f t="shared" ca="1" si="7"/>
        <v xml:space="preserve">Quental, C. </v>
      </c>
    </row>
    <row r="231" spans="1:14" ht="15.75" customHeight="1">
      <c r="A231">
        <f ca="1">IFERROR(__xludf.DUMMYFUNCTION("""COMPUTED_VALUE"""),63)</f>
        <v>63</v>
      </c>
      <c r="B231" t="str">
        <f ca="1">IFERROR(__xludf.DUMMYFUNCTION("""COMPUTED_VALUE"""),"Gouveia, L. (2007). *A digital approach to our time-space living*. Digital 
Cities Summit 07. 24-25th September, ISCP - Instituto Superior de Ciências 
Sociais e Políticas, UTL. Lisbon. 
presentation [ pdf(461KB] ]")</f>
        <v>Gouveia, L. (2007). *A digital approach to our time-space living*. Digital 
Cities Summit 07. 24-25th September, ISCP - Instituto Superior de Ciências 
Sociais e Políticas, UTL. Lisbon. 
presentation [ pdf(461KB] ]</v>
      </c>
      <c r="C231" s="2">
        <f t="shared" ca="1" si="0"/>
        <v>13</v>
      </c>
      <c r="D231" t="str">
        <f t="shared" ca="1" si="8"/>
        <v xml:space="preserve">Gouveia, L. </v>
      </c>
      <c r="E231" t="str">
        <f t="shared" ca="1" si="1"/>
        <v>2007</v>
      </c>
      <c r="F231" t="str">
        <f t="shared" ca="1" si="2"/>
        <v xml:space="preserve"> *A digital approach to our time-space living*. </v>
      </c>
      <c r="G231" s="3">
        <f t="shared" ca="1" si="3"/>
        <v>18</v>
      </c>
      <c r="H231" s="2">
        <f t="shared" ca="1" si="4"/>
        <v>66</v>
      </c>
      <c r="I231" t="e">
        <f t="shared" ca="1" si="5"/>
        <v>#VALUE!</v>
      </c>
      <c r="J231" s="3" t="e">
        <f t="shared" ca="1" si="9"/>
        <v>#VALUE!</v>
      </c>
      <c r="K231" t="str">
        <f t="shared" ca="1" si="6"/>
        <v xml:space="preserve">Gouveia, L. </v>
      </c>
      <c r="L231" t="str">
        <f t="shared" ca="1" si="7"/>
        <v xml:space="preserve">Quental, C. </v>
      </c>
    </row>
    <row r="232" spans="1:14" ht="15.75" customHeight="1">
      <c r="A232">
        <f ca="1">IFERROR(__xludf.DUMMYFUNCTION("""COMPUTED_VALUE"""),62)</f>
        <v>62</v>
      </c>
      <c r="B232" t="str">
        <f ca="1">IFERROR(__xludf.DUMMYFUNCTION("""COMPUTED_VALUE"""),"Gouveia, L. and Reis, P. (2007). *Language learning using the Sakai 
collaborative learning environment: current experience*. Conference: ICT 
for Language Learning. Florence, Italy. 20-21 September. 
paper [ pdf(35KB) ]")</f>
        <v>Gouveia, L. and Reis, P. (2007). *Language learning using the Sakai 
collaborative learning environment: current experience*. Conference: ICT 
for Language Learning. Florence, Italy. 20-21 September. 
paper [ pdf(35KB) ]</v>
      </c>
      <c r="C232" s="2">
        <f t="shared" ca="1" si="0"/>
        <v>26</v>
      </c>
      <c r="D232" t="str">
        <f t="shared" ca="1" si="8"/>
        <v xml:space="preserve">Gouveia, L. and Reis, P. </v>
      </c>
      <c r="E232" t="str">
        <f t="shared" ca="1" si="1"/>
        <v>2007</v>
      </c>
      <c r="F232" t="str">
        <f t="shared" ca="1" si="2"/>
        <v xml:space="preserve"> *Language learning using the Sakai 
collaborative learning environment: current experience*. </v>
      </c>
      <c r="G232" s="3">
        <f t="shared" ca="1" si="3"/>
        <v>31</v>
      </c>
      <c r="H232" s="2">
        <f t="shared" ca="1" si="4"/>
        <v>125</v>
      </c>
      <c r="I232" t="e">
        <f t="shared" ca="1" si="5"/>
        <v>#VALUE!</v>
      </c>
      <c r="J232" s="3" t="e">
        <f t="shared" ca="1" si="9"/>
        <v>#VALUE!</v>
      </c>
      <c r="K232" t="str">
        <f t="shared" ca="1" si="6"/>
        <v xml:space="preserve">Gouveia, L. ; Reis, P. </v>
      </c>
      <c r="L232" t="str">
        <f t="shared" ca="1" si="7"/>
        <v xml:space="preserve">Quental, C. </v>
      </c>
      <c r="M232" t="str">
        <f ca="1">IFERROR(__xludf.DUMMYFUNCTION("""COMPUTED_VALUE""")," Reis, P. ")</f>
        <v xml:space="preserve"> Reis, P. </v>
      </c>
    </row>
    <row r="233" spans="1:14" ht="15.75" customHeight="1">
      <c r="A233">
        <f ca="1">IFERROR(__xludf.DUMMYFUNCTION("""COMPUTED_VALUE"""),61)</f>
        <v>61</v>
      </c>
      <c r="B233" t="str">
        <f ca="1">IFERROR(__xludf.DUMMYFUNCTION("""COMPUTED_VALUE"""),"Trigo, M.; Gouveia, L.; Quoniam, L. e Riccio, E. (2007). *Using Competitive 
Intelligence as a Strategic Tool in a Higher Education Context*. 
Proceedings of The 8th European Conference on Knowledge Management. CEIB, 
Barcelona, Spain.  6-7 September. Vol"&amp;" II, pp 1017-1023. 
paper [ pdf( 110KB] ]")</f>
        <v>Trigo, M.; Gouveia, L.; Quoniam, L. e Riccio, E. (2007). *Using Competitive 
Intelligence as a Strategic Tool in a Higher Education Context*. 
Proceedings of The 8th European Conference on Knowledge Management. CEIB, 
Barcelona, Spain.  6-7 September. Vol II, pp 1017-1023. 
paper [ pdf( 110KB] ]</v>
      </c>
      <c r="C233" s="2">
        <f t="shared" ca="1" si="0"/>
        <v>50</v>
      </c>
      <c r="D233" t="str">
        <f t="shared" ca="1" si="8"/>
        <v xml:space="preserve">Trigo, M.; Gouveia, L.; Quoniam, L. e Riccio, E. </v>
      </c>
      <c r="E233" t="str">
        <f t="shared" ca="1" si="1"/>
        <v>2007</v>
      </c>
      <c r="F233" t="str">
        <f t="shared" ca="1" si="2"/>
        <v xml:space="preserve"> *Using Competitive 
Intelligence as a Strategic Tool in a Higher Education Context*. </v>
      </c>
      <c r="G233" s="3">
        <f t="shared" ca="1" si="3"/>
        <v>55</v>
      </c>
      <c r="H233" s="2">
        <f t="shared" ca="1" si="4"/>
        <v>141</v>
      </c>
      <c r="I233" t="e">
        <f t="shared" ca="1" si="5"/>
        <v>#VALUE!</v>
      </c>
      <c r="J233" s="3" t="e">
        <f t="shared" ca="1" si="9"/>
        <v>#VALUE!</v>
      </c>
      <c r="K233" t="str">
        <f t="shared" ca="1" si="6"/>
        <v xml:space="preserve">Trigo, M.; Gouveia, L.; Quoniam, L. e Riccio, E. </v>
      </c>
      <c r="L233" t="str">
        <f t="shared" ca="1" si="7"/>
        <v xml:space="preserve">Quental, C. </v>
      </c>
      <c r="M233" t="str">
        <f ca="1">IFERROR(__xludf.DUMMYFUNCTION("""COMPUTED_VALUE""")," Gouveia, L.")</f>
        <v xml:space="preserve"> Gouveia, L.</v>
      </c>
      <c r="N233" t="str">
        <f ca="1">IFERROR(__xludf.DUMMYFUNCTION("""COMPUTED_VALUE""")," Quoniam, L. e Riccio, E. ")</f>
        <v xml:space="preserve"> Quoniam, L. e Riccio, E. </v>
      </c>
    </row>
    <row r="234" spans="1:14" ht="15.75" customHeight="1">
      <c r="A234">
        <f ca="1">IFERROR(__xludf.DUMMYFUNCTION("""COMPUTED_VALUE"""),60)</f>
        <v>60</v>
      </c>
      <c r="B234" t="str">
        <f ca="1">IFERROR(__xludf.DUMMYFUNCTION("""COMPUTED_VALUE"""),"Clara, P. e Gouveia, L. (2007). *Recurso a computadores por utilizadores 
com deficiência: um caso real.* 2ª Conferência Ibérica de Sistemas e 
Tecnologias de Informação. CISTI 2007. UFP. Porto, 21 a 23 de Junho. In 
Rocha, A. et al. (2007) Novas perspect"&amp;"ivas em Sistemas e Tecnologias de 
Informação. Actas da CISTI 2007, Vol II, pp 409-414. ISBN: 
978-972-8830-88-5.
artigo [ pdf (108KB) ]")</f>
        <v>Clara, P. e Gouveia, L. (2007). *Recurso a computadores por utilizadores 
com deficiência: um caso real.* 2ª Conferência Ibérica de Sistemas e 
Tecnologias de Informação. CISTI 2007. UFP. Porto, 21 a 23 de Junho. In 
Rocha, A. et al. (2007) Novas perspectivas em Sistemas e Tecnologias de 
Informação. Actas da CISTI 2007, Vol II, pp 409-414. ISBN: 
978-972-8830-88-5.
artigo [ pdf (108KB) ]</v>
      </c>
      <c r="C234" s="2">
        <f t="shared" ca="1" si="0"/>
        <v>25</v>
      </c>
      <c r="D234" t="str">
        <f t="shared" ca="1" si="8"/>
        <v xml:space="preserve">Clara, P. e Gouveia, L. </v>
      </c>
      <c r="E234" t="str">
        <f t="shared" ca="1" si="1"/>
        <v>2007</v>
      </c>
      <c r="F234" t="str">
        <f t="shared" ca="1" si="2"/>
        <v xml:space="preserve"> *Recurso a computadores por utilizadores 
com deficiência: um caso real.*</v>
      </c>
      <c r="G234" s="3">
        <f t="shared" ca="1" si="3"/>
        <v>30</v>
      </c>
      <c r="H234" s="2">
        <f t="shared" ca="1" si="4"/>
        <v>104</v>
      </c>
      <c r="I234" t="e">
        <f t="shared" ca="1" si="5"/>
        <v>#VALUE!</v>
      </c>
      <c r="J234" s="3" t="e">
        <f t="shared" ca="1" si="9"/>
        <v>#VALUE!</v>
      </c>
      <c r="K234" t="str">
        <f t="shared" ca="1" si="6"/>
        <v xml:space="preserve">Clara, P. e Gouveia, L. </v>
      </c>
      <c r="L234" t="str">
        <f t="shared" ca="1" si="7"/>
        <v xml:space="preserve">Quental, C. </v>
      </c>
    </row>
    <row r="235" spans="1:14" ht="15.75" customHeight="1">
      <c r="A235">
        <f ca="1">IFERROR(__xludf.DUMMYFUNCTION("""COMPUTED_VALUE"""),59)</f>
        <v>59</v>
      </c>
      <c r="B235" t="str">
        <f ca="1">IFERROR(__xludf.DUMMYFUNCTION("""COMPUTED_VALUE"""),"Trigo, M. e Gouveia, L. (2007). *A Universidade Corporativa: reflexão sobre 
a motivação, benefícios e implicações do conceito.* 2ª Conferência Ibérica 
de Sistemas e Tecnologias de Informação. CISTI 2007. UFP. Porto, 21 a 23 de 
Junho. In Rocha, A. et al"&amp;". (2007) Novas perspectivas em Sistemas e 
Tecnologias de Informação. Actas da CISTI 2007, Vol I, pp 275-283. ISBN: 
978-972-8830-88-5.
artigo [ pdf (80KB) ] | apresentação [ pdf (196KB) ]")</f>
        <v>Trigo, M. e Gouveia, L. (2007). *A Universidade Corporativa: reflexão sobre 
a motivação, benefícios e implicações do conceito.* 2ª Conferência Ibérica 
de Sistemas e Tecnologias de Informação. CISTI 2007. UFP. Porto, 21 a 23 de 
Junho. In Rocha, A. et al. (2007) Novas perspectivas em Sistemas e 
Tecnologias de Informação. Actas da CISTI 2007, Vol I, pp 275-283. ISBN: 
978-972-8830-88-5.
artigo [ pdf (80KB) ] | apresentação [ pdf (196KB) ]</v>
      </c>
      <c r="C235" s="2">
        <f t="shared" ca="1" si="0"/>
        <v>25</v>
      </c>
      <c r="D235" t="str">
        <f t="shared" ca="1" si="8"/>
        <v xml:space="preserve">Trigo, M. e Gouveia, L. </v>
      </c>
      <c r="E235" t="str">
        <f t="shared" ca="1" si="1"/>
        <v>2007</v>
      </c>
      <c r="F235" t="str">
        <f t="shared" ca="1" si="2"/>
        <v xml:space="preserve"> *A Universidade Corporativa: reflexão sobre 
a motivação, benefícios e implicações do conceito.*</v>
      </c>
      <c r="G235" s="3">
        <f t="shared" ca="1" si="3"/>
        <v>30</v>
      </c>
      <c r="H235" s="2">
        <f t="shared" ca="1" si="4"/>
        <v>127</v>
      </c>
      <c r="I235" t="e">
        <f t="shared" ca="1" si="5"/>
        <v>#VALUE!</v>
      </c>
      <c r="J235" s="3" t="e">
        <f t="shared" ca="1" si="9"/>
        <v>#VALUE!</v>
      </c>
      <c r="K235" t="str">
        <f t="shared" ca="1" si="6"/>
        <v xml:space="preserve">Trigo, M. e Gouveia, L. </v>
      </c>
      <c r="L235" t="str">
        <f t="shared" ca="1" si="7"/>
        <v xml:space="preserve">Quental, C. </v>
      </c>
    </row>
    <row r="236" spans="1:14" ht="15.75" customHeight="1">
      <c r="A236">
        <f ca="1">IFERROR(__xludf.DUMMYFUNCTION("""COMPUTED_VALUE"""),58)</f>
        <v>58</v>
      </c>
      <c r="B236" t="str">
        <f ca="1">IFERROR(__xludf.DUMMYFUNCTION("""COMPUTED_VALUE"""),"Gouveia, L. e Gouveia, F. (2006). Using Sakai as a collaborative learning 
environment to support higher education activity. Leading Innovation in 
Global Education &amp; Training 13th Annual EDiNEB Conference June 14-16, 2006, 
Lisbon, Portugal.
apresentação"&amp;" [ pdf (338KB) ]")</f>
        <v>Gouveia, L. e Gouveia, F. (2006). Using Sakai as a collaborative learning 
environment to support higher education activity. Leading Innovation in 
Global Education &amp; Training 13th Annual EDiNEB Conference June 14-16, 2006, 
Lisbon, Portugal.
apresentação [ pdf (338KB) ]</v>
      </c>
      <c r="C236" s="2">
        <f t="shared" ca="1" si="0"/>
        <v>27</v>
      </c>
      <c r="D236" t="str">
        <f t="shared" ca="1" si="8"/>
        <v xml:space="preserve">Gouveia, L. e Gouveia, F. </v>
      </c>
      <c r="E236" t="str">
        <f t="shared" ca="1" si="1"/>
        <v>2006</v>
      </c>
      <c r="F236" t="str">
        <f t="shared" ca="1" si="2"/>
        <v xml:space="preserve"> Using Sakai as a collaborative learning 
environment to support higher education activity. </v>
      </c>
      <c r="G236" s="3">
        <f t="shared" ca="1" si="3"/>
        <v>32</v>
      </c>
      <c r="H236" s="2">
        <f t="shared" ca="1" si="4"/>
        <v>124</v>
      </c>
      <c r="I236" t="e">
        <f t="shared" ca="1" si="5"/>
        <v>#VALUE!</v>
      </c>
      <c r="J236" s="3" t="e">
        <f t="shared" ca="1" si="9"/>
        <v>#VALUE!</v>
      </c>
      <c r="K236" t="str">
        <f t="shared" ca="1" si="6"/>
        <v xml:space="preserve">Gouveia, L. e Gouveia, F. </v>
      </c>
      <c r="L236" t="str">
        <f t="shared" ca="1" si="7"/>
        <v xml:space="preserve">Quental, C. </v>
      </c>
    </row>
    <row r="237" spans="1:14" ht="15.75" customHeight="1">
      <c r="A237">
        <f ca="1">IFERROR(__xludf.DUMMYFUNCTION("""COMPUTED_VALUE"""),57)</f>
        <v>57</v>
      </c>
      <c r="B237" t="str">
        <f ca="1">IFERROR(__xludf.DUMMYFUNCTION("""COMPUTED_VALUE"""),"Gaio, S.; Gouveia, J. e Gouveia, L. (2006). *O Branding e a Dimensão 
digital da cidade:* *Dinâmicas e Contributos para a competitividade*. 
Conferência Ibérica de Marketing das Cidades. IPAM / IDIM. 29 de Março. 
Edifício da Alfândega. Porto.
apresentaçã"&amp;"o [ pdf (155KB)] | artigo [ pdf (156KB)]")</f>
        <v>Gaio, S.; Gouveia, J. e Gouveia, L. (2006). *O Branding e a Dimensão 
digital da cidade:* *Dinâmicas e Contributos para a competitividade*. 
Conferência Ibérica de Marketing das Cidades. IPAM / IDIM. 29 de Março. 
Edifício da Alfândega. Porto.
apresentação [ pdf (155KB)] | artigo [ pdf (156KB)]</v>
      </c>
      <c r="C237" s="2">
        <f t="shared" ca="1" si="0"/>
        <v>37</v>
      </c>
      <c r="D237" t="str">
        <f t="shared" ca="1" si="8"/>
        <v xml:space="preserve">Gaio, S.; Gouveia, J. e Gouveia, L. </v>
      </c>
      <c r="E237" t="str">
        <f t="shared" ca="1" si="1"/>
        <v>2006</v>
      </c>
      <c r="F237" t="str">
        <f t="shared" ca="1" si="2"/>
        <v xml:space="preserve"> *O Branding e a Dimensão 
digital da cidade:* *Dinâmicas e Contributos para a competitividade*. </v>
      </c>
      <c r="G237" s="3">
        <f t="shared" ca="1" si="3"/>
        <v>42</v>
      </c>
      <c r="H237" s="2">
        <f t="shared" ca="1" si="4"/>
        <v>139</v>
      </c>
      <c r="I237" t="e">
        <f t="shared" ca="1" si="5"/>
        <v>#VALUE!</v>
      </c>
      <c r="J237" s="3" t="e">
        <f t="shared" ca="1" si="9"/>
        <v>#VALUE!</v>
      </c>
      <c r="K237" t="str">
        <f t="shared" ca="1" si="6"/>
        <v xml:space="preserve">Gaio, S.; Gouveia, J. e Gouveia, L. </v>
      </c>
      <c r="L237" t="str">
        <f t="shared" ca="1" si="7"/>
        <v xml:space="preserve">Quental, C. </v>
      </c>
      <c r="M237" t="str">
        <f ca="1">IFERROR(__xludf.DUMMYFUNCTION("""COMPUTED_VALUE""")," Gouveia, J. e Gouveia, L. ")</f>
        <v xml:space="preserve"> Gouveia, J. e Gouveia, L. </v>
      </c>
    </row>
    <row r="238" spans="1:14" ht="15.75" customHeight="1">
      <c r="A238">
        <f ca="1">IFERROR(__xludf.DUMMYFUNCTION("""COMPUTED_VALUE"""),56)</f>
        <v>56</v>
      </c>
      <c r="B238" t="str">
        <f ca="1">IFERROR(__xludf.DUMMYFUNCTION("""COMPUTED_VALUE"""),"Gaio, S.; Gouveia, J. e Gouveia, L. (2006). *Do Território Esperado ao 
Território Experimentado: A Identidade Como Factor Nuclear no Processo de 
Branding*. 2º Congreso de Marketing de Ciudades - Citymarketing Elche´06. 
24-26 Maio. Elche. Espanha.
apres"&amp;"entação [ pdf (224KB)]")</f>
        <v>Gaio, S.; Gouveia, J. e Gouveia, L. (2006). *Do Território Esperado ao 
Território Experimentado: A Identidade Como Factor Nuclear no Processo de 
Branding*. 2º Congreso de Marketing de Ciudades - Citymarketing Elche´06. 
24-26 Maio. Elche. Espanha.
apresentação [ pdf (224KB)]</v>
      </c>
      <c r="C238" s="2">
        <f t="shared" ca="1" si="0"/>
        <v>37</v>
      </c>
      <c r="D238" t="str">
        <f t="shared" ca="1" si="8"/>
        <v xml:space="preserve">Gaio, S.; Gouveia, J. e Gouveia, L. </v>
      </c>
      <c r="E238" t="str">
        <f t="shared" ca="1" si="1"/>
        <v>2006</v>
      </c>
      <c r="F238" t="str">
        <f t="shared" ca="1" si="2"/>
        <v xml:space="preserve"> *Do Território Esperado ao 
Território Experimentado: A Identidade Como Factor Nuclear no Processo de 
Branding*. </v>
      </c>
      <c r="G238" s="3">
        <f t="shared" ca="1" si="3"/>
        <v>42</v>
      </c>
      <c r="H238" s="2">
        <f t="shared" ca="1" si="4"/>
        <v>157</v>
      </c>
      <c r="I238" t="e">
        <f t="shared" ca="1" si="5"/>
        <v>#VALUE!</v>
      </c>
      <c r="J238" s="3" t="e">
        <f t="shared" ca="1" si="9"/>
        <v>#VALUE!</v>
      </c>
      <c r="K238" t="str">
        <f t="shared" ca="1" si="6"/>
        <v xml:space="preserve">Gaio, S.; Gouveia, J. e Gouveia, L. </v>
      </c>
      <c r="L238" t="str">
        <f t="shared" ca="1" si="7"/>
        <v xml:space="preserve">Quental, C. </v>
      </c>
      <c r="M238" t="str">
        <f ca="1">IFERROR(__xludf.DUMMYFUNCTION("""COMPUTED_VALUE""")," Gouveia, J. e Gouveia, L. ")</f>
        <v xml:space="preserve"> Gouveia, J. e Gouveia, L. </v>
      </c>
    </row>
    <row r="239" spans="1:14" ht="15.75" customHeight="1">
      <c r="A239">
        <f ca="1">IFERROR(__xludf.DUMMYFUNCTION("""COMPUTED_VALUE"""),55)</f>
        <v>55</v>
      </c>
      <c r="B239" t="str">
        <f ca="1">IFERROR(__xludf.DUMMYFUNCTION("""COMPUTED_VALUE"""),"Gouveia, L. (2005). *O e-learning como suporte ao ensino superior 
universitário*. 4ª SOPCOM, 4ª Congresso da Associação Portuguesa de 
Ciências da Comunicação. Repensar os media: novos contextos da comunicação 
e da informação. 20 e 21 de Outubro. Livro "&amp;"de actas. Universidade de 
Aveiro. ISBN 972-789-163-2, pp 1559-1571.
artigo [ pdf (148KB) ] | apresentação [ pdf (316KB) ]")</f>
        <v>Gouveia, L. (2005). *O e-learning como suporte ao ensino superior 
universitário*. 4ª SOPCOM, 4ª Congresso da Associação Portuguesa de 
Ciências da Comunicação. Repensar os media: novos contextos da comunicação 
e da informação. 20 e 21 de Outubro. Livro de actas. Universidade de 
Aveiro. ISBN 972-789-163-2, pp 1559-1571.
artigo [ pdf (148KB) ] | apresentação [ pdf (316KB) ]</v>
      </c>
      <c r="C239" s="2">
        <f t="shared" ca="1" si="0"/>
        <v>13</v>
      </c>
      <c r="D239" t="str">
        <f t="shared" ca="1" si="8"/>
        <v xml:space="preserve">Gouveia, L. </v>
      </c>
      <c r="E239" t="str">
        <f t="shared" ca="1" si="1"/>
        <v>2005</v>
      </c>
      <c r="F239" t="str">
        <f t="shared" ca="1" si="2"/>
        <v xml:space="preserve"> *O e-learning como suporte ao ensino superior 
universitário*. </v>
      </c>
      <c r="G239" s="3">
        <f t="shared" ca="1" si="3"/>
        <v>18</v>
      </c>
      <c r="H239" s="2">
        <f t="shared" ca="1" si="4"/>
        <v>82</v>
      </c>
      <c r="I239" t="e">
        <f t="shared" ca="1" si="5"/>
        <v>#VALUE!</v>
      </c>
      <c r="J239" s="3" t="e">
        <f t="shared" ca="1" si="9"/>
        <v>#VALUE!</v>
      </c>
      <c r="K239" t="str">
        <f t="shared" ca="1" si="6"/>
        <v xml:space="preserve">Gouveia, L. </v>
      </c>
      <c r="L239" t="str">
        <f t="shared" ca="1" si="7"/>
        <v xml:space="preserve">Quental, C. </v>
      </c>
    </row>
    <row r="240" spans="1:14" ht="15.75" customHeight="1">
      <c r="A240">
        <f ca="1">IFERROR(__xludf.DUMMYFUNCTION("""COMPUTED_VALUE"""),54)</f>
        <v>54</v>
      </c>
      <c r="B240" t="str">
        <f ca="1">IFERROR(__xludf.DUMMYFUNCTION("""COMPUTED_VALUE"""),"Gouveia, L. (2005). *A Sociedade da Informação e do Conhecimento e as novas 
competências*. Congresso Internacional Educação e Trabalho. Representações 
Sociais, Competências e Trajectórias Profissionais. Departamento de 
Ciências da Educação. Universidad"&amp;"e de Aveiro. 2 a 4 de Maio. Aveiro, 
Portugal. In Resumos das comunicações. ISBN 972-789-153-5, pp 83.
apresentação [ pdf (48KB) ]")</f>
        <v>Gouveia, L. (2005). *A Sociedade da Informação e do Conhecimento e as novas 
competências*. Congresso Internacional Educação e Trabalho. Representações 
Sociais, Competências e Trajectórias Profissionais. Departamento de 
Ciências da Educação. Universidade de Aveiro. 2 a 4 de Maio. Aveiro, 
Portugal. In Resumos das comunicações. ISBN 972-789-153-5, pp 83.
apresentação [ pdf (48KB) ]</v>
      </c>
      <c r="C240" s="2">
        <f t="shared" ca="1" si="0"/>
        <v>13</v>
      </c>
      <c r="D240" t="str">
        <f t="shared" ca="1" si="8"/>
        <v xml:space="preserve">Gouveia, L. </v>
      </c>
      <c r="E240" t="str">
        <f t="shared" ca="1" si="1"/>
        <v>2005</v>
      </c>
      <c r="F240" t="str">
        <f t="shared" ca="1" si="2"/>
        <v xml:space="preserve"> *A Sociedade da Informação e do Conhecimento e as novas 
competências*. </v>
      </c>
      <c r="G240" s="3">
        <f t="shared" ca="1" si="3"/>
        <v>18</v>
      </c>
      <c r="H240" s="2">
        <f t="shared" ca="1" si="4"/>
        <v>91</v>
      </c>
      <c r="I240" t="e">
        <f t="shared" ca="1" si="5"/>
        <v>#VALUE!</v>
      </c>
      <c r="J240" s="3" t="e">
        <f t="shared" ca="1" si="9"/>
        <v>#VALUE!</v>
      </c>
      <c r="K240" t="str">
        <f t="shared" ca="1" si="6"/>
        <v xml:space="preserve">Gouveia, L. </v>
      </c>
      <c r="L240" t="str">
        <f t="shared" ca="1" si="7"/>
        <v xml:space="preserve">Quental, C. </v>
      </c>
    </row>
    <row r="241" spans="1:16" ht="15.75" customHeight="1">
      <c r="A241">
        <f ca="1">IFERROR(__xludf.DUMMYFUNCTION("""COMPUTED_VALUE"""),53)</f>
        <v>53</v>
      </c>
      <c r="B241" t="str">
        <f ca="1">IFERROR(__xludf.DUMMYFUNCTION("""COMPUTED_VALUE"""),"Gouveia, L. e Gomes, F. (2004). *O e-learning como etapa da universidade 
para o virtual*. Conferência eLES '04, eLearning no Ensino Superior. 
Universidade de Aveiro, 27 a 30 de Outubro, Aveiro.
paper [ pdf (13KB) ] | apresentação [ pdf (109KB) ]")</f>
        <v>Gouveia, L. e Gomes, F. (2004). *O e-learning como etapa da universidade 
para o virtual*. Conferência eLES '04, eLearning no Ensino Superior. 
Universidade de Aveiro, 27 a 30 de Outubro, Aveiro.
paper [ pdf (13KB) ] | apresentação [ pdf (109KB) ]</v>
      </c>
      <c r="C241" s="2">
        <f t="shared" ca="1" si="0"/>
        <v>25</v>
      </c>
      <c r="D241" t="str">
        <f t="shared" ca="1" si="8"/>
        <v xml:space="preserve">Gouveia, L. e Gomes, F. </v>
      </c>
      <c r="E241" t="str">
        <f t="shared" ca="1" si="1"/>
        <v>2004</v>
      </c>
      <c r="F241" t="str">
        <f t="shared" ca="1" si="2"/>
        <v xml:space="preserve"> *O e-learning como etapa da universidade 
para o virtual*. </v>
      </c>
      <c r="G241" s="3">
        <f t="shared" ca="1" si="3"/>
        <v>30</v>
      </c>
      <c r="H241" s="2">
        <f t="shared" ca="1" si="4"/>
        <v>90</v>
      </c>
      <c r="I241" t="e">
        <f t="shared" ca="1" si="5"/>
        <v>#VALUE!</v>
      </c>
      <c r="J241" s="3" t="e">
        <f t="shared" ca="1" si="9"/>
        <v>#VALUE!</v>
      </c>
      <c r="K241" t="str">
        <f t="shared" ca="1" si="6"/>
        <v xml:space="preserve">Gouveia, L. e Gomes, F. </v>
      </c>
      <c r="L241" t="str">
        <f t="shared" ca="1" si="7"/>
        <v xml:space="preserve">Quental, C. </v>
      </c>
    </row>
    <row r="242" spans="1:16" ht="15.75" customHeight="1">
      <c r="A242">
        <f ca="1">IFERROR(__xludf.DUMMYFUNCTION("""COMPUTED_VALUE"""),52)</f>
        <v>52</v>
      </c>
      <c r="B242" t="str">
        <f ca="1">IFERROR(__xludf.DUMMYFUNCTION("""COMPUTED_VALUE"""),"Gouveia, L. (2004). *O digital e as novas formas de, e para, aprender.* 
Conferência eLES '04, eLearning no Ensino Superior. Universidade de Aveiro, 
27 a 30 de Outubro, Aveiro.
paper [ pdf (13KB) ] | apresentação [ pdf (181KB) ]")</f>
        <v>Gouveia, L. (2004). *O digital e as novas formas de, e para, aprender.* 
Conferência eLES '04, eLearning no Ensino Superior. Universidade de Aveiro, 
27 a 30 de Outubro, Aveiro.
paper [ pdf (13KB) ] | apresentação [ pdf (181KB) ]</v>
      </c>
      <c r="C242" s="2">
        <f t="shared" ca="1" si="0"/>
        <v>13</v>
      </c>
      <c r="D242" t="str">
        <f t="shared" ca="1" si="8"/>
        <v xml:space="preserve">Gouveia, L. </v>
      </c>
      <c r="E242" t="str">
        <f t="shared" ca="1" si="1"/>
        <v>2004</v>
      </c>
      <c r="F242" t="str">
        <f t="shared" ca="1" si="2"/>
        <v xml:space="preserve"> *O digital e as novas formas de, e para, aprender.*</v>
      </c>
      <c r="G242" s="3">
        <f t="shared" ca="1" si="3"/>
        <v>18</v>
      </c>
      <c r="H242" s="2">
        <f t="shared" ca="1" si="4"/>
        <v>70</v>
      </c>
      <c r="I242" t="e">
        <f t="shared" ca="1" si="5"/>
        <v>#VALUE!</v>
      </c>
      <c r="J242" s="3" t="e">
        <f t="shared" ca="1" si="9"/>
        <v>#VALUE!</v>
      </c>
      <c r="K242" t="str">
        <f t="shared" ca="1" si="6"/>
        <v xml:space="preserve">Gouveia, L. </v>
      </c>
      <c r="L242" t="str">
        <f t="shared" ca="1" si="7"/>
        <v xml:space="preserve">Quental, C. </v>
      </c>
    </row>
    <row r="243" spans="1:16" ht="15.75" customHeight="1">
      <c r="A243">
        <f ca="1">IFERROR(__xludf.DUMMYFUNCTION("""COMPUTED_VALUE"""),51)</f>
        <v>51</v>
      </c>
      <c r="B243" t="str">
        <f ca="1">IFERROR(__xludf.DUMMYFUNCTION("""COMPUTED_VALUE"""),"Rurato, P.; Gouveia, L. e Gouveia, J. (2004). *Características Essenciais 
do Ensino a Distância.* Conferência eLES '04, eLearning no Ensino Superior. 
Universidade de Aveiro, 27 a 30 de Outubro, Aveiro.
paper [ pdf (37KB) ] | apresentação [ pdf (565KB) ]")</f>
        <v>Rurato, P.; Gouveia, L. e Gouveia, J. (2004). *Características Essenciais 
do Ensino a Distância.* Conferência eLES '04, eLearning no Ensino Superior. 
Universidade de Aveiro, 27 a 30 de Outubro, Aveiro.
paper [ pdf (37KB) ] | apresentação [ pdf (565KB) ]</v>
      </c>
      <c r="C243" s="2">
        <f t="shared" ca="1" si="0"/>
        <v>39</v>
      </c>
      <c r="D243" t="str">
        <f t="shared" ca="1" si="8"/>
        <v xml:space="preserve">Rurato, P.; Gouveia, L. e Gouveia, J. </v>
      </c>
      <c r="E243" t="str">
        <f t="shared" ca="1" si="1"/>
        <v>2004</v>
      </c>
      <c r="F243" t="str">
        <f t="shared" ca="1" si="2"/>
        <v xml:space="preserve"> *Características Essenciais 
do Ensino a Distância.*</v>
      </c>
      <c r="G243" s="3">
        <f t="shared" ca="1" si="3"/>
        <v>44</v>
      </c>
      <c r="H243" s="2">
        <f t="shared" ca="1" si="4"/>
        <v>97</v>
      </c>
      <c r="I243" t="e">
        <f t="shared" ca="1" si="5"/>
        <v>#VALUE!</v>
      </c>
      <c r="J243" s="3" t="e">
        <f t="shared" ca="1" si="9"/>
        <v>#VALUE!</v>
      </c>
      <c r="K243" t="str">
        <f t="shared" ca="1" si="6"/>
        <v xml:space="preserve">Rurato, P.; Gouveia, L. e Gouveia, J. </v>
      </c>
      <c r="L243" t="str">
        <f t="shared" ca="1" si="7"/>
        <v xml:space="preserve">Quental, C. </v>
      </c>
      <c r="M243" t="str">
        <f ca="1">IFERROR(__xludf.DUMMYFUNCTION("""COMPUTED_VALUE""")," Gouveia, L. e Gouveia, J. ")</f>
        <v xml:space="preserve"> Gouveia, L. e Gouveia, J. </v>
      </c>
    </row>
    <row r="244" spans="1:16" ht="15.75" customHeight="1">
      <c r="A244">
        <f ca="1">IFERROR(__xludf.DUMMYFUNCTION("""COMPUTED_VALUE"""),50)</f>
        <v>50</v>
      </c>
      <c r="B244" t="str">
        <f ca="1">IFERROR(__xludf.DUMMYFUNCTION("""COMPUTED_VALUE"""),"Marques, M. e Gouveia, L. (2004). Bibliotecas digitais: a importância do 
serviço de referência. IADIS WWW/Internet 2004, Actas da Conferência Ibero 
Americana, Madrid, Espanha, 7-8 de Outubro, pp 425-428.
artigo [ pdf (19KB)] | apresentação [ pdf (26KB) "&amp;"]")</f>
        <v>Marques, M. e Gouveia, L. (2004). Bibliotecas digitais: a importância do 
serviço de referência. IADIS WWW/Internet 2004, Actas da Conferência Ibero 
Americana, Madrid, Espanha, 7-8 de Outubro, pp 425-428.
artigo [ pdf (19KB)] | apresentação [ pdf (26KB) ]</v>
      </c>
      <c r="C244" s="2">
        <f t="shared" ca="1" si="0"/>
        <v>27</v>
      </c>
      <c r="D244" t="str">
        <f t="shared" ca="1" si="8"/>
        <v xml:space="preserve">Marques, M. e Gouveia, L. </v>
      </c>
      <c r="E244" t="str">
        <f t="shared" ca="1" si="1"/>
        <v>2004</v>
      </c>
      <c r="F244" t="str">
        <f t="shared" ca="1" si="2"/>
        <v xml:space="preserve"> Bibliotecas digitais: a importância do 
serviço de referência. </v>
      </c>
      <c r="G244" s="3">
        <f t="shared" ca="1" si="3"/>
        <v>32</v>
      </c>
      <c r="H244" s="2">
        <f t="shared" ca="1" si="4"/>
        <v>96</v>
      </c>
      <c r="I244" t="e">
        <f t="shared" ca="1" si="5"/>
        <v>#VALUE!</v>
      </c>
      <c r="J244" s="3" t="e">
        <f t="shared" ca="1" si="9"/>
        <v>#VALUE!</v>
      </c>
      <c r="K244" t="str">
        <f t="shared" ca="1" si="6"/>
        <v xml:space="preserve">Marques, M. e Gouveia, L. </v>
      </c>
      <c r="L244" t="str">
        <f t="shared" ca="1" si="7"/>
        <v xml:space="preserve">Quental, C. </v>
      </c>
    </row>
    <row r="245" spans="1:16" ht="15.75" customHeight="1">
      <c r="A245">
        <f ca="1">IFERROR(__xludf.DUMMYFUNCTION("""COMPUTED_VALUE"""),49)</f>
        <v>49</v>
      </c>
      <c r="B245" t="str">
        <f ca="1">IFERROR(__xludf.DUMMYFUNCTION("""COMPUTED_VALUE"""),"Xavier, J. e Gouveia, L. (2004). O relacionamento com o cidadão: a 
importância do território. IADIS WWW/Internet 2004, Actas da Conferência 
Ibero Americana, Madrid, Espanha, 7-8 de Outubro, pp 445-448.
artigo [ pdf (27KB)] | apresentação [ pdf (28KB) ]")</f>
        <v>Xavier, J. e Gouveia, L. (2004). O relacionamento com o cidadão: a 
importância do território. IADIS WWW/Internet 2004, Actas da Conferência 
Ibero Americana, Madrid, Espanha, 7-8 de Outubro, pp 445-448.
artigo [ pdf (27KB)] | apresentação [ pdf (28KB) ]</v>
      </c>
      <c r="C245" s="2">
        <f t="shared" ca="1" si="0"/>
        <v>26</v>
      </c>
      <c r="D245" t="str">
        <f t="shared" ca="1" si="8"/>
        <v xml:space="preserve">Xavier, J. e Gouveia, L. </v>
      </c>
      <c r="E245" t="str">
        <f t="shared" ca="1" si="1"/>
        <v>2004</v>
      </c>
      <c r="F245" t="str">
        <f t="shared" ca="1" si="2"/>
        <v xml:space="preserve"> O relacionamento com o cidadão: a 
importância do território. </v>
      </c>
      <c r="G245" s="3">
        <f t="shared" ca="1" si="3"/>
        <v>31</v>
      </c>
      <c r="H245" s="2">
        <f t="shared" ca="1" si="4"/>
        <v>94</v>
      </c>
      <c r="I245" t="e">
        <f t="shared" ca="1" si="5"/>
        <v>#VALUE!</v>
      </c>
      <c r="J245" s="3" t="e">
        <f t="shared" ca="1" si="9"/>
        <v>#VALUE!</v>
      </c>
      <c r="K245" t="str">
        <f t="shared" ca="1" si="6"/>
        <v xml:space="preserve">Xavier, J. e Gouveia, L. </v>
      </c>
      <c r="L245" t="str">
        <f t="shared" ca="1" si="7"/>
        <v xml:space="preserve">Quental, C. </v>
      </c>
    </row>
    <row r="246" spans="1:16" ht="15.75" customHeight="1">
      <c r="A246">
        <f ca="1">IFERROR(__xludf.DUMMYFUNCTION("""COMPUTED_VALUE"""),48)</f>
        <v>48</v>
      </c>
      <c r="B246" t="str">
        <f ca="1">IFERROR(__xludf.DUMMYFUNCTION("""COMPUTED_VALUE"""),"Gouveia, L.; Xavier, J. and Gouveia, J. (2004). People and Digital Cities: 
Promote innovation and information use. 15th Biennial Conference ITS 2004. 
International Telecommunications Society. Berlin Germany. September 4-7.")</f>
        <v>Gouveia, L.; Xavier, J. and Gouveia, J. (2004). People and Digital Cities: 
Promote innovation and information use. 15th Biennial Conference ITS 2004. 
International Telecommunications Society. Berlin Germany. September 4-7.</v>
      </c>
      <c r="C246" s="2">
        <f t="shared" ca="1" si="0"/>
        <v>41</v>
      </c>
      <c r="D246" t="str">
        <f t="shared" ca="1" si="8"/>
        <v xml:space="preserve">Gouveia, L.; Xavier, J. and Gouveia, J. </v>
      </c>
      <c r="E246" t="str">
        <f t="shared" ca="1" si="1"/>
        <v>2004</v>
      </c>
      <c r="F246" t="str">
        <f t="shared" ca="1" si="2"/>
        <v xml:space="preserve"> People and Digital Cities: 
Promote innovation and information use. </v>
      </c>
      <c r="G246" s="3">
        <f t="shared" ca="1" si="3"/>
        <v>46</v>
      </c>
      <c r="H246" s="2">
        <f t="shared" ca="1" si="4"/>
        <v>115</v>
      </c>
      <c r="I246" t="e">
        <f t="shared" ca="1" si="5"/>
        <v>#VALUE!</v>
      </c>
      <c r="J246" s="3" t="e">
        <f t="shared" ca="1" si="9"/>
        <v>#VALUE!</v>
      </c>
      <c r="K246" t="str">
        <f t="shared" ca="1" si="6"/>
        <v xml:space="preserve">Gouveia, L.; Xavier, J. ; Gouveia, J. </v>
      </c>
      <c r="L246" t="str">
        <f t="shared" ca="1" si="7"/>
        <v xml:space="preserve">Quental, C. </v>
      </c>
      <c r="M246" t="str">
        <f ca="1">IFERROR(__xludf.DUMMYFUNCTION("""COMPUTED_VALUE""")," Xavier, J. ")</f>
        <v xml:space="preserve"> Xavier, J. </v>
      </c>
      <c r="N246" t="str">
        <f ca="1">IFERROR(__xludf.DUMMYFUNCTION("""COMPUTED_VALUE""")," Gouveia, J. ")</f>
        <v xml:space="preserve"> Gouveia, J. </v>
      </c>
    </row>
    <row r="247" spans="1:16" ht="15.75" customHeight="1">
      <c r="A247">
        <f ca="1">IFERROR(__xludf.DUMMYFUNCTION("""COMPUTED_VALUE"""),47)</f>
        <v>47</v>
      </c>
      <c r="B247" t="str">
        <f ca="1">IFERROR(__xludf.DUMMYFUNCTION("""COMPUTED_VALUE"""),"Gouveia, L. (2004). Information Overload: the case for e-learning within 
Gaia Digital. 3rd Global Conference. The Idea of Education. CERGE-EI. 
Prague, Czech Republic. August 9-11.")</f>
        <v>Gouveia, L. (2004). Information Overload: the case for e-learning within 
Gaia Digital. 3rd Global Conference. The Idea of Education. CERGE-EI. 
Prague, Czech Republic. August 9-11.</v>
      </c>
      <c r="C247" s="2">
        <f t="shared" ca="1" si="0"/>
        <v>13</v>
      </c>
      <c r="D247" t="str">
        <f t="shared" ca="1" si="8"/>
        <v xml:space="preserve">Gouveia, L. </v>
      </c>
      <c r="E247" t="str">
        <f t="shared" ca="1" si="1"/>
        <v>2004</v>
      </c>
      <c r="F247" t="str">
        <f t="shared" ca="1" si="2"/>
        <v xml:space="preserve"> Information Overload: the case for e-learning within 
Gaia Digital. </v>
      </c>
      <c r="G247" s="3">
        <f t="shared" ca="1" si="3"/>
        <v>18</v>
      </c>
      <c r="H247" s="2">
        <f t="shared" ca="1" si="4"/>
        <v>87</v>
      </c>
      <c r="I247" t="e">
        <f t="shared" ca="1" si="5"/>
        <v>#VALUE!</v>
      </c>
      <c r="J247" s="3" t="e">
        <f t="shared" ca="1" si="9"/>
        <v>#VALUE!</v>
      </c>
      <c r="K247" t="str">
        <f t="shared" ca="1" si="6"/>
        <v xml:space="preserve">Gouveia, L. </v>
      </c>
      <c r="L247" t="str">
        <f t="shared" ca="1" si="7"/>
        <v xml:space="preserve">Quental, C. </v>
      </c>
    </row>
    <row r="248" spans="1:16" ht="15.75" customHeight="1">
      <c r="A248">
        <f ca="1">IFERROR(__xludf.DUMMYFUNCTION("""COMPUTED_VALUE"""),46)</f>
        <v>46</v>
      </c>
      <c r="B248" t="str">
        <f ca="1">IFERROR(__xludf.DUMMYFUNCTION("""COMPUTED_VALUE"""),"Gouveia, L. (2004). *Using visuals to convey information*. 6th 
International Conference on Enterprise Information Systems. Universidade 
Portucalense, Porto - Portugal 14-17, April 2004")</f>
        <v>Gouveia, L. (2004). *Using visuals to convey information*. 6th 
International Conference on Enterprise Information Systems. Universidade 
Portucalense, Porto - Portugal 14-17, April 2004</v>
      </c>
      <c r="C248" s="2">
        <f t="shared" ca="1" si="0"/>
        <v>13</v>
      </c>
      <c r="D248" t="str">
        <f t="shared" ca="1" si="8"/>
        <v xml:space="preserve">Gouveia, L. </v>
      </c>
      <c r="E248" t="str">
        <f t="shared" ca="1" si="1"/>
        <v>2004</v>
      </c>
      <c r="F248" t="str">
        <f t="shared" ca="1" si="2"/>
        <v xml:space="preserve"> *Using visuals to convey information*. </v>
      </c>
      <c r="G248" s="3">
        <f t="shared" ca="1" si="3"/>
        <v>18</v>
      </c>
      <c r="H248" s="2">
        <f t="shared" ca="1" si="4"/>
        <v>58</v>
      </c>
      <c r="I248" t="e">
        <f t="shared" ca="1" si="5"/>
        <v>#VALUE!</v>
      </c>
      <c r="J248" s="3" t="e">
        <f t="shared" ca="1" si="9"/>
        <v>#VALUE!</v>
      </c>
      <c r="K248" t="str">
        <f t="shared" ca="1" si="6"/>
        <v xml:space="preserve">Gouveia, L. </v>
      </c>
      <c r="L248" t="str">
        <f t="shared" ca="1" si="7"/>
        <v xml:space="preserve">Quental, C. </v>
      </c>
    </row>
    <row r="249" spans="1:16" ht="15.75" customHeight="1">
      <c r="A249">
        <f ca="1">IFERROR(__xludf.DUMMYFUNCTION("""COMPUTED_VALUE"""),45)</f>
        <v>45</v>
      </c>
      <c r="B249" t="str">
        <f ca="1">IFERROR(__xludf.DUMMYFUNCTION("""COMPUTED_VALUE"""),"Azevedo, M. e Gouveia, L. (2003). Repensar a missão da biblioteca pública 
na Gestão das TIC. Full paper at Conferência Ibero-Americana WWW/Internet 
2003. Algarve, Portugal. 8 e 9 Novembro.")</f>
        <v>Azevedo, M. e Gouveia, L. (2003). Repensar a missão da biblioteca pública 
na Gestão das TIC. Full paper at Conferência Ibero-Americana WWW/Internet 
2003. Algarve, Portugal. 8 e 9 Novembro.</v>
      </c>
      <c r="C249" s="2">
        <f t="shared" ca="1" si="0"/>
        <v>27</v>
      </c>
      <c r="D249" t="str">
        <f t="shared" ca="1" si="8"/>
        <v xml:space="preserve">Azevedo, M. e Gouveia, L. </v>
      </c>
      <c r="E249" t="str">
        <f t="shared" ca="1" si="1"/>
        <v>2003</v>
      </c>
      <c r="F249" t="str">
        <f t="shared" ca="1" si="2"/>
        <v xml:space="preserve"> Repensar a missão da biblioteca pública 
na Gestão das TIC. </v>
      </c>
      <c r="G249" s="3">
        <f t="shared" ca="1" si="3"/>
        <v>32</v>
      </c>
      <c r="H249" s="2">
        <f t="shared" ca="1" si="4"/>
        <v>93</v>
      </c>
      <c r="I249" t="e">
        <f t="shared" ca="1" si="5"/>
        <v>#VALUE!</v>
      </c>
      <c r="J249" s="3" t="e">
        <f t="shared" ca="1" si="9"/>
        <v>#VALUE!</v>
      </c>
      <c r="K249" t="str">
        <f t="shared" ca="1" si="6"/>
        <v xml:space="preserve">Azevedo, M. e Gouveia, L. </v>
      </c>
      <c r="L249" t="str">
        <f t="shared" ca="1" si="7"/>
        <v xml:space="preserve">Quental, C. </v>
      </c>
    </row>
    <row r="250" spans="1:16" ht="15.75" customHeight="1">
      <c r="A250">
        <f ca="1">IFERROR(__xludf.DUMMYFUNCTION("""COMPUTED_VALUE"""),44)</f>
        <v>44</v>
      </c>
      <c r="B250" t="str">
        <f ca="1">IFERROR(__xludf.DUMMYFUNCTION("""COMPUTED_VALUE"""),"Xavier, J. e Gouveia, L. e Gouveia, J. (2003). A Gestão do Relacionamento 
com o Cidadão em Cidades e Regiões Digitais. Full paper at Conferência 
Ibero-Americana WWW/Internet 2003. Algarve, Portugal. 8 e 9 Novembro.")</f>
        <v>Xavier, J. e Gouveia, L. e Gouveia, J. (2003). A Gestão do Relacionamento 
com o Cidadão em Cidades e Regiões Digitais. Full paper at Conferência 
Ibero-Americana WWW/Internet 2003. Algarve, Portugal. 8 e 9 Novembro.</v>
      </c>
      <c r="C250" s="2">
        <f t="shared" ca="1" si="0"/>
        <v>40</v>
      </c>
      <c r="D250" t="str">
        <f t="shared" ca="1" si="8"/>
        <v xml:space="preserve">Xavier, J. e Gouveia, L. e Gouveia, J. </v>
      </c>
      <c r="E250" t="str">
        <f t="shared" ca="1" si="1"/>
        <v>2003</v>
      </c>
      <c r="F250" t="str">
        <f t="shared" ca="1" si="2"/>
        <v xml:space="preserve"> A Gestão do Relacionamento 
com o Cidadão em Cidades e Regiões Digitais. </v>
      </c>
      <c r="G250" s="3">
        <f t="shared" ca="1" si="3"/>
        <v>45</v>
      </c>
      <c r="H250" s="2">
        <f t="shared" ca="1" si="4"/>
        <v>119</v>
      </c>
      <c r="I250" t="e">
        <f t="shared" ca="1" si="5"/>
        <v>#VALUE!</v>
      </c>
      <c r="J250" s="3" t="e">
        <f t="shared" ca="1" si="9"/>
        <v>#VALUE!</v>
      </c>
      <c r="K250" t="str">
        <f t="shared" ca="1" si="6"/>
        <v xml:space="preserve">Xavier, J. e Gouveia, L. e Gouveia, J. </v>
      </c>
      <c r="L250" t="str">
        <f t="shared" ca="1" si="7"/>
        <v xml:space="preserve">Quental, C. </v>
      </c>
    </row>
    <row r="251" spans="1:16" ht="15.75" customHeight="1">
      <c r="A251">
        <f ca="1">IFERROR(__xludf.DUMMYFUNCTION("""COMPUTED_VALUE"""),43)</f>
        <v>43</v>
      </c>
      <c r="B251" t="str">
        <f ca="1">IFERROR(__xludf.DUMMYFUNCTION("""COMPUTED_VALUE"""),"Gomes, F. and Gouveia, L. (2003). A Web Application To Support Higher 
Education Teaching Administrative Work. Short paper at IADIS International 
Conference WWW/Internet 2003. Algarve, Portugal. 5-8 November.")</f>
        <v>Gomes, F. and Gouveia, L. (2003). A Web Application To Support Higher 
Education Teaching Administrative Work. Short paper at IADIS International 
Conference WWW/Internet 2003. Algarve, Portugal. 5-8 November.</v>
      </c>
      <c r="C251" s="2">
        <f t="shared" ca="1" si="0"/>
        <v>27</v>
      </c>
      <c r="D251" t="str">
        <f t="shared" ca="1" si="8"/>
        <v xml:space="preserve">Gomes, F. and Gouveia, L. </v>
      </c>
      <c r="E251" t="str">
        <f t="shared" ca="1" si="1"/>
        <v>2003</v>
      </c>
      <c r="F251" t="str">
        <f t="shared" ca="1" si="2"/>
        <v xml:space="preserve"> A Web Application To Support Higher 
Education Teaching Administrative Work. </v>
      </c>
      <c r="G251" s="3">
        <f t="shared" ca="1" si="3"/>
        <v>32</v>
      </c>
      <c r="H251" s="2">
        <f t="shared" ca="1" si="4"/>
        <v>110</v>
      </c>
      <c r="I251" t="e">
        <f t="shared" ca="1" si="5"/>
        <v>#VALUE!</v>
      </c>
      <c r="J251" s="3" t="e">
        <f t="shared" ca="1" si="9"/>
        <v>#VALUE!</v>
      </c>
      <c r="K251" t="str">
        <f t="shared" ca="1" si="6"/>
        <v xml:space="preserve">Gomes, F. ; Gouveia, L. </v>
      </c>
      <c r="L251" t="str">
        <f t="shared" ca="1" si="7"/>
        <v xml:space="preserve">Quental, C. </v>
      </c>
      <c r="M251" t="str">
        <f ca="1">IFERROR(__xludf.DUMMYFUNCTION("""COMPUTED_VALUE""")," Gouveia, L. ")</f>
        <v xml:space="preserve"> Gouveia, L. </v>
      </c>
    </row>
    <row r="252" spans="1:16" ht="15.75" customHeight="1">
      <c r="A252">
        <f ca="1">IFERROR(__xludf.DUMMYFUNCTION("""COMPUTED_VALUE"""),42)</f>
        <v>42</v>
      </c>
      <c r="B252" t="str">
        <f ca="1">IFERROR(__xludf.DUMMYFUNCTION("""COMPUTED_VALUE"""),"Gouveia, L. (2003). Connecting The Real And The Virtual World: How To 
Measure Digital Cities Impact. Short paper at IADIS International 
Conference WWW/Internet 2003. Algarve, Portugal. 5-8 November.")</f>
        <v>Gouveia, L. (2003). Connecting The Real And The Virtual World: How To 
Measure Digital Cities Impact. Short paper at IADIS International 
Conference WWW/Internet 2003. Algarve, Portugal. 5-8 November.</v>
      </c>
      <c r="C252" s="2">
        <f t="shared" ca="1" si="0"/>
        <v>13</v>
      </c>
      <c r="D252" t="str">
        <f t="shared" ca="1" si="8"/>
        <v xml:space="preserve">Gouveia, L. </v>
      </c>
      <c r="E252" t="str">
        <f t="shared" ca="1" si="1"/>
        <v>2003</v>
      </c>
      <c r="F252" t="str">
        <f t="shared" ca="1" si="2"/>
        <v xml:space="preserve"> Connecting The Real And The Virtual World: How To 
Measure Digital Cities Impact. </v>
      </c>
      <c r="G252" s="3">
        <f t="shared" ca="1" si="3"/>
        <v>18</v>
      </c>
      <c r="H252" s="2">
        <f t="shared" ca="1" si="4"/>
        <v>101</v>
      </c>
      <c r="I252" t="e">
        <f t="shared" ca="1" si="5"/>
        <v>#VALUE!</v>
      </c>
      <c r="J252" s="3" t="e">
        <f t="shared" ca="1" si="9"/>
        <v>#VALUE!</v>
      </c>
      <c r="K252" t="str">
        <f t="shared" ca="1" si="6"/>
        <v xml:space="preserve">Gouveia, L. </v>
      </c>
      <c r="L252" t="str">
        <f t="shared" ca="1" si="7"/>
        <v xml:space="preserve">Quental, C. </v>
      </c>
    </row>
    <row r="253" spans="1:16" ht="15.75" customHeight="1">
      <c r="A253">
        <f ca="1">IFERROR(__xludf.DUMMYFUNCTION("""COMPUTED_VALUE"""),41)</f>
        <v>41</v>
      </c>
      <c r="B253" t="str">
        <f ca="1">IFERROR(__xludf.DUMMYFUNCTION("""COMPUTED_VALUE"""),"Gouveia, L. and Gouveia, J. (2003). Local e-government: how useful is a 
digital cities rationale. Paper at eChallenges e-2003 IST International 
Conference. 22-24 October 2003. Palazzo Re Enzo. Bologna, Italy.")</f>
        <v>Gouveia, L. and Gouveia, J. (2003). Local e-government: how useful is a 
digital cities rationale. Paper at eChallenges e-2003 IST International 
Conference. 22-24 October 2003. Palazzo Re Enzo. Bologna, Italy.</v>
      </c>
      <c r="C253" s="2">
        <f t="shared" ca="1" si="0"/>
        <v>29</v>
      </c>
      <c r="D253" t="str">
        <f t="shared" ca="1" si="8"/>
        <v xml:space="preserve">Gouveia, L. and Gouveia, J. </v>
      </c>
      <c r="E253" t="str">
        <f t="shared" ca="1" si="1"/>
        <v>2003</v>
      </c>
      <c r="F253" t="str">
        <f t="shared" ca="1" si="2"/>
        <v xml:space="preserve"> Local e-government: how useful is a 
digital cities rationale. </v>
      </c>
      <c r="G253" s="3">
        <f t="shared" ca="1" si="3"/>
        <v>34</v>
      </c>
      <c r="H253" s="2">
        <f t="shared" ca="1" si="4"/>
        <v>98</v>
      </c>
      <c r="I253" t="e">
        <f t="shared" ca="1" si="5"/>
        <v>#VALUE!</v>
      </c>
      <c r="J253" s="3" t="e">
        <f t="shared" ca="1" si="9"/>
        <v>#VALUE!</v>
      </c>
      <c r="K253" t="str">
        <f t="shared" ca="1" si="6"/>
        <v xml:space="preserve">Gouveia, L. ; Gouveia, J. </v>
      </c>
      <c r="L253" t="str">
        <f t="shared" ca="1" si="7"/>
        <v xml:space="preserve">Quental, C. </v>
      </c>
      <c r="M253" t="str">
        <f ca="1">IFERROR(__xludf.DUMMYFUNCTION("""COMPUTED_VALUE""")," Gouveia, J. ")</f>
        <v xml:space="preserve"> Gouveia, J. </v>
      </c>
    </row>
    <row r="254" spans="1:16" ht="15.75" customHeight="1">
      <c r="A254">
        <f ca="1">IFERROR(__xludf.DUMMYFUNCTION("""COMPUTED_VALUE"""),40)</f>
        <v>40</v>
      </c>
      <c r="B254" t="str">
        <f ca="1">IFERROR(__xludf.DUMMYFUNCTION("""COMPUTED_VALUE"""),"Sacau, A.; Gouveia, L.; Ribeiro, N.; Gouveia, F. and Biocca, F. (2003). *Presence 
in Computer-Mediated Environments: a Short Review of the main concepts, 
theories, and trends.* IADIS International Conference e-Society 2003. 
Lisbon, Portugal. 3-6 June 2"&amp;"003.")</f>
        <v>Sacau, A.; Gouveia, L.; Ribeiro, N.; Gouveia, F. and Biocca, F. (2003). *Presence 
in Computer-Mediated Environments: a Short Review of the main concepts, 
theories, and trends.* IADIS International Conference e-Society 2003. 
Lisbon, Portugal. 3-6 June 2003.</v>
      </c>
      <c r="C254" s="2">
        <f t="shared" ca="1" si="0"/>
        <v>65</v>
      </c>
      <c r="D254" t="str">
        <f t="shared" ca="1" si="8"/>
        <v xml:space="preserve">Sacau, A.; Gouveia, L.; Ribeiro, N.; Gouveia, F. and Biocca, F. </v>
      </c>
      <c r="E254" t="str">
        <f t="shared" ca="1" si="1"/>
        <v>2003</v>
      </c>
      <c r="F254" t="str">
        <f t="shared" ca="1" si="2"/>
        <v xml:space="preserve"> *Presence 
in Computer-Mediated Environments: a Short Review of the main concepts, 
theories, and trends.*</v>
      </c>
      <c r="G254" s="3">
        <f t="shared" ca="1" si="3"/>
        <v>70</v>
      </c>
      <c r="H254" s="2">
        <f t="shared" ca="1" si="4"/>
        <v>177</v>
      </c>
      <c r="I254" t="e">
        <f t="shared" ca="1" si="5"/>
        <v>#VALUE!</v>
      </c>
      <c r="J254" s="3" t="e">
        <f t="shared" ca="1" si="9"/>
        <v>#VALUE!</v>
      </c>
      <c r="K254" t="str">
        <f t="shared" ca="1" si="6"/>
        <v xml:space="preserve">Sacau, A.; Gouveia, L.; Ribeiro, N.; Gouveia, F. ; Biocca, F. </v>
      </c>
      <c r="L254" t="str">
        <f t="shared" ca="1" si="7"/>
        <v xml:space="preserve">Quental, C. </v>
      </c>
      <c r="M254" t="str">
        <f ca="1">IFERROR(__xludf.DUMMYFUNCTION("""COMPUTED_VALUE""")," Gouveia, L.")</f>
        <v xml:space="preserve"> Gouveia, L.</v>
      </c>
      <c r="N254" t="str">
        <f ca="1">IFERROR(__xludf.DUMMYFUNCTION("""COMPUTED_VALUE""")," Ribeiro, N.")</f>
        <v xml:space="preserve"> Ribeiro, N.</v>
      </c>
      <c r="O254" t="str">
        <f ca="1">IFERROR(__xludf.DUMMYFUNCTION("""COMPUTED_VALUE""")," Gouveia, F. ")</f>
        <v xml:space="preserve"> Gouveia, F. </v>
      </c>
      <c r="P254" t="str">
        <f ca="1">IFERROR(__xludf.DUMMYFUNCTION("""COMPUTED_VALUE""")," Biocca, F. ")</f>
        <v xml:space="preserve"> Biocca, F. </v>
      </c>
    </row>
    <row r="255" spans="1:16" ht="15.75" customHeight="1">
      <c r="A255">
        <f ca="1">IFERROR(__xludf.DUMMYFUNCTION("""COMPUTED_VALUE"""),39)</f>
        <v>39</v>
      </c>
      <c r="B255" t="str">
        <f ca="1">IFERROR(__xludf.DUMMYFUNCTION("""COMPUTED_VALUE"""),"Gouveia, F. and Gouveia, L. (2003). *Assuming a roadmap strategy for 
e-business.* 5th International Conference on Enterprise Information 
Systems. École Supérieure d' Électronique de l' Ouest. Angers, France. 
23-26, April 2003.")</f>
        <v>Gouveia, F. and Gouveia, L. (2003). *Assuming a roadmap strategy for 
e-business.* 5th International Conference on Enterprise Information 
Systems. École Supérieure d' Électronique de l' Ouest. Angers, France. 
23-26, April 2003.</v>
      </c>
      <c r="C255" s="2">
        <f t="shared" ca="1" si="0"/>
        <v>29</v>
      </c>
      <c r="D255" t="str">
        <f t="shared" ca="1" si="8"/>
        <v xml:space="preserve">Gouveia, F. and Gouveia, L. </v>
      </c>
      <c r="E255" t="str">
        <f t="shared" ca="1" si="1"/>
        <v>2003</v>
      </c>
      <c r="F255" t="str">
        <f t="shared" ca="1" si="2"/>
        <v xml:space="preserve"> *Assuming a roadmap strategy for 
e-business.*</v>
      </c>
      <c r="G255" s="3">
        <f t="shared" ca="1" si="3"/>
        <v>34</v>
      </c>
      <c r="H255" s="2">
        <f t="shared" ca="1" si="4"/>
        <v>81</v>
      </c>
      <c r="I255" t="e">
        <f t="shared" ca="1" si="5"/>
        <v>#VALUE!</v>
      </c>
      <c r="J255" s="3" t="e">
        <f t="shared" ca="1" si="9"/>
        <v>#VALUE!</v>
      </c>
      <c r="K255" t="str">
        <f t="shared" ca="1" si="6"/>
        <v xml:space="preserve">Gouveia, F. ; Gouveia, L. </v>
      </c>
      <c r="L255" t="str">
        <f t="shared" ca="1" si="7"/>
        <v xml:space="preserve">Quental, C. </v>
      </c>
      <c r="M255" t="str">
        <f ca="1">IFERROR(__xludf.DUMMYFUNCTION("""COMPUTED_VALUE""")," Gouveia, L. ")</f>
        <v xml:space="preserve"> Gouveia, L. </v>
      </c>
    </row>
    <row r="256" spans="1:16" ht="15.75" customHeight="1">
      <c r="A256">
        <f ca="1">IFERROR(__xludf.DUMMYFUNCTION("""COMPUTED_VALUE"""),38)</f>
        <v>38</v>
      </c>
      <c r="B256" t="str">
        <f ca="1">IFERROR(__xludf.DUMMYFUNCTION("""COMPUTED_VALUE"""),"Gouveia, L. and Gouveia, J. (2003). *Taking advantage of digital benefits 
for digital outcomes.* International Conference Teaching and Learning in 
Higher Education: New Trends and Innovations. ICHEd. 13-17 April. 
University of Aveiro, Portugal.  
paper"&amp;" [ pdf (32KB)]")</f>
        <v>Gouveia, L. and Gouveia, J. (2003). *Taking advantage of digital benefits 
for digital outcomes.* International Conference Teaching and Learning in 
Higher Education: New Trends and Innovations. ICHEd. 13-17 April. 
University of Aveiro, Portugal.  
paper [ pdf (32KB)]</v>
      </c>
      <c r="C256" s="2">
        <f t="shared" ca="1" si="0"/>
        <v>29</v>
      </c>
      <c r="D256" t="str">
        <f t="shared" ca="1" si="8"/>
        <v xml:space="preserve">Gouveia, L. and Gouveia, J. </v>
      </c>
      <c r="E256" t="str">
        <f t="shared" ca="1" si="1"/>
        <v>2003</v>
      </c>
      <c r="F256" t="str">
        <f t="shared" ca="1" si="2"/>
        <v xml:space="preserve"> *Taking advantage of digital benefits 
for digital outcomes.*</v>
      </c>
      <c r="G256" s="3">
        <f t="shared" ca="1" si="3"/>
        <v>34</v>
      </c>
      <c r="H256" s="2">
        <f t="shared" ca="1" si="4"/>
        <v>96</v>
      </c>
      <c r="I256" t="e">
        <f t="shared" ca="1" si="5"/>
        <v>#VALUE!</v>
      </c>
      <c r="J256" s="3" t="e">
        <f t="shared" ca="1" si="9"/>
        <v>#VALUE!</v>
      </c>
      <c r="K256" t="str">
        <f t="shared" ca="1" si="6"/>
        <v xml:space="preserve">Gouveia, L. ; Gouveia, J. </v>
      </c>
      <c r="L256" t="str">
        <f t="shared" ca="1" si="7"/>
        <v xml:space="preserve">Quental, C. </v>
      </c>
      <c r="M256" t="str">
        <f ca="1">IFERROR(__xludf.DUMMYFUNCTION("""COMPUTED_VALUE""")," Gouveia, J. ")</f>
        <v xml:space="preserve"> Gouveia, J. </v>
      </c>
    </row>
    <row r="257" spans="1:14" ht="15.75" customHeight="1">
      <c r="A257">
        <f ca="1">IFERROR(__xludf.DUMMYFUNCTION("""COMPUTED_VALUE"""),37)</f>
        <v>37</v>
      </c>
      <c r="B257" t="str">
        <f ca="1">IFERROR(__xludf.DUMMYFUNCTION("""COMPUTED_VALUE"""),"Gouveia, L. and Gouveia, J. (2003). *E-learning: an opportunity to support 
the individual, the group and the community.* International Conference 
Teaching and Learning in Higher Education: New Trends and Innovations. 
ICHEd. 13-17 April. University of A"&amp;"veiro, Portugal.")</f>
        <v>Gouveia, L. and Gouveia, J. (2003). *E-learning: an opportunity to support 
the individual, the group and the community.* International Conference 
Teaching and Learning in Higher Education: New Trends and Innovations. 
ICHEd. 13-17 April. University of Aveiro, Portugal.</v>
      </c>
      <c r="C257" s="2">
        <f t="shared" ca="1" si="0"/>
        <v>29</v>
      </c>
      <c r="D257" t="str">
        <f t="shared" ca="1" si="8"/>
        <v xml:space="preserve">Gouveia, L. and Gouveia, J. </v>
      </c>
      <c r="E257" t="str">
        <f t="shared" ca="1" si="1"/>
        <v>2003</v>
      </c>
      <c r="F257" t="str">
        <f t="shared" ca="1" si="2"/>
        <v xml:space="preserve"> *E-learning: an opportunity to support 
the individual, the group and the community.*</v>
      </c>
      <c r="G257" s="3">
        <f t="shared" ca="1" si="3"/>
        <v>34</v>
      </c>
      <c r="H257" s="2">
        <f t="shared" ca="1" si="4"/>
        <v>120</v>
      </c>
      <c r="I257" t="e">
        <f t="shared" ca="1" si="5"/>
        <v>#VALUE!</v>
      </c>
      <c r="J257" s="3" t="e">
        <f t="shared" ca="1" si="9"/>
        <v>#VALUE!</v>
      </c>
      <c r="K257" t="str">
        <f t="shared" ca="1" si="6"/>
        <v xml:space="preserve">Gouveia, L. ; Gouveia, J. </v>
      </c>
      <c r="L257" t="str">
        <f t="shared" ca="1" si="7"/>
        <v xml:space="preserve">Quental, C. </v>
      </c>
      <c r="M257" t="str">
        <f ca="1">IFERROR(__xludf.DUMMYFUNCTION("""COMPUTED_VALUE""")," Gouveia, J. ")</f>
        <v xml:space="preserve"> Gouveia, J. </v>
      </c>
    </row>
    <row r="258" spans="1:14" ht="15.75" customHeight="1">
      <c r="A258">
        <f ca="1">IFERROR(__xludf.DUMMYFUNCTION("""COMPUTED_VALUE"""),36)</f>
        <v>36</v>
      </c>
      <c r="B258" t="str">
        <f ca="1">IFERROR(__xludf.DUMMYFUNCTION("""COMPUTED_VALUE"""),"Rurato, P.; Gouveia, L. and Gouveia, J. (2002). *A Study on Adult Education 
and Distance Learning*. International Conference on Information and 
Communication Technologies in Education. Badajoz, Spain, 13-16 November. 
Poster. 
paper [ pdf(22KB)]")</f>
        <v>Rurato, P.; Gouveia, L. and Gouveia, J. (2002). *A Study on Adult Education 
and Distance Learning*. International Conference on Information and 
Communication Technologies in Education. Badajoz, Spain, 13-16 November. 
Poster. 
paper [ pdf(22KB)]</v>
      </c>
      <c r="C258" s="2">
        <f t="shared" ca="1" si="0"/>
        <v>41</v>
      </c>
      <c r="D258" t="str">
        <f t="shared" ca="1" si="8"/>
        <v xml:space="preserve">Rurato, P.; Gouveia, L. and Gouveia, J. </v>
      </c>
      <c r="E258" t="str">
        <f t="shared" ca="1" si="1"/>
        <v>2002</v>
      </c>
      <c r="F258" t="str">
        <f t="shared" ca="1" si="2"/>
        <v xml:space="preserve"> *A Study on Adult Education 
and Distance Learning*. </v>
      </c>
      <c r="G258" s="3">
        <f t="shared" ca="1" si="3"/>
        <v>46</v>
      </c>
      <c r="H258" s="2">
        <f t="shared" ca="1" si="4"/>
        <v>100</v>
      </c>
      <c r="I258" t="e">
        <f t="shared" ca="1" si="5"/>
        <v>#VALUE!</v>
      </c>
      <c r="J258" s="3" t="e">
        <f t="shared" ca="1" si="9"/>
        <v>#VALUE!</v>
      </c>
      <c r="K258" t="str">
        <f t="shared" ca="1" si="6"/>
        <v xml:space="preserve">Rurato, P.; Gouveia, L. ; Gouveia, J. </v>
      </c>
      <c r="L258" t="str">
        <f t="shared" ca="1" si="7"/>
        <v xml:space="preserve">Quental, C. </v>
      </c>
      <c r="M258" t="str">
        <f ca="1">IFERROR(__xludf.DUMMYFUNCTION("""COMPUTED_VALUE""")," Gouveia, L. ")</f>
        <v xml:space="preserve"> Gouveia, L. </v>
      </c>
      <c r="N258" t="str">
        <f ca="1">IFERROR(__xludf.DUMMYFUNCTION("""COMPUTED_VALUE""")," Gouveia, J. ")</f>
        <v xml:space="preserve"> Gouveia, J. </v>
      </c>
    </row>
    <row r="259" spans="1:14" ht="15.75" customHeight="1">
      <c r="A259">
        <f ca="1">IFERROR(__xludf.DUMMYFUNCTION("""COMPUTED_VALUE"""),35)</f>
        <v>35</v>
      </c>
      <c r="B259" t="str">
        <f ca="1">IFERROR(__xludf.DUMMYFUNCTION("""COMPUTED_VALUE"""),"Gouveia, L. (2002). *A Proposal to Support Collaborative Learning: using a 
structure to share context*. International Conference on Information and 
Communication Technologies in Education. Badajoz, Spain, 13-16 November. 
Full paper. 
paper [ pdf (34KB)"&amp;"] | presentation [ pdf(14KB)]")</f>
        <v>Gouveia, L. (2002). *A Proposal to Support Collaborative Learning: using a 
structure to share context*. International Conference on Information and 
Communication Technologies in Education. Badajoz, Spain, 13-16 November. 
Full paper. 
paper [ pdf (34KB)] | presentation [ pdf(14KB)]</v>
      </c>
      <c r="C259" s="2">
        <f t="shared" ca="1" si="0"/>
        <v>13</v>
      </c>
      <c r="D259" t="str">
        <f t="shared" ca="1" si="8"/>
        <v xml:space="preserve">Gouveia, L. </v>
      </c>
      <c r="E259" t="str">
        <f t="shared" ca="1" si="1"/>
        <v>2002</v>
      </c>
      <c r="F259" t="str">
        <f t="shared" ca="1" si="2"/>
        <v xml:space="preserve"> *A Proposal to Support Collaborative Learning: using a 
structure to share context*. </v>
      </c>
      <c r="G259" s="3">
        <f t="shared" ca="1" si="3"/>
        <v>18</v>
      </c>
      <c r="H259" s="2">
        <f t="shared" ca="1" si="4"/>
        <v>104</v>
      </c>
      <c r="I259" t="e">
        <f t="shared" ca="1" si="5"/>
        <v>#VALUE!</v>
      </c>
      <c r="J259" s="3" t="e">
        <f t="shared" ca="1" si="9"/>
        <v>#VALUE!</v>
      </c>
      <c r="K259" t="str">
        <f t="shared" ca="1" si="6"/>
        <v xml:space="preserve">Gouveia, L. </v>
      </c>
      <c r="L259" t="str">
        <f t="shared" ca="1" si="7"/>
        <v xml:space="preserve">Quental, C. </v>
      </c>
    </row>
    <row r="260" spans="1:14" ht="15.75" customHeight="1">
      <c r="A260">
        <f ca="1">IFERROR(__xludf.DUMMYFUNCTION("""COMPUTED_VALUE"""),34)</f>
        <v>34</v>
      </c>
      <c r="B260" t="str">
        <f ca="1">IFERROR(__xludf.DUMMYFUNCTION("""COMPUTED_VALUE"""),"Xavier, J.; Gouveia, L. e Gouveia, J. (2002). *Reflexão sobre o uso de 
sistemas CRM e SIG para suporte ao conceito de cidade digital. 3ª* 
Conferência da Associação Portuguesa de Sistemas de Informação. 20-22 
Novembro, Universidade de Coimbra. Coimbra, "&amp;"Portugal. Actas em CD-ROM ISBN 
972-97548-7-X.
paper [ pdf (38KB)] | presentation [ pdf (392KB)]")</f>
        <v>Xavier, J.; Gouveia, L. e Gouveia, J. (2002). *Reflexão sobre o uso de 
sistemas CRM e SIG para suporte ao conceito de cidade digital. 3ª* 
Conferência da Associação Portuguesa de Sistemas de Informação. 20-22 
Novembro, Universidade de Coimbra. Coimbra, Portugal. Actas em CD-ROM ISBN 
972-97548-7-X.
paper [ pdf (38KB)] | presentation [ pdf (392KB)]</v>
      </c>
      <c r="C260" s="2">
        <f t="shared" ca="1" si="0"/>
        <v>39</v>
      </c>
      <c r="D260" t="str">
        <f t="shared" ca="1" si="8"/>
        <v xml:space="preserve">Xavier, J.; Gouveia, L. e Gouveia, J. </v>
      </c>
      <c r="E260" t="str">
        <f t="shared" ca="1" si="1"/>
        <v>2002</v>
      </c>
      <c r="F260" t="str">
        <f t="shared" ca="1" si="2"/>
        <v xml:space="preserve"> *Reflexão sobre o uso de 
sistemas CRM e SIG para suporte ao conceito de cidade digital. </v>
      </c>
      <c r="G260" s="3">
        <f t="shared" ca="1" si="3"/>
        <v>44</v>
      </c>
      <c r="H260" s="2">
        <f t="shared" ca="1" si="4"/>
        <v>134</v>
      </c>
      <c r="I260" t="e">
        <f t="shared" ca="1" si="5"/>
        <v>#VALUE!</v>
      </c>
      <c r="J260" s="3" t="e">
        <f t="shared" ca="1" si="9"/>
        <v>#VALUE!</v>
      </c>
      <c r="K260" t="str">
        <f t="shared" ca="1" si="6"/>
        <v xml:space="preserve">Xavier, J.; Gouveia, L. e Gouveia, J. </v>
      </c>
      <c r="L260" t="str">
        <f t="shared" ca="1" si="7"/>
        <v xml:space="preserve">Quental, C. </v>
      </c>
      <c r="M260" t="str">
        <f ca="1">IFERROR(__xludf.DUMMYFUNCTION("""COMPUTED_VALUE""")," Gouveia, L. e Gouveia, J. ")</f>
        <v xml:space="preserve"> Gouveia, L. e Gouveia, J. </v>
      </c>
    </row>
    <row r="261" spans="1:14" ht="15.75" customHeight="1">
      <c r="A261">
        <f ca="1">IFERROR(__xludf.DUMMYFUNCTION("""COMPUTED_VALUE"""),33)</f>
        <v>33</v>
      </c>
      <c r="B261" t="str">
        <f ca="1">IFERROR(__xludf.DUMMYFUNCTION("""COMPUTED_VALUE"""),"Gouveia, L. e Gouveia, J. (2002). *Using a content management approach to 
support Web-based learning. 3ª* Conferência da Associação Portuguesa de 
Sistemas de Informação. 20-22 November, Universidade de Coimbra. Coimbra, 
Portugal. Actas em CD-ROM ISBN 9"&amp;"72-97548-7-X. 
paper [ pdf (33KB)] | presentation [ pdf(180KB)]")</f>
        <v>Gouveia, L. e Gouveia, J. (2002). *Using a content management approach to 
support Web-based learning. 3ª* Conferência da Associação Portuguesa de 
Sistemas de Informação. 20-22 November, Universidade de Coimbra. Coimbra, 
Portugal. Actas em CD-ROM ISBN 972-97548-7-X. 
paper [ pdf (33KB)] | presentation [ pdf(180KB)]</v>
      </c>
      <c r="C261" s="2">
        <f t="shared" ca="1" si="0"/>
        <v>27</v>
      </c>
      <c r="D261" t="str">
        <f t="shared" ca="1" si="8"/>
        <v xml:space="preserve">Gouveia, L. e Gouveia, J. </v>
      </c>
      <c r="E261" t="str">
        <f t="shared" ca="1" si="1"/>
        <v>2002</v>
      </c>
      <c r="F261" t="str">
        <f t="shared" ca="1" si="2"/>
        <v xml:space="preserve"> *Using a content management approach to 
support Web-based learning. </v>
      </c>
      <c r="G261" s="3">
        <f t="shared" ca="1" si="3"/>
        <v>32</v>
      </c>
      <c r="H261" s="2">
        <f t="shared" ca="1" si="4"/>
        <v>102</v>
      </c>
      <c r="I261" t="e">
        <f t="shared" ca="1" si="5"/>
        <v>#VALUE!</v>
      </c>
      <c r="J261" s="3" t="e">
        <f t="shared" ca="1" si="9"/>
        <v>#VALUE!</v>
      </c>
      <c r="K261" t="str">
        <f t="shared" ca="1" si="6"/>
        <v xml:space="preserve">Gouveia, L. e Gouveia, J. </v>
      </c>
      <c r="L261" t="str">
        <f t="shared" ca="1" si="7"/>
        <v xml:space="preserve">Quental, C. </v>
      </c>
    </row>
    <row r="262" spans="1:14" ht="15.75" customHeight="1">
      <c r="A262">
        <f ca="1">IFERROR(__xludf.DUMMYFUNCTION("""COMPUTED_VALUE"""),32)</f>
        <v>32</v>
      </c>
      <c r="B262" t="str">
        <f ca="1">IFERROR(__xludf.DUMMYFUNCTION("""COMPUTED_VALUE"""),"Gouveia, L. and Gouveia, J. (2002). *Digital cities: the Gaia Digital 
approach*. IADIS International Conference WWW/Internet 2002. Lisbon, 
Portugal, 13-15 November. 
paper [ pdf(82KB)]")</f>
        <v>Gouveia, L. and Gouveia, J. (2002). *Digital cities: the Gaia Digital 
approach*. IADIS International Conference WWW/Internet 2002. Lisbon, 
Portugal, 13-15 November. 
paper [ pdf(82KB)]</v>
      </c>
      <c r="C262" s="2">
        <f t="shared" ca="1" si="0"/>
        <v>29</v>
      </c>
      <c r="D262" t="str">
        <f t="shared" ca="1" si="8"/>
        <v xml:space="preserve">Gouveia, L. and Gouveia, J. </v>
      </c>
      <c r="E262" t="str">
        <f t="shared" ca="1" si="1"/>
        <v>2002</v>
      </c>
      <c r="F262" t="str">
        <f t="shared" ca="1" si="2"/>
        <v xml:space="preserve"> *Digital cities: the Gaia Digital 
approach*. </v>
      </c>
      <c r="G262" s="3">
        <f t="shared" ca="1" si="3"/>
        <v>34</v>
      </c>
      <c r="H262" s="2">
        <f t="shared" ca="1" si="4"/>
        <v>81</v>
      </c>
      <c r="I262" t="e">
        <f t="shared" ca="1" si="5"/>
        <v>#VALUE!</v>
      </c>
      <c r="J262" s="3" t="e">
        <f t="shared" ca="1" si="9"/>
        <v>#VALUE!</v>
      </c>
      <c r="K262" t="str">
        <f t="shared" ca="1" si="6"/>
        <v xml:space="preserve">Gouveia, L. ; Gouveia, J. </v>
      </c>
      <c r="L262" t="str">
        <f t="shared" ca="1" si="7"/>
        <v xml:space="preserve">Quental, C. </v>
      </c>
      <c r="M262" t="str">
        <f ca="1">IFERROR(__xludf.DUMMYFUNCTION("""COMPUTED_VALUE""")," Gouveia, J. ")</f>
        <v xml:space="preserve"> Gouveia, J. </v>
      </c>
    </row>
    <row r="263" spans="1:14" ht="15.75" customHeight="1">
      <c r="A263">
        <f ca="1">IFERROR(__xludf.DUMMYFUNCTION("""COMPUTED_VALUE"""),31)</f>
        <v>31</v>
      </c>
      <c r="B263" t="str">
        <f ca="1">IFERROR(__xludf.DUMMYFUNCTION("""COMPUTED_VALUE"""),"Gouveia, L. and Gouveia, J. (2002). *A Proposal for using Visualisation to 
Support Collaborative Learning.* E-Learn 2002 World Conference on 
e-learning in Corporate, Government, and Healthcare &amp; Higher Education. 
Montreal, Canada, October 15-19. ISBN 1"&amp;"-880094-46-0, pp 1210-1213. 
paper [ pdf (21KB)] | presentation [ pdf(14KB)]")</f>
        <v>Gouveia, L. and Gouveia, J. (2002). *A Proposal for using Visualisation to 
Support Collaborative Learning.* E-Learn 2002 World Conference on 
e-learning in Corporate, Government, and Healthcare &amp; Higher Education. 
Montreal, Canada, October 15-19. ISBN 1-880094-46-0, pp 1210-1213. 
paper [ pdf (21KB)] | presentation [ pdf(14KB)]</v>
      </c>
      <c r="C263" s="2">
        <f t="shared" ca="1" si="0"/>
        <v>29</v>
      </c>
      <c r="D263" t="str">
        <f t="shared" ca="1" si="8"/>
        <v xml:space="preserve">Gouveia, L. and Gouveia, J. </v>
      </c>
      <c r="E263" t="str">
        <f t="shared" ca="1" si="1"/>
        <v>2002</v>
      </c>
      <c r="F263" t="str">
        <f t="shared" ca="1" si="2"/>
        <v xml:space="preserve"> *A Proposal for using Visualisation to 
Support Collaborative Learning.*</v>
      </c>
      <c r="G263" s="3">
        <f t="shared" ca="1" si="3"/>
        <v>34</v>
      </c>
      <c r="H263" s="2">
        <f t="shared" ca="1" si="4"/>
        <v>107</v>
      </c>
      <c r="I263" t="e">
        <f t="shared" ca="1" si="5"/>
        <v>#VALUE!</v>
      </c>
      <c r="J263" s="3" t="e">
        <f t="shared" ca="1" si="9"/>
        <v>#VALUE!</v>
      </c>
      <c r="K263" t="str">
        <f t="shared" ca="1" si="6"/>
        <v xml:space="preserve">Gouveia, L. ; Gouveia, J. </v>
      </c>
      <c r="L263" t="str">
        <f t="shared" ca="1" si="7"/>
        <v xml:space="preserve">Quental, C. </v>
      </c>
      <c r="M263" t="str">
        <f ca="1">IFERROR(__xludf.DUMMYFUNCTION("""COMPUTED_VALUE""")," Gouveia, J. ")</f>
        <v xml:space="preserve"> Gouveia, J. </v>
      </c>
    </row>
    <row r="264" spans="1:14" ht="15.75" customHeight="1">
      <c r="A264">
        <f ca="1">IFERROR(__xludf.DUMMYFUNCTION("""COMPUTED_VALUE"""),30)</f>
        <v>30</v>
      </c>
      <c r="B264" t="str">
        <f ca="1">IFERROR(__xludf.DUMMYFUNCTION("""COMPUTED_VALUE"""),"Gouveia, L. and Gouveia, F. (2002). *Evaluative Etnography and Systems 
Design: can it also be used to assess presence?* Proceedings of the Fifth 
Annual International Workshop. PRESENCE 2002. Universidade Fernando Pessoa, 
Porto, Portugal, October 9-11, "&amp;"pp 213-222. ISBN 972-8184-88-3. 
paper [ pdf (29KB)] | presentation [ pdf(27KB)]")</f>
        <v>Gouveia, L. and Gouveia, F. (2002). *Evaluative Etnography and Systems 
Design: can it also be used to assess presence?* Proceedings of the Fifth 
Annual International Workshop. PRESENCE 2002. Universidade Fernando Pessoa, 
Porto, Portugal, October 9-11, pp 213-222. ISBN 972-8184-88-3. 
paper [ pdf (29KB)] | presentation [ pdf(27KB)]</v>
      </c>
      <c r="C264" s="2">
        <f t="shared" ca="1" si="0"/>
        <v>29</v>
      </c>
      <c r="D264" t="str">
        <f t="shared" ca="1" si="8"/>
        <v xml:space="preserve">Gouveia, L. and Gouveia, F. </v>
      </c>
      <c r="E264" t="str">
        <f t="shared" ca="1" si="1"/>
        <v>2002</v>
      </c>
      <c r="F264" t="str">
        <f t="shared" ca="1" si="2"/>
        <v xml:space="preserve"> *Evaluative Etnography and Systems 
Design: can it also be used to assess presence?* Proceedings of the Fifth 
Annual International Workshop. </v>
      </c>
      <c r="G264" s="3">
        <f t="shared" ca="1" si="3"/>
        <v>34</v>
      </c>
      <c r="H264" s="2">
        <f t="shared" ca="1" si="4"/>
        <v>177</v>
      </c>
      <c r="I264" t="e">
        <f t="shared" ca="1" si="5"/>
        <v>#VALUE!</v>
      </c>
      <c r="J264" s="3" t="e">
        <f t="shared" ca="1" si="9"/>
        <v>#VALUE!</v>
      </c>
      <c r="K264" t="str">
        <f t="shared" ca="1" si="6"/>
        <v xml:space="preserve">Gouveia, L. ; Gouveia, F. </v>
      </c>
      <c r="L264" t="str">
        <f t="shared" ca="1" si="7"/>
        <v xml:space="preserve">Quental, C. </v>
      </c>
      <c r="M264" t="str">
        <f ca="1">IFERROR(__xludf.DUMMYFUNCTION("""COMPUTED_VALUE""")," Gouveia, F. ")</f>
        <v xml:space="preserve"> Gouveia, F. </v>
      </c>
    </row>
    <row r="265" spans="1:14" ht="15.75" customHeight="1">
      <c r="A265">
        <f ca="1">IFERROR(__xludf.DUMMYFUNCTION("""COMPUTED_VALUE"""),29)</f>
        <v>29</v>
      </c>
      <c r="B265" t="str">
        <f ca="1">IFERROR(__xludf.DUMMYFUNCTION("""COMPUTED_VALUE"""),"Gouveia, L. (2002). *Emergent skills in higher education: from know-how to 
know-where, know-who, know-what, know-when and know-why*. Virtual Learning 
&amp; Higher Education. 1st International Conference. Mainsfield College. 
Oxford, England, 10-11 September"&amp;". 
paper [ pdf (25KB)] | presentation [ pdf(29KB)]")</f>
        <v>Gouveia, L. (2002). *Emergent skills in higher education: from know-how to 
know-where, know-who, know-what, know-when and know-why*. Virtual Learning 
&amp; Higher Education. 1st International Conference. Mainsfield College. 
Oxford, England, 10-11 September. 
paper [ pdf (25KB)] | presentation [ pdf(29KB)]</v>
      </c>
      <c r="C265" s="2">
        <f t="shared" ca="1" si="0"/>
        <v>13</v>
      </c>
      <c r="D265" t="str">
        <f t="shared" ca="1" si="8"/>
        <v xml:space="preserve">Gouveia, L. </v>
      </c>
      <c r="E265" t="str">
        <f t="shared" ca="1" si="1"/>
        <v>2002</v>
      </c>
      <c r="F265" t="str">
        <f t="shared" ca="1" si="2"/>
        <v xml:space="preserve"> *Emergent skills in higher education: from know-how to 
know-where, know-who, know-what, know-when and know-why*. </v>
      </c>
      <c r="G265" s="3">
        <f t="shared" ca="1" si="3"/>
        <v>18</v>
      </c>
      <c r="H265" s="2">
        <f t="shared" ca="1" si="4"/>
        <v>133</v>
      </c>
      <c r="I265" t="e">
        <f t="shared" ca="1" si="5"/>
        <v>#VALUE!</v>
      </c>
      <c r="J265" s="3" t="e">
        <f t="shared" ca="1" si="9"/>
        <v>#VALUE!</v>
      </c>
      <c r="K265" t="str">
        <f t="shared" ca="1" si="6"/>
        <v xml:space="preserve">Gouveia, L. </v>
      </c>
      <c r="L265" t="str">
        <f t="shared" ca="1" si="7"/>
        <v xml:space="preserve">Quental, C. </v>
      </c>
    </row>
    <row r="266" spans="1:14" ht="15.75" customHeight="1">
      <c r="A266">
        <f ca="1">IFERROR(__xludf.DUMMYFUNCTION("""COMPUTED_VALUE"""),28)</f>
        <v>28</v>
      </c>
      <c r="B266" t="str">
        <f ca="1">IFERROR(__xludf.DUMMYFUNCTION("""COMPUTED_VALUE"""),"Gouveia, L. and Gouveia, J. (2002). *Towards a social approah to Digital 
Cities*. New Work 2002. International conference on Sustainibility in the 
New Economy. Badajoz, Spain, 3-5. 
paper [ pdf(33KB)]")</f>
        <v>Gouveia, L. and Gouveia, J. (2002). *Towards a social approah to Digital 
Cities*. New Work 2002. International conference on Sustainibility in the 
New Economy. Badajoz, Spain, 3-5. 
paper [ pdf(33KB)]</v>
      </c>
      <c r="C266" s="2">
        <f t="shared" ca="1" si="0"/>
        <v>29</v>
      </c>
      <c r="D266" t="str">
        <f t="shared" ca="1" si="8"/>
        <v xml:space="preserve">Gouveia, L. and Gouveia, J. </v>
      </c>
      <c r="E266" t="str">
        <f t="shared" ca="1" si="1"/>
        <v>2002</v>
      </c>
      <c r="F266" t="str">
        <f t="shared" ca="1" si="2"/>
        <v xml:space="preserve"> *Towards a social approah to Digital 
Cities*. </v>
      </c>
      <c r="G266" s="3">
        <f t="shared" ca="1" si="3"/>
        <v>34</v>
      </c>
      <c r="H266" s="2">
        <f t="shared" ca="1" si="4"/>
        <v>82</v>
      </c>
      <c r="I266" t="e">
        <f t="shared" ca="1" si="5"/>
        <v>#VALUE!</v>
      </c>
      <c r="J266" s="3" t="e">
        <f t="shared" ca="1" si="9"/>
        <v>#VALUE!</v>
      </c>
      <c r="K266" t="str">
        <f t="shared" ca="1" si="6"/>
        <v xml:space="preserve">Gouveia, L. ; Gouveia, J. </v>
      </c>
      <c r="L266" t="str">
        <f t="shared" ca="1" si="7"/>
        <v xml:space="preserve">Quental, C. </v>
      </c>
      <c r="M266" t="str">
        <f ca="1">IFERROR(__xludf.DUMMYFUNCTION("""COMPUTED_VALUE""")," Gouveia, J. ")</f>
        <v xml:space="preserve"> Gouveia, J. </v>
      </c>
    </row>
    <row r="267" spans="1:14" ht="15.75" customHeight="1">
      <c r="A267">
        <f ca="1">IFERROR(__xludf.DUMMYFUNCTION("""COMPUTED_VALUE"""),27)</f>
        <v>27</v>
      </c>
      <c r="B267" t="str">
        <f ca="1">IFERROR(__xludf.DUMMYFUNCTION("""COMPUTED_VALUE"""),"Gouveia, L. (2002). Assessing a case of Web use for face to face teaching 
support. TIEC 2002, II European Conference on Information Technologies for 
Education. Barcelona, Spain, 26-28 June. Actas em CD-ROM. 
paper [ pdf (32KB)] presentation [ pdf (46KB)"&amp;"]")</f>
        <v>Gouveia, L. (2002). Assessing a case of Web use for face to face teaching 
support. TIEC 2002, II European Conference on Information Technologies for 
Education. Barcelona, Spain, 26-28 June. Actas em CD-ROM. 
paper [ pdf (32KB)] presentation [ pdf (46KB)]</v>
      </c>
      <c r="C267" s="2">
        <f t="shared" ca="1" si="0"/>
        <v>13</v>
      </c>
      <c r="D267" t="str">
        <f t="shared" ca="1" si="8"/>
        <v xml:space="preserve">Gouveia, L. </v>
      </c>
      <c r="E267" t="str">
        <f t="shared" ca="1" si="1"/>
        <v>2002</v>
      </c>
      <c r="F267" t="str">
        <f t="shared" ca="1" si="2"/>
        <v xml:space="preserve"> Assessing a case of Web use for face to face teaching 
support. </v>
      </c>
      <c r="G267" s="3">
        <f t="shared" ca="1" si="3"/>
        <v>18</v>
      </c>
      <c r="H267" s="2">
        <f t="shared" ca="1" si="4"/>
        <v>83</v>
      </c>
      <c r="I267" t="e">
        <f t="shared" ca="1" si="5"/>
        <v>#VALUE!</v>
      </c>
      <c r="J267" s="3" t="e">
        <f t="shared" ca="1" si="9"/>
        <v>#VALUE!</v>
      </c>
      <c r="K267" t="str">
        <f t="shared" ca="1" si="6"/>
        <v xml:space="preserve">Gouveia, L. </v>
      </c>
      <c r="L267" t="str">
        <f t="shared" ca="1" si="7"/>
        <v xml:space="preserve">Quental, C. </v>
      </c>
    </row>
    <row r="268" spans="1:14" ht="15.75" customHeight="1">
      <c r="A268">
        <f ca="1">IFERROR(__xludf.DUMMYFUNCTION("""COMPUTED_VALUE"""),26)</f>
        <v>26</v>
      </c>
      <c r="B268" t="str">
        <f ca="1">IFERROR(__xludf.DUMMYFUNCTION("""COMPUTED_VALUE"""),"Gouveia, L. and Gouveia, J. (2002). *Proposing a semantic approach to 
Content Management for Education, Learning and Training.* Proceedings of 
EUNIS 2002, The 8th International Conference of European University 
Information Systems. Porto, Portugal, 19-"&amp;"22 June 2002. pp 378-381. ISBN 
972-752-051-0 
paper [ pdf (32KB)] presentation [ pdf(96KB)]")</f>
        <v>Gouveia, L. and Gouveia, J. (2002). *Proposing a semantic approach to 
Content Management for Education, Learning and Training.* Proceedings of 
EUNIS 2002, The 8th International Conference of European University 
Information Systems. Porto, Portugal, 19-22 June 2002. pp 378-381. ISBN 
972-752-051-0 
paper [ pdf (32KB)] presentation [ pdf(96KB)]</v>
      </c>
      <c r="C268" s="2">
        <f t="shared" ca="1" si="0"/>
        <v>29</v>
      </c>
      <c r="D268" t="str">
        <f t="shared" ca="1" si="8"/>
        <v xml:space="preserve">Gouveia, L. and Gouveia, J. </v>
      </c>
      <c r="E268" t="str">
        <f t="shared" ca="1" si="1"/>
        <v>2002</v>
      </c>
      <c r="F268" t="str">
        <f t="shared" ca="1" si="2"/>
        <v xml:space="preserve"> *Proposing a semantic approach to 
Content Management for Education, Learning and Training.*</v>
      </c>
      <c r="G268" s="3">
        <f t="shared" ca="1" si="3"/>
        <v>34</v>
      </c>
      <c r="H268" s="2">
        <f t="shared" ca="1" si="4"/>
        <v>127</v>
      </c>
      <c r="I268" t="e">
        <f t="shared" ca="1" si="5"/>
        <v>#VALUE!</v>
      </c>
      <c r="J268" s="3" t="e">
        <f t="shared" ca="1" si="9"/>
        <v>#VALUE!</v>
      </c>
      <c r="K268" t="str">
        <f t="shared" ca="1" si="6"/>
        <v xml:space="preserve">Gouveia, L. ; Gouveia, J. </v>
      </c>
      <c r="L268" t="str">
        <f t="shared" ca="1" si="7"/>
        <v xml:space="preserve">Quental, C. </v>
      </c>
      <c r="M268" t="str">
        <f ca="1">IFERROR(__xludf.DUMMYFUNCTION("""COMPUTED_VALUE""")," Gouveia, J. ")</f>
        <v xml:space="preserve"> Gouveia, J. </v>
      </c>
    </row>
    <row r="269" spans="1:14" ht="15.75" customHeight="1">
      <c r="A269">
        <f ca="1">IFERROR(__xludf.DUMMYFUNCTION("""COMPUTED_VALUE"""),25)</f>
        <v>25</v>
      </c>
      <c r="B269" t="str">
        <f ca="1">IFERROR(__xludf.DUMMYFUNCTION("""COMPUTED_VALUE"""),"Rurato, P. e Gouveia, L. (2002). Estudo dos factores de sucesso em 
ambientes de ensino à distância. Virtual Educa 2002, Conferência 
Internacional sobre Educação, Formação e Novas Tecnologias. Valência, 
Espanha, 12-14 de Junho.
paper [ pdf (40KB)]")</f>
        <v>Rurato, P. e Gouveia, L. (2002). Estudo dos factores de sucesso em 
ambientes de ensino à distância. Virtual Educa 2002, Conferência 
Internacional sobre Educação, Formação e Novas Tecnologias. Valência, 
Espanha, 12-14 de Junho.
paper [ pdf (40KB)]</v>
      </c>
      <c r="C269" s="2">
        <f t="shared" ca="1" si="0"/>
        <v>26</v>
      </c>
      <c r="D269" t="str">
        <f t="shared" ca="1" si="8"/>
        <v xml:space="preserve">Rurato, P. e Gouveia, L. </v>
      </c>
      <c r="E269" t="str">
        <f t="shared" ca="1" si="1"/>
        <v>2002</v>
      </c>
      <c r="F269" t="str">
        <f t="shared" ca="1" si="2"/>
        <v xml:space="preserve"> Estudo dos factores de sucesso em 
ambientes de ensino à distância. </v>
      </c>
      <c r="G269" s="3">
        <f t="shared" ca="1" si="3"/>
        <v>31</v>
      </c>
      <c r="H269" s="2">
        <f t="shared" ca="1" si="4"/>
        <v>100</v>
      </c>
      <c r="I269" t="e">
        <f t="shared" ca="1" si="5"/>
        <v>#VALUE!</v>
      </c>
      <c r="J269" s="3" t="e">
        <f t="shared" ca="1" si="9"/>
        <v>#VALUE!</v>
      </c>
      <c r="K269" t="str">
        <f t="shared" ca="1" si="6"/>
        <v xml:space="preserve">Rurato, P. e Gouveia, L. </v>
      </c>
      <c r="L269" t="str">
        <f t="shared" ca="1" si="7"/>
        <v xml:space="preserve">Quental, C. </v>
      </c>
    </row>
    <row r="270" spans="1:14" ht="15.75" customHeight="1">
      <c r="A270">
        <f ca="1">IFERROR(__xludf.DUMMYFUNCTION("""COMPUTED_VALUE"""),24)</f>
        <v>24</v>
      </c>
      <c r="B270" t="str">
        <f ca="1">IFERROR(__xludf.DUMMYFUNCTION("""COMPUTED_VALUE"""),"Gouveia, L. and Gouveia, J. (2002). *EFTWeb: providing context sharing for 
 Web-Based Learning*. IRMA 2002 - Information resources Management 
Association International Conference.May 19-22. Renaissance Madison Hotel. 
Seattle. US. Khosrowpour, Mehdi (ed"&amp;".) (2002). Issues and Trends of 
Information Technology Management in Contemporary Organizations, pp 
340-343. ISBN 1-930708-39-4. 
paper [ pdf (64KB)] presentation [ pdf(108KB)]")</f>
        <v>Gouveia, L. and Gouveia, J. (2002). *EFTWeb: providing context sharing for 
 Web-Based Learning*. IRMA 2002 - Information resources Management 
Association International Conference.May 19-22. Renaissance Madison Hotel. 
Seattle. US. Khosrowpour, Mehdi (ed.) (2002). Issues and Trends of 
Information Technology Management in Contemporary Organizations, pp 
340-343. ISBN 1-930708-39-4. 
paper [ pdf (64KB)] presentation [ pdf(108KB)]</v>
      </c>
      <c r="C270" s="2">
        <f t="shared" ca="1" si="0"/>
        <v>29</v>
      </c>
      <c r="D270" t="str">
        <f t="shared" ca="1" si="8"/>
        <v xml:space="preserve">Gouveia, L. and Gouveia, J. </v>
      </c>
      <c r="E270" t="str">
        <f t="shared" ca="1" si="1"/>
        <v>2002</v>
      </c>
      <c r="F270" t="str">
        <f t="shared" ca="1" si="2"/>
        <v xml:space="preserve"> *EFTWeb: providing context sharing for 
 Web-Based Learning*. </v>
      </c>
      <c r="G270" s="3">
        <f t="shared" ca="1" si="3"/>
        <v>34</v>
      </c>
      <c r="H270" s="2">
        <f t="shared" ca="1" si="4"/>
        <v>97</v>
      </c>
      <c r="I270" t="str">
        <f t="shared" ca="1" si="5"/>
        <v>IRMA 2002 - Information resources Management 
Association International Conference.May 19-22. Renaissance Madison Hotel. 
Seattle. US. Khosrowpour, Mehdi (ed.) (2002).</v>
      </c>
      <c r="J270" s="3">
        <f t="shared" ca="1" si="9"/>
        <v>264</v>
      </c>
      <c r="K270" t="str">
        <f t="shared" ca="1" si="6"/>
        <v xml:space="preserve">Gouveia, L. ; Gouveia, J. </v>
      </c>
      <c r="L270" t="str">
        <f t="shared" ca="1" si="7"/>
        <v xml:space="preserve">Quental, C. </v>
      </c>
      <c r="M270" t="str">
        <f ca="1">IFERROR(__xludf.DUMMYFUNCTION("""COMPUTED_VALUE""")," Gouveia, J. ")</f>
        <v xml:space="preserve"> Gouveia, J. </v>
      </c>
    </row>
    <row r="271" spans="1:14" ht="15.75" customHeight="1">
      <c r="A271">
        <f ca="1">IFERROR(__xludf.DUMMYFUNCTION("""COMPUTED_VALUE"""),23)</f>
        <v>23</v>
      </c>
      <c r="B271" t="str">
        <f ca="1">IFERROR(__xludf.DUMMYFUNCTION("""COMPUTED_VALUE"""),"Gouveia, L. (2001). *Supporting knowledge sharing within an organisation*. 
2ª Conferência da Associação Portuguesa de Sistemas de Informação. 
Universidade de Évora, Évora, 21-23 Novembro. 
paper [ pdf (99KB)] | presentation [ pdf(332KB)]")</f>
        <v>Gouveia, L. (2001). *Supporting knowledge sharing within an organisation*. 
2ª Conferência da Associação Portuguesa de Sistemas de Informação. 
Universidade de Évora, Évora, 21-23 Novembro. 
paper [ pdf (99KB)] | presentation [ pdf(332KB)]</v>
      </c>
      <c r="C271" s="2">
        <f t="shared" ca="1" si="0"/>
        <v>13</v>
      </c>
      <c r="D271" t="str">
        <f t="shared" ca="1" si="8"/>
        <v xml:space="preserve">Gouveia, L. </v>
      </c>
      <c r="E271" t="str">
        <f t="shared" ca="1" si="1"/>
        <v>2001</v>
      </c>
      <c r="F271" t="str">
        <f t="shared" ca="1" si="2"/>
        <v xml:space="preserve"> *Supporting knowledge sharing within an organisation*. </v>
      </c>
      <c r="G271" s="3">
        <f t="shared" ca="1" si="3"/>
        <v>18</v>
      </c>
      <c r="H271" s="2">
        <f t="shared" ca="1" si="4"/>
        <v>74</v>
      </c>
      <c r="I271" t="e">
        <f t="shared" ca="1" si="5"/>
        <v>#VALUE!</v>
      </c>
      <c r="J271" s="3" t="e">
        <f t="shared" ca="1" si="9"/>
        <v>#VALUE!</v>
      </c>
      <c r="K271" t="str">
        <f t="shared" ca="1" si="6"/>
        <v xml:space="preserve">Gouveia, L. </v>
      </c>
      <c r="L271" t="str">
        <f t="shared" ca="1" si="7"/>
        <v xml:space="preserve">Quental, C. </v>
      </c>
    </row>
    <row r="272" spans="1:14" ht="15.75" customHeight="1">
      <c r="A272">
        <f ca="1">IFERROR(__xludf.DUMMYFUNCTION("""COMPUTED_VALUE"""),22)</f>
        <v>22</v>
      </c>
      <c r="B272" t="str">
        <f ca="1">IFERROR(__xludf.DUMMYFUNCTION("""COMPUTED_VALUE"""),"Gouveia, L. (2001). *Limites ao uso da World Wide Web como complemento ao 
ensino presencial*. 3º Simpósio Internacional de Informática Educativa. 
Viseu, Portugal, 26-28 de Setembro.Actas em CD-ROM, 3º SIIE, ISBN: 
972-98523-4-0.
paper [ pdf (58KB)]  | a"&amp;"presentação [ pdf (49KB)]")</f>
        <v>Gouveia, L. (2001). *Limites ao uso da World Wide Web como complemento ao 
ensino presencial*. 3º Simpósio Internacional de Informática Educativa. 
Viseu, Portugal, 26-28 de Setembro.Actas em CD-ROM, 3º SIIE, ISBN: 
972-98523-4-0.
paper [ pdf (58KB)]  | apresentação [ pdf (49KB)]</v>
      </c>
      <c r="C272" s="2">
        <f t="shared" ca="1" si="0"/>
        <v>13</v>
      </c>
      <c r="D272" t="str">
        <f t="shared" ca="1" si="8"/>
        <v xml:space="preserve">Gouveia, L. </v>
      </c>
      <c r="E272" t="str">
        <f t="shared" ca="1" si="1"/>
        <v>2001</v>
      </c>
      <c r="F272" t="str">
        <f t="shared" ca="1" si="2"/>
        <v xml:space="preserve"> *Limites ao uso da World Wide Web como complemento ao 
ensino presencial*. </v>
      </c>
      <c r="G272" s="3">
        <f t="shared" ca="1" si="3"/>
        <v>18</v>
      </c>
      <c r="H272" s="2">
        <f t="shared" ca="1" si="4"/>
        <v>94</v>
      </c>
      <c r="I272" t="e">
        <f t="shared" ca="1" si="5"/>
        <v>#VALUE!</v>
      </c>
      <c r="J272" s="3" t="e">
        <f t="shared" ca="1" si="9"/>
        <v>#VALUE!</v>
      </c>
      <c r="K272" t="str">
        <f t="shared" ca="1" si="6"/>
        <v xml:space="preserve">Gouveia, L. </v>
      </c>
      <c r="L272" t="str">
        <f t="shared" ca="1" si="7"/>
        <v xml:space="preserve">Quental, C. </v>
      </c>
    </row>
    <row r="273" spans="1:14" ht="15.75" customHeight="1">
      <c r="A273">
        <f ca="1">IFERROR(__xludf.DUMMYFUNCTION("""COMPUTED_VALUE"""),21)</f>
        <v>21</v>
      </c>
      <c r="B273" t="str">
        <f ca="1">IFERROR(__xludf.DUMMYFUNCTION("""COMPUTED_VALUE"""),"Gouveia, J. and Gouveia, L. (2001). *EFTWeb: an environment to support 
context sharing for education settings*. e-business &amp; e-work 2001 
conference. Venice, Italy, 17-19 October.
(accepted but not presented)
paper [ pdf (30KB)]")</f>
        <v>Gouveia, J. and Gouveia, L. (2001). *EFTWeb: an environment to support 
context sharing for education settings*. e-business &amp; e-work 2001 
conference. Venice, Italy, 17-19 October.
(accepted but not presented)
paper [ pdf (30KB)]</v>
      </c>
      <c r="C273" s="2">
        <f t="shared" ca="1" si="0"/>
        <v>29</v>
      </c>
      <c r="D273" t="str">
        <f t="shared" ca="1" si="8"/>
        <v xml:space="preserve">Gouveia, J. and Gouveia, L. </v>
      </c>
      <c r="E273" t="str">
        <f t="shared" ca="1" si="1"/>
        <v>2001</v>
      </c>
      <c r="F273" t="str">
        <f t="shared" ca="1" si="2"/>
        <v xml:space="preserve"> *EFTWeb: an environment to support 
context sharing for education settings*. </v>
      </c>
      <c r="G273" s="3">
        <f t="shared" ca="1" si="3"/>
        <v>34</v>
      </c>
      <c r="H273" s="2">
        <f t="shared" ca="1" si="4"/>
        <v>112</v>
      </c>
      <c r="I273" t="e">
        <f t="shared" ca="1" si="5"/>
        <v>#VALUE!</v>
      </c>
      <c r="J273" s="3" t="e">
        <f t="shared" ca="1" si="9"/>
        <v>#VALUE!</v>
      </c>
      <c r="K273" t="str">
        <f t="shared" ca="1" si="6"/>
        <v xml:space="preserve">Gouveia, J. ; Gouveia, L. </v>
      </c>
      <c r="L273" t="str">
        <f t="shared" ca="1" si="7"/>
        <v xml:space="preserve">Quental, C. </v>
      </c>
      <c r="M273" t="str">
        <f ca="1">IFERROR(__xludf.DUMMYFUNCTION("""COMPUTED_VALUE""")," Gouveia, L. ")</f>
        <v xml:space="preserve"> Gouveia, L. </v>
      </c>
    </row>
    <row r="274" spans="1:14" ht="15.75" customHeight="1">
      <c r="A274">
        <f ca="1">IFERROR(__xludf.DUMMYFUNCTION("""COMPUTED_VALUE"""),20)</f>
        <v>20</v>
      </c>
      <c r="B274" t="str">
        <f ca="1">IFERROR(__xludf.DUMMYFUNCTION("""COMPUTED_VALUE"""),"Gouveia, L. and Gouveia, F. (2001). *Evaluation of a visualisation design 
for knowledge sharing and information discovery.* ICEIS 2001, 3th 
International Conference on Enterprise Information Systems. Setúbal, 
Portugal, July 7-10. 
paper [ pdf (139KB)] "&amp;"presentation [ pdf(276KB)]")</f>
        <v>Gouveia, L. and Gouveia, F. (2001). *Evaluation of a visualisation design 
for knowledge sharing and information discovery.* ICEIS 2001, 3th 
International Conference on Enterprise Information Systems. Setúbal, 
Portugal, July 7-10. 
paper [ pdf (139KB)] presentation [ pdf(276KB)]</v>
      </c>
      <c r="C274" s="2">
        <f t="shared" ca="1" si="0"/>
        <v>29</v>
      </c>
      <c r="D274" t="str">
        <f t="shared" ca="1" si="8"/>
        <v xml:space="preserve">Gouveia, L. and Gouveia, F. </v>
      </c>
      <c r="E274" t="str">
        <f t="shared" ca="1" si="1"/>
        <v>2001</v>
      </c>
      <c r="F274" t="str">
        <f t="shared" ca="1" si="2"/>
        <v xml:space="preserve"> *Evaluation of a visualisation design 
for knowledge sharing and information discovery.*</v>
      </c>
      <c r="G274" s="3">
        <f t="shared" ca="1" si="3"/>
        <v>34</v>
      </c>
      <c r="H274" s="2">
        <f t="shared" ca="1" si="4"/>
        <v>123</v>
      </c>
      <c r="I274" t="e">
        <f t="shared" ca="1" si="5"/>
        <v>#VALUE!</v>
      </c>
      <c r="J274" s="3" t="e">
        <f t="shared" ca="1" si="9"/>
        <v>#VALUE!</v>
      </c>
      <c r="K274" t="str">
        <f t="shared" ca="1" si="6"/>
        <v xml:space="preserve">Gouveia, L. ; Gouveia, F. </v>
      </c>
      <c r="L274" t="str">
        <f t="shared" ca="1" si="7"/>
        <v xml:space="preserve">Quental, C. </v>
      </c>
      <c r="M274" t="str">
        <f ca="1">IFERROR(__xludf.DUMMYFUNCTION("""COMPUTED_VALUE""")," Gouveia, F. ")</f>
        <v xml:space="preserve"> Gouveia, F. </v>
      </c>
    </row>
    <row r="275" spans="1:14" ht="15.75" customHeight="1">
      <c r="A275">
        <f ca="1">IFERROR(__xludf.DUMMYFUNCTION("""COMPUTED_VALUE"""),19)</f>
        <v>19</v>
      </c>
      <c r="B275" t="str">
        <f ca="1">IFERROR(__xludf.DUMMYFUNCTION("""COMPUTED_VALUE"""),"Gouveia, L. and Gouveia, J. (2001). *Proposing a knowledge policy based on 
the EFTWeb model*. The 6th Asia-Pacific Regional Conference of 
International Telecommunications Society. Hong Kong, 5-7 July. 
paper [ pdf(36KB)]")</f>
        <v>Gouveia, L. and Gouveia, J. (2001). *Proposing a knowledge policy based on 
the EFTWeb model*. The 6th Asia-Pacific Regional Conference of 
International Telecommunications Society. Hong Kong, 5-7 July. 
paper [ pdf(36KB)]</v>
      </c>
      <c r="C275" s="2">
        <f t="shared" ca="1" si="0"/>
        <v>29</v>
      </c>
      <c r="D275" t="str">
        <f t="shared" ca="1" si="8"/>
        <v xml:space="preserve">Gouveia, L. and Gouveia, J. </v>
      </c>
      <c r="E275" t="str">
        <f t="shared" ca="1" si="1"/>
        <v>2001</v>
      </c>
      <c r="F275" t="str">
        <f t="shared" ca="1" si="2"/>
        <v xml:space="preserve"> *Proposing a knowledge policy based on 
the EFTWeb model*. </v>
      </c>
      <c r="G275" s="3">
        <f t="shared" ca="1" si="3"/>
        <v>34</v>
      </c>
      <c r="H275" s="2">
        <f t="shared" ca="1" si="4"/>
        <v>94</v>
      </c>
      <c r="I275" t="e">
        <f t="shared" ca="1" si="5"/>
        <v>#VALUE!</v>
      </c>
      <c r="J275" s="3" t="e">
        <f t="shared" ca="1" si="9"/>
        <v>#VALUE!</v>
      </c>
      <c r="K275" t="str">
        <f t="shared" ca="1" si="6"/>
        <v xml:space="preserve">Gouveia, L. ; Gouveia, J. </v>
      </c>
      <c r="L275" t="str">
        <f t="shared" ca="1" si="7"/>
        <v xml:space="preserve">Quental, C. </v>
      </c>
      <c r="M275" t="str">
        <f ca="1">IFERROR(__xludf.DUMMYFUNCTION("""COMPUTED_VALUE""")," Gouveia, J. ")</f>
        <v xml:space="preserve"> Gouveia, J. </v>
      </c>
    </row>
    <row r="276" spans="1:14" ht="15.75" customHeight="1">
      <c r="A276">
        <f ca="1">IFERROR(__xludf.DUMMYFUNCTION("""COMPUTED_VALUE"""),18)</f>
        <v>18</v>
      </c>
      <c r="B276" t="str">
        <f ca="1">IFERROR(__xludf.DUMMYFUNCTION("""COMPUTED_VALUE"""),"Gouveia, L. and Gouveia, F. (2001). *A visualisation proposal to assist 
knowledge sharing*. International Conference on New Technologies in Science 
Education. Aveiro University, July 4-6. 
paper [ pdf (99KB)] presentation [ pdf(408KB)]")</f>
        <v>Gouveia, L. and Gouveia, F. (2001). *A visualisation proposal to assist 
knowledge sharing*. International Conference on New Technologies in Science 
Education. Aveiro University, July 4-6. 
paper [ pdf (99KB)] presentation [ pdf(408KB)]</v>
      </c>
      <c r="C276" s="2">
        <f t="shared" ca="1" si="0"/>
        <v>29</v>
      </c>
      <c r="D276" t="str">
        <f t="shared" ca="1" si="8"/>
        <v xml:space="preserve">Gouveia, L. and Gouveia, F. </v>
      </c>
      <c r="E276" t="str">
        <f t="shared" ca="1" si="1"/>
        <v>2001</v>
      </c>
      <c r="F276" t="str">
        <f t="shared" ca="1" si="2"/>
        <v xml:space="preserve"> *A visualisation proposal to assist 
knowledge sharing*. </v>
      </c>
      <c r="G276" s="3">
        <f t="shared" ca="1" si="3"/>
        <v>34</v>
      </c>
      <c r="H276" s="2">
        <f t="shared" ca="1" si="4"/>
        <v>92</v>
      </c>
      <c r="I276" t="e">
        <f t="shared" ca="1" si="5"/>
        <v>#VALUE!</v>
      </c>
      <c r="J276" s="3" t="e">
        <f t="shared" ca="1" si="9"/>
        <v>#VALUE!</v>
      </c>
      <c r="K276" t="str">
        <f t="shared" ca="1" si="6"/>
        <v xml:space="preserve">Gouveia, L. ; Gouveia, F. </v>
      </c>
      <c r="L276" t="str">
        <f t="shared" ca="1" si="7"/>
        <v xml:space="preserve">Quental, C. </v>
      </c>
      <c r="M276" t="str">
        <f ca="1">IFERROR(__xludf.DUMMYFUNCTION("""COMPUTED_VALUE""")," Gouveia, F. ")</f>
        <v xml:space="preserve"> Gouveia, F. </v>
      </c>
    </row>
    <row r="277" spans="1:14" ht="15.75" customHeight="1">
      <c r="A277">
        <f ca="1">IFERROR(__xludf.DUMMYFUNCTION("""COMPUTED_VALUE"""),17)</f>
        <v>17</v>
      </c>
      <c r="B277" t="str">
        <f ca="1">IFERROR(__xludf.DUMMYFUNCTION("""COMPUTED_VALUE"""),"Gouveia, J.; Gouveia, L. and Restivo, F. (2001). *EFTWeb: towards a content 
management system.* EUROMA European Operations Management Association, 8th 
International Annual Conference. Bath, UK, June 3-5, pp807-815. ISBN 1 
85790 088X. 
paper [ pdf(30KB)"&amp;"]")</f>
        <v>Gouveia, J.; Gouveia, L. and Restivo, F. (2001). *EFTWeb: towards a content 
management system.* EUROMA European Operations Management Association, 8th 
International Annual Conference. Bath, UK, June 3-5, pp807-815. ISBN 1 
85790 088X. 
paper [ pdf(30KB)]</v>
      </c>
      <c r="C277" s="2">
        <f t="shared" ca="1" si="0"/>
        <v>42</v>
      </c>
      <c r="D277" t="str">
        <f t="shared" ca="1" si="8"/>
        <v xml:space="preserve">Gouveia, J.; Gouveia, L. and Restivo, F. </v>
      </c>
      <c r="E277" t="str">
        <f t="shared" ca="1" si="1"/>
        <v>2001</v>
      </c>
      <c r="F277" t="str">
        <f t="shared" ca="1" si="2"/>
        <v xml:space="preserve"> *EFTWeb: towards a content 
management system.*</v>
      </c>
      <c r="G277" s="3">
        <f t="shared" ca="1" si="3"/>
        <v>47</v>
      </c>
      <c r="H277" s="2">
        <f t="shared" ca="1" si="4"/>
        <v>95</v>
      </c>
      <c r="I277" t="e">
        <f t="shared" ca="1" si="5"/>
        <v>#VALUE!</v>
      </c>
      <c r="J277" s="3" t="e">
        <f t="shared" ca="1" si="9"/>
        <v>#VALUE!</v>
      </c>
      <c r="K277" t="str">
        <f t="shared" ca="1" si="6"/>
        <v xml:space="preserve">Gouveia, J.; Gouveia, L. ; Restivo, F. </v>
      </c>
      <c r="L277" t="str">
        <f t="shared" ca="1" si="7"/>
        <v xml:space="preserve">Quental, C. </v>
      </c>
      <c r="M277" t="str">
        <f ca="1">IFERROR(__xludf.DUMMYFUNCTION("""COMPUTED_VALUE""")," Gouveia, L. ")</f>
        <v xml:space="preserve"> Gouveia, L. </v>
      </c>
      <c r="N277" t="str">
        <f ca="1">IFERROR(__xludf.DUMMYFUNCTION("""COMPUTED_VALUE""")," Restivo, F. ")</f>
        <v xml:space="preserve"> Restivo, F. </v>
      </c>
    </row>
    <row r="278" spans="1:14" ht="15.75" customHeight="1">
      <c r="A278">
        <f ca="1">IFERROR(__xludf.DUMMYFUNCTION("""COMPUTED_VALUE"""),16)</f>
        <v>16</v>
      </c>
      <c r="B278" t="str">
        <f ca="1">IFERROR(__xludf.DUMMYFUNCTION("""COMPUTED_VALUE"""),"Gouveia, J.; Gouveia, L. and Restivo, F. (2001). *Using the Web to support 
an education, learning and training service centre.* EIASM - 1st 
International Workshop on Management and Innovation of Services. 
Maastricht, The Netherlands 5-6 April. 
paper ["&amp;" pdf(38KB)]")</f>
        <v>Gouveia, J.; Gouveia, L. and Restivo, F. (2001). *Using the Web to support 
an education, learning and training service centre.* EIASM - 1st 
International Workshop on Management and Innovation of Services. 
Maastricht, The Netherlands 5-6 April. 
paper [ pdf(38KB)]</v>
      </c>
      <c r="C278" s="2">
        <f t="shared" ca="1" si="0"/>
        <v>42</v>
      </c>
      <c r="D278" t="str">
        <f t="shared" ca="1" si="8"/>
        <v xml:space="preserve">Gouveia, J.; Gouveia, L. and Restivo, F. </v>
      </c>
      <c r="E278" t="str">
        <f t="shared" ca="1" si="1"/>
        <v>2001</v>
      </c>
      <c r="F278" t="str">
        <f t="shared" ca="1" si="2"/>
        <v xml:space="preserve"> *Using the Web to support 
an education, learning and training service centre.*</v>
      </c>
      <c r="G278" s="3">
        <f t="shared" ca="1" si="3"/>
        <v>47</v>
      </c>
      <c r="H278" s="2">
        <f t="shared" ca="1" si="4"/>
        <v>127</v>
      </c>
      <c r="I278" t="e">
        <f t="shared" ca="1" si="5"/>
        <v>#VALUE!</v>
      </c>
      <c r="J278" s="3" t="e">
        <f t="shared" ca="1" si="9"/>
        <v>#VALUE!</v>
      </c>
      <c r="K278" t="str">
        <f t="shared" ca="1" si="6"/>
        <v xml:space="preserve">Gouveia, J.; Gouveia, L. ; Restivo, F. </v>
      </c>
      <c r="L278" t="str">
        <f t="shared" ca="1" si="7"/>
        <v xml:space="preserve">Quental, C. </v>
      </c>
      <c r="M278" t="str">
        <f ca="1">IFERROR(__xludf.DUMMYFUNCTION("""COMPUTED_VALUE""")," Gouveia, L. ")</f>
        <v xml:space="preserve"> Gouveia, L. </v>
      </c>
      <c r="N278" t="str">
        <f ca="1">IFERROR(__xludf.DUMMYFUNCTION("""COMPUTED_VALUE""")," Restivo, F. ")</f>
        <v xml:space="preserve"> Restivo, F. </v>
      </c>
    </row>
    <row r="279" spans="1:14" ht="15.75" customHeight="1">
      <c r="A279">
        <f ca="1">IFERROR(__xludf.DUMMYFUNCTION("""COMPUTED_VALUE"""),15)</f>
        <v>15</v>
      </c>
      <c r="B279" t="str">
        <f ca="1">IFERROR(__xludf.DUMMYFUNCTION("""COMPUTED_VALUE"""),"Gouveia, L. (2000). *Visualisation and Direct Manipulation: issues for 
human systems development.* In Amaral, L. and Carvalho, J. (eds.) 
proceedings of 1ª CAPSI, SI2000. APSI e Universidade do Minho. 25 - 27 
October. Guimarães. ISBN 972-95246-1-0 (CD-R"&amp;"OM). 
paper [ pdf  (162KB)] presentation [ pdf(35KB)]")</f>
        <v>Gouveia, L. (2000). *Visualisation and Direct Manipulation: issues for 
human systems development.* In Amaral, L. and Carvalho, J. (eds.) 
proceedings of 1ª CAPSI, SI2000. APSI e Universidade do Minho. 25 - 27 
October. Guimarães. ISBN 972-95246-1-0 (CD-ROM). 
paper [ pdf  (162KB)] presentation [ pdf(35KB)]</v>
      </c>
      <c r="C279" s="2">
        <f t="shared" ca="1" si="0"/>
        <v>13</v>
      </c>
      <c r="D279" t="str">
        <f t="shared" ca="1" si="8"/>
        <v xml:space="preserve">Gouveia, L. </v>
      </c>
      <c r="E279" t="str">
        <f t="shared" ca="1" si="1"/>
        <v>2000</v>
      </c>
      <c r="F279" t="str">
        <f t="shared" ca="1" si="2"/>
        <v xml:space="preserve"> *Visualisation and Direct Manipulation: issues for 
human systems development.*</v>
      </c>
      <c r="G279" s="3">
        <f t="shared" ca="1" si="3"/>
        <v>18</v>
      </c>
      <c r="H279" s="2">
        <f t="shared" ca="1" si="4"/>
        <v>98</v>
      </c>
      <c r="I279" t="str">
        <f t="shared" ca="1" si="5"/>
        <v xml:space="preserve"> In Amaral, L. and Carvalho, J. (eds.) 
proceedings of 1ª CAPSI, SI2000. APSI e Universidade do Minho. 25 - 27 
October. Guimarães. ISBN 972-95246-1-0 (CD-ROM).</v>
      </c>
      <c r="J279" s="3">
        <f t="shared" ca="1" si="9"/>
        <v>258</v>
      </c>
      <c r="K279" t="str">
        <f t="shared" ca="1" si="6"/>
        <v xml:space="preserve">Gouveia, L. </v>
      </c>
      <c r="L279" t="str">
        <f t="shared" ca="1" si="7"/>
        <v xml:space="preserve">Quental, C. </v>
      </c>
    </row>
    <row r="280" spans="1:14" ht="15.75" customHeight="1">
      <c r="A280">
        <f ca="1">IFERROR(__xludf.DUMMYFUNCTION("""COMPUTED_VALUE"""),14)</f>
        <v>14</v>
      </c>
      <c r="B280" t="str">
        <f ca="1">IFERROR(__xludf.DUMMYFUNCTION("""COMPUTED_VALUE"""),"Gouveia, L.; Gouveia, J. and Restivo, F. (2000). *EFTWeb: Towards a service 
centre for Education, Learning and Training.* Towards the E-learning 
Community: Challenges for Business and Education International Conference. 
Bolton Institute. 19 - 20 Octobe"&amp;"r. Bolton, UK. 
paper [ pdf (32KB)] presentation [ pdf(225KB)]")</f>
        <v>Gouveia, L.; Gouveia, J. and Restivo, F. (2000). *EFTWeb: Towards a service 
centre for Education, Learning and Training.* Towards the E-learning 
Community: Challenges for Business and Education International Conference. 
Bolton Institute. 19 - 20 October. Bolton, UK. 
paper [ pdf (32KB)] presentation [ pdf(225KB)]</v>
      </c>
      <c r="C280" s="2">
        <f t="shared" ca="1" si="0"/>
        <v>42</v>
      </c>
      <c r="D280" t="str">
        <f t="shared" ca="1" si="8"/>
        <v xml:space="preserve">Gouveia, L.; Gouveia, J. and Restivo, F. </v>
      </c>
      <c r="E280" t="str">
        <f t="shared" ca="1" si="1"/>
        <v>2000</v>
      </c>
      <c r="F280" t="str">
        <f t="shared" ca="1" si="2"/>
        <v xml:space="preserve"> *EFTWeb: Towards a service 
centre for Education, Learning and Training.*</v>
      </c>
      <c r="G280" s="3">
        <f t="shared" ca="1" si="3"/>
        <v>47</v>
      </c>
      <c r="H280" s="2">
        <f t="shared" ca="1" si="4"/>
        <v>121</v>
      </c>
      <c r="I280" t="e">
        <f t="shared" ca="1" si="5"/>
        <v>#VALUE!</v>
      </c>
      <c r="J280" s="3" t="e">
        <f t="shared" ca="1" si="9"/>
        <v>#VALUE!</v>
      </c>
      <c r="K280" t="str">
        <f t="shared" ca="1" si="6"/>
        <v xml:space="preserve">Gouveia, L.; Gouveia, J. ; Restivo, F. </v>
      </c>
      <c r="L280" t="str">
        <f t="shared" ca="1" si="7"/>
        <v xml:space="preserve">Quental, C. </v>
      </c>
      <c r="M280" t="str">
        <f ca="1">IFERROR(__xludf.DUMMYFUNCTION("""COMPUTED_VALUE""")," Gouveia, J. ")</f>
        <v xml:space="preserve"> Gouveia, J. </v>
      </c>
      <c r="N280" t="str">
        <f ca="1">IFERROR(__xludf.DUMMYFUNCTION("""COMPUTED_VALUE""")," Restivo, F. ")</f>
        <v xml:space="preserve"> Restivo, F. </v>
      </c>
    </row>
    <row r="281" spans="1:14" ht="15.75" customHeight="1">
      <c r="A281">
        <f ca="1">IFERROR(__xludf.DUMMYFUNCTION("""COMPUTED_VALUE"""),13)</f>
        <v>13</v>
      </c>
      <c r="B281" t="str">
        <f ca="1">IFERROR(__xludf.DUMMYFUNCTION("""COMPUTED_VALUE"""),"Gouveia, L.; Gouveia, J. and Restivo, F. (2000). *EFTWeb: an application to 
support skills trading within education, learning and training 
environments.* First World Conference on Production and Operations 
Management POM Sevilla 2000. 26 - 30 August. S"&amp;"evilla, Spain. 
paper [ pdf (38KB)] presentation [ pdf(535KB)]")</f>
        <v>Gouveia, L.; Gouveia, J. and Restivo, F. (2000). *EFTWeb: an application to 
support skills trading within education, learning and training 
environments.* First World Conference on Production and Operations 
Management POM Sevilla 2000. 26 - 30 August. Sevilla, Spain. 
paper [ pdf (38KB)] presentation [ pdf(535KB)]</v>
      </c>
      <c r="C281" s="2">
        <f t="shared" ca="1" si="0"/>
        <v>42</v>
      </c>
      <c r="D281" t="str">
        <f t="shared" ca="1" si="8"/>
        <v xml:space="preserve">Gouveia, L.; Gouveia, J. and Restivo, F. </v>
      </c>
      <c r="E281" t="str">
        <f t="shared" ca="1" si="1"/>
        <v>2000</v>
      </c>
      <c r="F281" t="str">
        <f t="shared" ca="1" si="2"/>
        <v xml:space="preserve"> *EFTWeb: an application to 
support skills trading within education, learning and training 
environments.*</v>
      </c>
      <c r="G281" s="3">
        <f t="shared" ca="1" si="3"/>
        <v>47</v>
      </c>
      <c r="H281" s="2">
        <f t="shared" ca="1" si="4"/>
        <v>154</v>
      </c>
      <c r="I281" t="e">
        <f t="shared" ca="1" si="5"/>
        <v>#VALUE!</v>
      </c>
      <c r="J281" s="3" t="e">
        <f t="shared" ca="1" si="9"/>
        <v>#VALUE!</v>
      </c>
      <c r="K281" t="str">
        <f t="shared" ca="1" si="6"/>
        <v xml:space="preserve">Gouveia, L.; Gouveia, J. ; Restivo, F. </v>
      </c>
      <c r="L281" t="str">
        <f t="shared" ca="1" si="7"/>
        <v xml:space="preserve">Quental, C. </v>
      </c>
      <c r="M281" t="str">
        <f ca="1">IFERROR(__xludf.DUMMYFUNCTION("""COMPUTED_VALUE""")," Gouveia, J. ")</f>
        <v xml:space="preserve"> Gouveia, J. </v>
      </c>
      <c r="N281" t="str">
        <f ca="1">IFERROR(__xludf.DUMMYFUNCTION("""COMPUTED_VALUE""")," Restivo, F. ")</f>
        <v xml:space="preserve"> Restivo, F. </v>
      </c>
    </row>
    <row r="282" spans="1:14" ht="15.75" customHeight="1">
      <c r="A282">
        <f ca="1">IFERROR(__xludf.DUMMYFUNCTION("""COMPUTED_VALUE"""),12)</f>
        <v>12</v>
      </c>
      <c r="B282" t="str">
        <f ca="1">IFERROR(__xludf.DUMMYFUNCTION("""COMPUTED_VALUE"""),"Gouveia, J.; Gouveia, L. and Restivo, F. (2000). *Proposing a knowledge 
network to assist education, training and learning.* ITS'2000 XIII Biennial 
Conference. 2-5 July. Buenos Aires, Argentina. 
paper [ pdf (425KB)] presentation [ pdf(448KB)]")</f>
        <v>Gouveia, J.; Gouveia, L. and Restivo, F. (2000). *Proposing a knowledge 
network to assist education, training and learning.* ITS'2000 XIII Biennial 
Conference. 2-5 July. Buenos Aires, Argentina. 
paper [ pdf (425KB)] presentation [ pdf(448KB)]</v>
      </c>
      <c r="C282" s="2">
        <f t="shared" ca="1" si="0"/>
        <v>42</v>
      </c>
      <c r="D282" t="str">
        <f t="shared" ca="1" si="8"/>
        <v xml:space="preserve">Gouveia, J.; Gouveia, L. and Restivo, F. </v>
      </c>
      <c r="E282" t="str">
        <f t="shared" ca="1" si="1"/>
        <v>2000</v>
      </c>
      <c r="F282" t="str">
        <f t="shared" ca="1" si="2"/>
        <v xml:space="preserve"> *Proposing a knowledge 
network to assist education, training and learning.*</v>
      </c>
      <c r="G282" s="3">
        <f t="shared" ca="1" si="3"/>
        <v>47</v>
      </c>
      <c r="H282" s="2">
        <f t="shared" ca="1" si="4"/>
        <v>124</v>
      </c>
      <c r="I282" t="e">
        <f t="shared" ca="1" si="5"/>
        <v>#VALUE!</v>
      </c>
      <c r="J282" s="3" t="e">
        <f t="shared" ca="1" si="9"/>
        <v>#VALUE!</v>
      </c>
      <c r="K282" t="str">
        <f t="shared" ca="1" si="6"/>
        <v xml:space="preserve">Gouveia, J.; Gouveia, L. ; Restivo, F. </v>
      </c>
      <c r="L282" t="str">
        <f t="shared" ca="1" si="7"/>
        <v xml:space="preserve">Quental, C. </v>
      </c>
      <c r="M282" t="str">
        <f ca="1">IFERROR(__xludf.DUMMYFUNCTION("""COMPUTED_VALUE""")," Gouveia, L. ")</f>
        <v xml:space="preserve"> Gouveia, L. </v>
      </c>
      <c r="N282" t="str">
        <f ca="1">IFERROR(__xludf.DUMMYFUNCTION("""COMPUTED_VALUE""")," Restivo, F. ")</f>
        <v xml:space="preserve"> Restivo, F. </v>
      </c>
    </row>
    <row r="283" spans="1:14" ht="15.75" customHeight="1">
      <c r="A283">
        <f ca="1">IFERROR(__xludf.DUMMYFUNCTION("""COMPUTED_VALUE"""),11)</f>
        <v>11</v>
      </c>
      <c r="B283" t="str">
        <f ca="1">IFERROR(__xludf.DUMMYFUNCTION("""COMPUTED_VALUE"""),"Gouveia, J.; Gouveia, L. and Restivo, F. (2000). *EFTWeb: a learning 
environment that supports presence and distance education.* Poster 
accepted. Proceedings of the European Conference on Web-Based Learning 
Environments - WBLE'2000. FEUP pp 159-160. IS"&amp;"BN 972-752-035-9. June 5-6. 
Porto, Portugal 
paper [ pdf (12KB)] poster [ gif(408KB)]")</f>
        <v>Gouveia, J.; Gouveia, L. and Restivo, F. (2000). *EFTWeb: a learning 
environment that supports presence and distance education.* Poster 
accepted. Proceedings of the European Conference on Web-Based Learning 
Environments - WBLE'2000. FEUP pp 159-160. ISBN 972-752-035-9. June 5-6. 
Porto, Portugal 
paper [ pdf (12KB)] poster [ gif(408KB)]</v>
      </c>
      <c r="C283" s="2">
        <f t="shared" ca="1" si="0"/>
        <v>42</v>
      </c>
      <c r="D283" t="str">
        <f t="shared" ca="1" si="8"/>
        <v xml:space="preserve">Gouveia, J.; Gouveia, L. and Restivo, F. </v>
      </c>
      <c r="E283" t="str">
        <f t="shared" ca="1" si="1"/>
        <v>2000</v>
      </c>
      <c r="F283" t="str">
        <f t="shared" ca="1" si="2"/>
        <v xml:space="preserve"> *EFTWeb: a learning 
environment that supports presence and distance education.*</v>
      </c>
      <c r="G283" s="3">
        <f t="shared" ca="1" si="3"/>
        <v>47</v>
      </c>
      <c r="H283" s="2">
        <f t="shared" ca="1" si="4"/>
        <v>128</v>
      </c>
      <c r="I283" t="e">
        <f t="shared" ca="1" si="5"/>
        <v>#VALUE!</v>
      </c>
      <c r="J283" s="3" t="e">
        <f t="shared" ca="1" si="9"/>
        <v>#VALUE!</v>
      </c>
      <c r="K283" t="str">
        <f t="shared" ca="1" si="6"/>
        <v xml:space="preserve">Gouveia, J.; Gouveia, L. ; Restivo, F. </v>
      </c>
      <c r="L283" t="str">
        <f t="shared" ca="1" si="7"/>
        <v xml:space="preserve">Quental, C. </v>
      </c>
      <c r="M283" t="str">
        <f ca="1">IFERROR(__xludf.DUMMYFUNCTION("""COMPUTED_VALUE""")," Gouveia, L. ")</f>
        <v xml:space="preserve"> Gouveia, L. </v>
      </c>
      <c r="N283" t="str">
        <f ca="1">IFERROR(__xludf.DUMMYFUNCTION("""COMPUTED_VALUE""")," Restivo, F. ")</f>
        <v xml:space="preserve"> Restivo, F. </v>
      </c>
    </row>
    <row r="284" spans="1:14" ht="15.75" customHeight="1">
      <c r="A284">
        <f ca="1">IFERROR(__xludf.DUMMYFUNCTION("""COMPUTED_VALUE"""),10)</f>
        <v>10</v>
      </c>
      <c r="B284" t="str">
        <f ca="1">IFERROR(__xludf.DUMMYFUNCTION("""COMPUTED_VALUE"""),"Gouveia, L. and Gouveia, F. (2000). *Informing a information discovery tool 
for using gesture.* Conference on Gestures: Meaning and Use. 1-5 April, 
UFP, Porto, Portugal. 
paper [ pdf (12KB)] presentation [ pdf(370KB)]")</f>
        <v>Gouveia, L. and Gouveia, F. (2000). *Informing a information discovery tool 
for using gesture.* Conference on Gestures: Meaning and Use. 1-5 April, 
UFP, Porto, Portugal. 
paper [ pdf (12KB)] presentation [ pdf(370KB)]</v>
      </c>
      <c r="C284" s="2">
        <f t="shared" ca="1" si="0"/>
        <v>29</v>
      </c>
      <c r="D284" t="str">
        <f t="shared" ca="1" si="8"/>
        <v xml:space="preserve">Gouveia, L. and Gouveia, F. </v>
      </c>
      <c r="E284" t="str">
        <f t="shared" ca="1" si="1"/>
        <v>2000</v>
      </c>
      <c r="F284" t="str">
        <f t="shared" ca="1" si="2"/>
        <v xml:space="preserve"> *Informing a information discovery tool 
for using gesture.*</v>
      </c>
      <c r="G284" s="3">
        <f t="shared" ca="1" si="3"/>
        <v>34</v>
      </c>
      <c r="H284" s="2">
        <f t="shared" ca="1" si="4"/>
        <v>95</v>
      </c>
      <c r="I284" t="e">
        <f t="shared" ca="1" si="5"/>
        <v>#VALUE!</v>
      </c>
      <c r="J284" s="3" t="e">
        <f t="shared" ca="1" si="9"/>
        <v>#VALUE!</v>
      </c>
      <c r="K284" t="str">
        <f t="shared" ca="1" si="6"/>
        <v xml:space="preserve">Gouveia, L. ; Gouveia, F. </v>
      </c>
      <c r="L284" t="str">
        <f t="shared" ca="1" si="7"/>
        <v xml:space="preserve">Quental, C. </v>
      </c>
      <c r="M284" t="str">
        <f ca="1">IFERROR(__xludf.DUMMYFUNCTION("""COMPUTED_VALUE""")," Gouveia, F. ")</f>
        <v xml:space="preserve"> Gouveia, F. </v>
      </c>
    </row>
    <row r="285" spans="1:14" ht="15.75" customHeight="1">
      <c r="A285">
        <f ca="1">IFERROR(__xludf.DUMMYFUNCTION("""COMPUTED_VALUE"""),9)</f>
        <v>9</v>
      </c>
      <c r="B285" t="str">
        <f ca="1">IFERROR(__xludf.DUMMYFUNCTION("""COMPUTED_VALUE"""),"Gouveia, L.; Gouveia, F. and Lamas, D. (1999). *Innovation in Business 
Processes.* Conferência Especializada Sistemas e Tecnologias de Informação. 
Universidade Católica Portuguesa. CEPI'99, 4 e 5 de Outubro.  Lisboa. 
Portugal. 
paper [ pdf (36KB) ] pre"&amp;"sentation [ pdf(21KB], in Portuguese]")</f>
        <v>Gouveia, L.; Gouveia, F. and Lamas, D. (1999). *Innovation in Business 
Processes.* Conferência Especializada Sistemas e Tecnologias de Informação. 
Universidade Católica Portuguesa. CEPI'99, 4 e 5 de Outubro.  Lisboa. 
Portugal. 
paper [ pdf (36KB) ] presentation [ pdf(21KB], in Portuguese]</v>
      </c>
      <c r="C285" s="2">
        <f t="shared" ca="1" si="0"/>
        <v>40</v>
      </c>
      <c r="D285" t="str">
        <f t="shared" ca="1" si="8"/>
        <v xml:space="preserve">Gouveia, L.; Gouveia, F. and Lamas, D. </v>
      </c>
      <c r="E285" t="str">
        <f t="shared" ca="1" si="1"/>
        <v>1999</v>
      </c>
      <c r="F285" t="str">
        <f t="shared" ca="1" si="2"/>
        <v xml:space="preserve"> *Innovation in Business 
Processes.*</v>
      </c>
      <c r="G285" s="3">
        <f t="shared" ca="1" si="3"/>
        <v>45</v>
      </c>
      <c r="H285" s="2">
        <f t="shared" ca="1" si="4"/>
        <v>82</v>
      </c>
      <c r="I285" t="e">
        <f t="shared" ca="1" si="5"/>
        <v>#VALUE!</v>
      </c>
      <c r="J285" s="3" t="e">
        <f t="shared" ca="1" si="9"/>
        <v>#VALUE!</v>
      </c>
      <c r="K285" t="str">
        <f t="shared" ca="1" si="6"/>
        <v xml:space="preserve">Gouveia, L.; Gouveia, F. ; Lamas, D. </v>
      </c>
      <c r="L285" t="str">
        <f t="shared" ca="1" si="7"/>
        <v xml:space="preserve">Quental, C. </v>
      </c>
      <c r="M285" t="str">
        <f ca="1">IFERROR(__xludf.DUMMYFUNCTION("""COMPUTED_VALUE""")," Gouveia, F. ")</f>
        <v xml:space="preserve"> Gouveia, F. </v>
      </c>
      <c r="N285" t="str">
        <f ca="1">IFERROR(__xludf.DUMMYFUNCTION("""COMPUTED_VALUE""")," Lamas, D. ")</f>
        <v xml:space="preserve"> Lamas, D. </v>
      </c>
    </row>
    <row r="286" spans="1:14" ht="15.75" customHeight="1">
      <c r="A286">
        <f ca="1">IFERROR(__xludf.DUMMYFUNCTION("""COMPUTED_VALUE"""),8)</f>
        <v>8</v>
      </c>
      <c r="B286" t="str">
        <f ca="1">IFERROR(__xludf.DUMMYFUNCTION("""COMPUTED_VALUE"""),"Gouveia, L.; Gouveia, J. and Restivo, F. (1999). *EFTWeb: a working model 
proposal to support Education, Learning and Training.* Conferência 
Especializada Sistemas e Tecnologias de Informação. Universidade Católica 
Portuguesa. CEPI´99, 4 e 5 de Outubro"&amp;".  Lisboa. Portugal. 
paper [ pdf (26KB) ] presentation [ pdf(221KB], in Portuguese]")</f>
        <v>Gouveia, L.; Gouveia, J. and Restivo, F. (1999). *EFTWeb: a working model 
proposal to support Education, Learning and Training.* Conferência 
Especializada Sistemas e Tecnologias de Informação. Universidade Católica 
Portuguesa. CEPI´99, 4 e 5 de Outubro.  Lisboa. Portugal. 
paper [ pdf (26KB) ] presentation [ pdf(221KB], in Portuguese]</v>
      </c>
      <c r="C286" s="2">
        <f t="shared" ca="1" si="0"/>
        <v>42</v>
      </c>
      <c r="D286" t="str">
        <f t="shared" ca="1" si="8"/>
        <v xml:space="preserve">Gouveia, L.; Gouveia, J. and Restivo, F. </v>
      </c>
      <c r="E286" t="str">
        <f t="shared" ca="1" si="1"/>
        <v>1999</v>
      </c>
      <c r="F286" t="str">
        <f t="shared" ca="1" si="2"/>
        <v xml:space="preserve"> *EFTWeb: a working model 
proposal to support Education, Learning and Training.*</v>
      </c>
      <c r="G286" s="3">
        <f t="shared" ca="1" si="3"/>
        <v>47</v>
      </c>
      <c r="H286" s="2">
        <f t="shared" ca="1" si="4"/>
        <v>128</v>
      </c>
      <c r="I286" t="e">
        <f t="shared" ca="1" si="5"/>
        <v>#VALUE!</v>
      </c>
      <c r="J286" s="3" t="e">
        <f t="shared" ca="1" si="9"/>
        <v>#VALUE!</v>
      </c>
      <c r="K286" t="str">
        <f t="shared" ca="1" si="6"/>
        <v xml:space="preserve">Gouveia, L.; Gouveia, J. ; Restivo, F. </v>
      </c>
      <c r="L286" t="str">
        <f t="shared" ca="1" si="7"/>
        <v xml:space="preserve">Quental, C. </v>
      </c>
      <c r="M286" t="str">
        <f ca="1">IFERROR(__xludf.DUMMYFUNCTION("""COMPUTED_VALUE""")," Gouveia, J. ")</f>
        <v xml:space="preserve"> Gouveia, J. </v>
      </c>
      <c r="N286" t="str">
        <f ca="1">IFERROR(__xludf.DUMMYFUNCTION("""COMPUTED_VALUE""")," Restivo, F. ")</f>
        <v xml:space="preserve"> Restivo, F. </v>
      </c>
    </row>
    <row r="287" spans="1:14" ht="15.75" customHeight="1">
      <c r="A287">
        <f ca="1">IFERROR(__xludf.DUMMYFUNCTION("""COMPUTED_VALUE"""),7)</f>
        <v>7</v>
      </c>
      <c r="B287" t="str">
        <f ca="1">IFERROR(__xludf.DUMMYFUNCTION("""COMPUTED_VALUE"""),"Gouveia, L. (1999). *Shared Visualisation and Virtual Environments for 
Co-operative Learning*. Doctoral Colloquium. ECSCW'99. 12-16 September 
Scandic Copenhagen Hotel. Copenhagen, Denmark. Conference supplement 
proceedings, pp 70-72. 
paper [ pdf (11KB"&amp;")] presentation [ pdf(141KB)]")</f>
        <v>Gouveia, L. (1999). *Shared Visualisation and Virtual Environments for 
Co-operative Learning*. Doctoral Colloquium. ECSCW'99. 12-16 September 
Scandic Copenhagen Hotel. Copenhagen, Denmark. Conference supplement 
proceedings, pp 70-72. 
paper [ pdf (11KB)] presentation [ pdf(141KB)]</v>
      </c>
      <c r="C287" s="2">
        <f t="shared" ca="1" si="0"/>
        <v>13</v>
      </c>
      <c r="D287" t="str">
        <f t="shared" ca="1" si="8"/>
        <v xml:space="preserve">Gouveia, L. </v>
      </c>
      <c r="E287" t="str">
        <f t="shared" ca="1" si="1"/>
        <v>1999</v>
      </c>
      <c r="F287" t="str">
        <f t="shared" ca="1" si="2"/>
        <v xml:space="preserve"> *Shared Visualisation and Virtual Environments for 
Co-operative Learning*. </v>
      </c>
      <c r="G287" s="3">
        <f t="shared" ca="1" si="3"/>
        <v>18</v>
      </c>
      <c r="H287" s="2">
        <f t="shared" ca="1" si="4"/>
        <v>95</v>
      </c>
      <c r="I287" t="e">
        <f t="shared" ca="1" si="5"/>
        <v>#VALUE!</v>
      </c>
      <c r="J287" s="3" t="e">
        <f t="shared" ca="1" si="9"/>
        <v>#VALUE!</v>
      </c>
      <c r="K287" t="str">
        <f t="shared" ca="1" si="6"/>
        <v xml:space="preserve">Gouveia, L. </v>
      </c>
      <c r="L287" t="str">
        <f t="shared" ca="1" si="7"/>
        <v xml:space="preserve">Quental, C. </v>
      </c>
    </row>
    <row r="288" spans="1:14" ht="15.75" customHeight="1">
      <c r="A288">
        <f ca="1">IFERROR(__xludf.DUMMYFUNCTION("""COMPUTED_VALUE"""),6)</f>
        <v>6</v>
      </c>
      <c r="B288" t="str">
        <f ca="1">IFERROR(__xludf.DUMMYFUNCTION("""COMPUTED_VALUE"""),"Gouveia, L. (1999). *Is there any space for presence teaching in a digital 
world? A proposed framework for Web usage.* In proceedings of Challenges'99 
International Conference ICT in Education. 12-14 May. Universidade do 
Minho. Portugal. pp 91-98. ISBN"&amp;" 972-98456-0-3. 
paper: [ pdf (23KB) ] presentation: [ pdf(39KB) ]")</f>
        <v>Gouveia, L. (1999). *Is there any space for presence teaching in a digital 
world? A proposed framework for Web usage.* In proceedings of Challenges'99 
International Conference ICT in Education. 12-14 May. Universidade do 
Minho. Portugal. pp 91-98. ISBN 972-98456-0-3. 
paper: [ pdf (23KB) ] presentation: [ pdf(39KB) ]</v>
      </c>
      <c r="C288" s="2">
        <f t="shared" ca="1" si="0"/>
        <v>13</v>
      </c>
      <c r="D288" t="str">
        <f t="shared" ca="1" si="8"/>
        <v xml:space="preserve">Gouveia, L. </v>
      </c>
      <c r="E288" t="str">
        <f t="shared" ca="1" si="1"/>
        <v>1999</v>
      </c>
      <c r="F288" t="str">
        <f t="shared" ca="1" si="2"/>
        <v xml:space="preserve"> *Is there any space for presence teaching in a digital 
world? A proposed framework for Web usage.*</v>
      </c>
      <c r="G288" s="3">
        <f t="shared" ca="1" si="3"/>
        <v>18</v>
      </c>
      <c r="H288" s="2">
        <f t="shared" ca="1" si="4"/>
        <v>118</v>
      </c>
      <c r="I288" t="e">
        <f t="shared" ca="1" si="5"/>
        <v>#VALUE!</v>
      </c>
      <c r="J288" s="3" t="e">
        <f t="shared" ca="1" si="9"/>
        <v>#VALUE!</v>
      </c>
      <c r="K288" t="str">
        <f t="shared" ca="1" si="6"/>
        <v xml:space="preserve">Gouveia, L. </v>
      </c>
      <c r="L288" t="str">
        <f t="shared" ca="1" si="7"/>
        <v xml:space="preserve">Quental, C. </v>
      </c>
    </row>
    <row r="289" spans="1:14" ht="15.75" customHeight="1">
      <c r="A289">
        <f ca="1">IFERROR(__xludf.DUMMYFUNCTION("""COMPUTED_VALUE"""),5)</f>
        <v>5</v>
      </c>
      <c r="B289" t="str">
        <f ca="1">IFERROR(__xludf.DUMMYFUNCTION("""COMPUTED_VALUE"""),"Gouveia, L. (1998). *A technological related discussion on the potential of 
change in education, learning and training*. Euroconference - New 
Technologies for Higher Education. Univ. de Aveiro. Aveiro. Portugal, 16 - 
19 September. 
paper:  [ pdf (42KB)"&amp;" ] presentation: [ pdf ( 96KB) ]
poster: [ pdf(80KB) ]")</f>
        <v>Gouveia, L. (1998). *A technological related discussion on the potential of 
change in education, learning and training*. Euroconference - New 
Technologies for Higher Education. Univ. de Aveiro. Aveiro. Portugal, 16 - 
19 September. 
paper:  [ pdf (42KB) ] presentation: [ pdf ( 96KB) ]
poster: [ pdf(80KB) ]</v>
      </c>
      <c r="C289" s="2">
        <f t="shared" ca="1" si="0"/>
        <v>13</v>
      </c>
      <c r="D289" t="str">
        <f t="shared" ca="1" si="8"/>
        <v xml:space="preserve">Gouveia, L. </v>
      </c>
      <c r="E289" t="str">
        <f t="shared" ca="1" si="1"/>
        <v>1998</v>
      </c>
      <c r="F289" t="str">
        <f t="shared" ca="1" si="2"/>
        <v xml:space="preserve"> *A technological related discussion on the potential of 
change in education, learning and training*. </v>
      </c>
      <c r="G289" s="3">
        <f t="shared" ca="1" si="3"/>
        <v>18</v>
      </c>
      <c r="H289" s="2">
        <f t="shared" ca="1" si="4"/>
        <v>121</v>
      </c>
      <c r="I289" t="e">
        <f t="shared" ca="1" si="5"/>
        <v>#VALUE!</v>
      </c>
      <c r="J289" s="3" t="e">
        <f t="shared" ca="1" si="9"/>
        <v>#VALUE!</v>
      </c>
      <c r="K289" t="str">
        <f t="shared" ca="1" si="6"/>
        <v xml:space="preserve">Gouveia, L. </v>
      </c>
      <c r="L289" t="str">
        <f t="shared" ca="1" si="7"/>
        <v xml:space="preserve">Quental, C. </v>
      </c>
    </row>
    <row r="290" spans="1:14" ht="15.75" customHeight="1">
      <c r="A290">
        <f ca="1">IFERROR(__xludf.DUMMYFUNCTION("""COMPUTED_VALUE"""),4)</f>
        <v>4</v>
      </c>
      <c r="B290" t="str">
        <f ca="1">IFERROR(__xludf.DUMMYFUNCTION("""COMPUTED_VALUE"""),"Gouveia, L. (1998). *Feasibility discussion of a Collaborative Virtual 
Environment, finding alternative ways for university members interaction*. 
Twelfth biennial conference ITS´98 - beyond convergence, communiation into 
the next millennium. Stockholm,"&amp;" Sweden, June 21-24. 
paper: [ pdf (61KB) ] presentation: [ zipped postscript(143KB) ]")</f>
        <v>Gouveia, L. (1998). *Feasibility discussion of a Collaborative Virtual 
Environment, finding alternative ways for university members interaction*. 
Twelfth biennial conference ITS´98 - beyond convergence, communiation into 
the next millennium. Stockholm, Sweden, June 21-24. 
paper: [ pdf (61KB) ] presentation: [ zipped postscript(143KB) ]</v>
      </c>
      <c r="C290" s="2">
        <f t="shared" ca="1" si="0"/>
        <v>13</v>
      </c>
      <c r="D290" t="str">
        <f t="shared" ca="1" si="8"/>
        <v xml:space="preserve">Gouveia, L. </v>
      </c>
      <c r="E290" t="str">
        <f t="shared" ca="1" si="1"/>
        <v>1998</v>
      </c>
      <c r="F290" t="str">
        <f t="shared" ca="1" si="2"/>
        <v xml:space="preserve"> *Feasibility discussion of a Collaborative Virtual 
Environment, finding alternative ways for university members interaction*. </v>
      </c>
      <c r="G290" s="3">
        <f t="shared" ca="1" si="3"/>
        <v>18</v>
      </c>
      <c r="H290" s="2">
        <f t="shared" ca="1" si="4"/>
        <v>146</v>
      </c>
      <c r="I290" t="e">
        <f t="shared" ca="1" si="5"/>
        <v>#VALUE!</v>
      </c>
      <c r="J290" s="3" t="e">
        <f t="shared" ca="1" si="9"/>
        <v>#VALUE!</v>
      </c>
      <c r="K290" t="str">
        <f t="shared" ca="1" si="6"/>
        <v xml:space="preserve">Gouveia, L. </v>
      </c>
      <c r="L290" t="str">
        <f t="shared" ca="1" si="7"/>
        <v xml:space="preserve">Quental, C. </v>
      </c>
    </row>
    <row r="291" spans="1:14" ht="15.75" customHeight="1">
      <c r="A291">
        <f ca="1">IFERROR(__xludf.DUMMYFUNCTION("""COMPUTED_VALUE"""),3)</f>
        <v>3</v>
      </c>
      <c r="B291" t="str">
        <f ca="1">IFERROR(__xludf.DUMMYFUNCTION("""COMPUTED_VALUE"""),"Gouveia, L. (1998). *Digital support for teachers teaching. Current 
experience on using Internet facilities in virtual university environments*. 
ITET'98, International Conference. May 20-22. Macau, Portugal. (full paper 
accepted, but not presented) 
ab"&amp;"stract: [ HTML]")</f>
        <v>Gouveia, L. (1998). *Digital support for teachers teaching. Current 
experience on using Internet facilities in virtual university environments*. 
ITET'98, International Conference. May 20-22. Macau, Portugal. (full paper 
accepted, but not presented) 
abstract: [ HTML]</v>
      </c>
      <c r="C291" s="2">
        <f t="shared" ca="1" si="0"/>
        <v>13</v>
      </c>
      <c r="D291" t="str">
        <f t="shared" ca="1" si="8"/>
        <v xml:space="preserve">Gouveia, L. </v>
      </c>
      <c r="E291" t="str">
        <f t="shared" ca="1" si="1"/>
        <v>1998</v>
      </c>
      <c r="F291" t="str">
        <f t="shared" ca="1" si="2"/>
        <v xml:space="preserve"> *Digital support for teachers teaching. </v>
      </c>
      <c r="G291" s="3">
        <f t="shared" ca="1" si="3"/>
        <v>18</v>
      </c>
      <c r="H291" s="2">
        <f t="shared" ca="1" si="4"/>
        <v>59</v>
      </c>
      <c r="I291" t="e">
        <f t="shared" ca="1" si="5"/>
        <v>#VALUE!</v>
      </c>
      <c r="J291" s="3" t="e">
        <f t="shared" ca="1" si="9"/>
        <v>#VALUE!</v>
      </c>
      <c r="K291" t="str">
        <f t="shared" ca="1" si="6"/>
        <v xml:space="preserve">Gouveia, L. </v>
      </c>
      <c r="L291" t="str">
        <f t="shared" ca="1" si="7"/>
        <v xml:space="preserve">Quental, C. </v>
      </c>
    </row>
    <row r="292" spans="1:14" ht="15.75" customHeight="1">
      <c r="A292">
        <f ca="1">IFERROR(__xludf.DUMMYFUNCTION("""COMPUTED_VALUE"""),2)</f>
        <v>2</v>
      </c>
      <c r="B292" t="str">
        <f ca="1">IFERROR(__xludf.DUMMYFUNCTION("""COMPUTED_VALUE"""),"Gouveia, L. (1998). *The NetLab experience, moving the action to electronic 
learning environments*. Proceedings of BITE'98, International Conference, 
pp 395-405. Maastricht, The Netherlands, March 25-27. 
text: [ pdf (52KB)] presentation: [ HTML]")</f>
        <v>Gouveia, L. (1998). *The NetLab experience, moving the action to electronic 
learning environments*. Proceedings of BITE'98, International Conference, 
pp 395-405. Maastricht, The Netherlands, March 25-27. 
text: [ pdf (52KB)] presentation: [ HTML]</v>
      </c>
      <c r="C292" s="2">
        <f t="shared" ca="1" si="0"/>
        <v>13</v>
      </c>
      <c r="D292" t="str">
        <f t="shared" ca="1" si="8"/>
        <v xml:space="preserve">Gouveia, L. </v>
      </c>
      <c r="E292" t="str">
        <f t="shared" ca="1" si="1"/>
        <v>1998</v>
      </c>
      <c r="F292" t="str">
        <f t="shared" ca="1" si="2"/>
        <v xml:space="preserve"> *The NetLab experience, moving the action to electronic 
learning environments*. </v>
      </c>
      <c r="G292" s="3">
        <f t="shared" ca="1" si="3"/>
        <v>18</v>
      </c>
      <c r="H292" s="2">
        <f t="shared" ca="1" si="4"/>
        <v>100</v>
      </c>
      <c r="I292" t="e">
        <f t="shared" ca="1" si="5"/>
        <v>#VALUE!</v>
      </c>
      <c r="J292" s="3" t="e">
        <f t="shared" ca="1" si="9"/>
        <v>#VALUE!</v>
      </c>
      <c r="K292" t="str">
        <f t="shared" ca="1" si="6"/>
        <v xml:space="preserve">Gouveia, L. </v>
      </c>
      <c r="L292" t="str">
        <f t="shared" ca="1" si="7"/>
        <v xml:space="preserve">Quental, C. </v>
      </c>
    </row>
    <row r="293" spans="1:14" ht="15.75" customHeight="1">
      <c r="A293">
        <f ca="1">IFERROR(__xludf.DUMMYFUNCTION("""COMPUTED_VALUE"""),1)</f>
        <v>1</v>
      </c>
      <c r="B293" t="str">
        <f ca="1">IFERROR(__xludf.DUMMYFUNCTION("""COMPUTED_VALUE"""),"Gouveia, L. (1996). *Sociedade Digital: que oportunidades?* Congresso 
Internacional Pós-Colonialismo e Identidade, UFP. Porto.
texto: [ pdf (22KB)] transparências: [ pdf (154KB)]")</f>
        <v>Gouveia, L. (1996). *Sociedade Digital: que oportunidades?* Congresso 
Internacional Pós-Colonialismo e Identidade, UFP. Porto.
texto: [ pdf (22KB)] transparências: [ pdf (154KB)]</v>
      </c>
      <c r="C293" s="2">
        <f t="shared" ca="1" si="0"/>
        <v>13</v>
      </c>
      <c r="D293" t="str">
        <f t="shared" ca="1" si="8"/>
        <v xml:space="preserve">Gouveia, L. </v>
      </c>
      <c r="E293" t="str">
        <f t="shared" ca="1" si="1"/>
        <v>1996</v>
      </c>
      <c r="F293" t="str">
        <f t="shared" ca="1" si="2"/>
        <v xml:space="preserve"> *Sociedade Digital: que oportunidades?* Congresso 
Internacional Pós-Colonialismo e Identidade, UFP. </v>
      </c>
      <c r="G293" s="3">
        <f t="shared" ca="1" si="3"/>
        <v>18</v>
      </c>
      <c r="H293" s="2">
        <f t="shared" ca="1" si="4"/>
        <v>120</v>
      </c>
      <c r="I293" t="e">
        <f t="shared" ca="1" si="5"/>
        <v>#VALUE!</v>
      </c>
      <c r="J293" s="3" t="e">
        <f t="shared" ca="1" si="9"/>
        <v>#VALUE!</v>
      </c>
      <c r="K293" t="str">
        <f t="shared" ca="1" si="6"/>
        <v xml:space="preserve">Gouveia, L. </v>
      </c>
      <c r="L293" t="str">
        <f t="shared" ca="1" si="7"/>
        <v xml:space="preserve">Quental, C. </v>
      </c>
    </row>
    <row r="294" spans="1:14" ht="15.75" customHeight="1">
      <c r="A294" t="str">
        <f ca="1">IFERROR(__xludf.DUMMYFUNCTION("""COMPUTED_VALUE"""),"[ top ]")</f>
        <v>[ top ]</v>
      </c>
      <c r="B294" t="str">
        <f ca="1">IFERROR(__xludf.DUMMYFUNCTION("""COMPUTED_VALUE"""),"Conferências*Nacionais* / *National Conferences*")</f>
        <v>Conferências*Nacionais* / *National Conferences*</v>
      </c>
      <c r="C294" s="2" t="e">
        <f t="shared" ca="1" si="0"/>
        <v>#VALUE!</v>
      </c>
      <c r="D294" t="e">
        <f t="shared" ca="1" si="8"/>
        <v>#VALUE!</v>
      </c>
      <c r="E294" t="e">
        <f t="shared" ca="1" si="1"/>
        <v>#VALUE!</v>
      </c>
      <c r="F294" t="e">
        <f t="shared" ca="1" si="2"/>
        <v>#VALUE!</v>
      </c>
      <c r="G294" s="3" t="e">
        <f t="shared" ca="1" si="3"/>
        <v>#VALUE!</v>
      </c>
      <c r="H294" s="2" t="e">
        <f t="shared" ca="1" si="4"/>
        <v>#VALUE!</v>
      </c>
      <c r="I294" t="e">
        <f t="shared" ca="1" si="5"/>
        <v>#VALUE!</v>
      </c>
      <c r="J294" s="3" t="e">
        <f t="shared" ca="1" si="9"/>
        <v>#VALUE!</v>
      </c>
      <c r="K294" t="e">
        <f t="shared" ca="1" si="6"/>
        <v>#VALUE!</v>
      </c>
      <c r="L294" t="str">
        <f t="shared" ca="1" si="7"/>
        <v xml:space="preserve">Quental, C. </v>
      </c>
    </row>
    <row r="295" spans="1:14" ht="15.75" customHeight="1">
      <c r="A295" t="str">
        <f ca="1">IFERROR(__xludf.DUMMYFUNCTION("""COMPUTED_VALUE"""),"_________")</f>
        <v>_________</v>
      </c>
      <c r="B295" t="str">
        <f ca="1">IFERROR(__xludf.DUMMYFUNCTION("""COMPUTED_VALUE"""),"comunicações convidadas / invited talks, keynotes")</f>
        <v>comunicações convidadas / invited talks, keynotes</v>
      </c>
      <c r="C295" s="2" t="e">
        <f t="shared" ca="1" si="0"/>
        <v>#VALUE!</v>
      </c>
      <c r="D295" t="e">
        <f t="shared" ca="1" si="8"/>
        <v>#VALUE!</v>
      </c>
      <c r="E295" t="e">
        <f t="shared" ca="1" si="1"/>
        <v>#VALUE!</v>
      </c>
      <c r="F295" t="e">
        <f t="shared" ca="1" si="2"/>
        <v>#VALUE!</v>
      </c>
      <c r="G295" s="3" t="e">
        <f t="shared" ca="1" si="3"/>
        <v>#VALUE!</v>
      </c>
      <c r="H295" s="2" t="e">
        <f t="shared" ca="1" si="4"/>
        <v>#VALUE!</v>
      </c>
      <c r="I295" t="e">
        <f t="shared" ca="1" si="5"/>
        <v>#VALUE!</v>
      </c>
      <c r="J295" s="3" t="e">
        <f t="shared" ca="1" si="9"/>
        <v>#VALUE!</v>
      </c>
      <c r="K295" t="e">
        <f t="shared" ca="1" si="6"/>
        <v>#VALUE!</v>
      </c>
      <c r="L295" t="str">
        <f t="shared" ca="1" si="7"/>
        <v xml:space="preserve">Quental, C. </v>
      </c>
    </row>
    <row r="296" spans="1:14" ht="15.75" customHeight="1">
      <c r="A296">
        <f ca="1">IFERROR(__xludf.DUMMYFUNCTION("""COMPUTED_VALUE"""),9)</f>
        <v>9</v>
      </c>
      <c r="B296" t="str">
        <f ca="1">IFERROR(__xludf.DUMMYFUNCTION("""COMPUTED_VALUE"""),"Gouveia, L. (2015). Explorar e interagir também no digital: um desafio para 
os mais crescidos. Seminário Tecnologias de Informação e Comunicação no 
Processo de ensino/aprendizagem das Línguas no 1º Ciclo do Ensino Básico. 
Aula Magna da Faculdade de Fil"&amp;"osofia e Ciências Sociais (FFCS) da 
Universidade Católica Portuguesa em Braga. 6 de Junho.
[ handle ]")</f>
        <v>Gouveia, L. (2015). Explorar e interagir também no digital: um desafio para 
os mais crescidos. Seminário Tecnologias de Informação e Comunicação no 
Processo de ensino/aprendizagem das Línguas no 1º Ciclo do Ensino Básico. 
Aula Magna da Faculdade de Filosofia e Ciências Sociais (FFCS) da 
Universidade Católica Portuguesa em Braga. 6 de Junho.
[ handle ]</v>
      </c>
      <c r="C296" s="2">
        <f t="shared" ca="1" si="0"/>
        <v>13</v>
      </c>
      <c r="D296" t="str">
        <f t="shared" ca="1" si="8"/>
        <v xml:space="preserve">Gouveia, L. </v>
      </c>
      <c r="E296" t="str">
        <f t="shared" ca="1" si="1"/>
        <v>2015</v>
      </c>
      <c r="F296" t="str">
        <f t="shared" ca="1" si="2"/>
        <v xml:space="preserve"> Explorar e interagir também no digital: um desafio para 
os mais crescidos. </v>
      </c>
      <c r="G296" s="3">
        <f t="shared" ca="1" si="3"/>
        <v>18</v>
      </c>
      <c r="H296" s="2">
        <f t="shared" ca="1" si="4"/>
        <v>95</v>
      </c>
      <c r="I296" t="e">
        <f t="shared" ca="1" si="5"/>
        <v>#VALUE!</v>
      </c>
      <c r="J296" s="3" t="e">
        <f t="shared" ca="1" si="9"/>
        <v>#VALUE!</v>
      </c>
      <c r="K296" t="str">
        <f t="shared" ca="1" si="6"/>
        <v xml:space="preserve">Gouveia, L. </v>
      </c>
      <c r="L296" t="str">
        <f t="shared" ca="1" si="7"/>
        <v xml:space="preserve">Quental, C. </v>
      </c>
    </row>
    <row r="297" spans="1:14" ht="15.75" customHeight="1">
      <c r="A297">
        <f ca="1">IFERROR(__xludf.DUMMYFUNCTION("""COMPUTED_VALUE"""),8)</f>
        <v>8</v>
      </c>
      <c r="B297" t="str">
        <f ca="1">IFERROR(__xludf.DUMMYFUNCTION("""COMPUTED_VALUE"""),"Gouveia, L. (2015).  *Informação digital e segurança. Gerir informação num 
contexto digital, uma reflexão sobre as questões de segurança e defesa*. 
Ciclo de Conferências sobre Segurança e Cidadania. Academia da Guarda - 
Guarda Nacional Republicana. Lis"&amp;"boa, 11 de Março.
[ handle ]")</f>
        <v>Gouveia, L. (2015).  *Informação digital e segurança. Gerir informação num 
contexto digital, uma reflexão sobre as questões de segurança e defesa*. 
Ciclo de Conferências sobre Segurança e Cidadania. Academia da Guarda - 
Guarda Nacional Republicana. Lisboa, 11 de Março.
[ handle ]</v>
      </c>
      <c r="C297" s="2">
        <f t="shared" ca="1" si="0"/>
        <v>13</v>
      </c>
      <c r="D297" t="str">
        <f t="shared" ca="1" si="8"/>
        <v xml:space="preserve">Gouveia, L. </v>
      </c>
      <c r="E297" t="str">
        <f t="shared" ca="1" si="1"/>
        <v>2015</v>
      </c>
      <c r="F297" t="str">
        <f t="shared" ca="1" si="2"/>
        <v xml:space="preserve">  *Informação digital e segurança. </v>
      </c>
      <c r="G297" s="3">
        <f t="shared" ca="1" si="3"/>
        <v>18</v>
      </c>
      <c r="H297" s="2">
        <f t="shared" ca="1" si="4"/>
        <v>53</v>
      </c>
      <c r="I297" t="e">
        <f t="shared" ca="1" si="5"/>
        <v>#VALUE!</v>
      </c>
      <c r="J297" s="3" t="e">
        <f t="shared" ca="1" si="9"/>
        <v>#VALUE!</v>
      </c>
      <c r="K297" t="str">
        <f t="shared" ca="1" si="6"/>
        <v xml:space="preserve">Gouveia, L. </v>
      </c>
      <c r="L297" t="str">
        <f t="shared" ca="1" si="7"/>
        <v xml:space="preserve">Quental, C. </v>
      </c>
    </row>
    <row r="298" spans="1:14" ht="15.75" customHeight="1">
      <c r="A298">
        <f ca="1">IFERROR(__xludf.DUMMYFUNCTION("""COMPUTED_VALUE"""),7)</f>
        <v>7</v>
      </c>
      <c r="B298" t="str">
        <f ca="1">IFERROR(__xludf.DUMMYFUNCTION("""COMPUTED_VALUE"""),"Gouveia, L. (2015). *O digital, a mobilidade e a economia da privacidade*. 
Conferência Privacidade, Inovação e Internet. APDSI - Associação para a 
Promoção e Desenvolvimento da Sociedade da Informação. 30 de Janeiro. 
Culturgest. Lisboa.
[ handle ]")</f>
        <v>Gouveia, L. (2015). *O digital, a mobilidade e a economia da privacidade*. 
Conferência Privacidade, Inovação e Internet. APDSI - Associação para a 
Promoção e Desenvolvimento da Sociedade da Informação. 30 de Janeiro. 
Culturgest. Lisboa.
[ handle ]</v>
      </c>
      <c r="C298" s="2">
        <f t="shared" ca="1" si="0"/>
        <v>13</v>
      </c>
      <c r="D298" t="str">
        <f t="shared" ca="1" si="8"/>
        <v xml:space="preserve">Gouveia, L. </v>
      </c>
      <c r="E298" t="str">
        <f t="shared" ca="1" si="1"/>
        <v>2015</v>
      </c>
      <c r="F298" t="str">
        <f t="shared" ca="1" si="2"/>
        <v xml:space="preserve"> *O digital, a mobilidade e a economia da privacidade*. </v>
      </c>
      <c r="G298" s="3">
        <f t="shared" ca="1" si="3"/>
        <v>18</v>
      </c>
      <c r="H298" s="2">
        <f t="shared" ca="1" si="4"/>
        <v>74</v>
      </c>
      <c r="I298" t="e">
        <f t="shared" ca="1" si="5"/>
        <v>#VALUE!</v>
      </c>
      <c r="J298" s="3" t="e">
        <f t="shared" ca="1" si="9"/>
        <v>#VALUE!</v>
      </c>
      <c r="K298" t="str">
        <f t="shared" ca="1" si="6"/>
        <v xml:space="preserve">Gouveia, L. </v>
      </c>
      <c r="L298" t="str">
        <f t="shared" ca="1" si="7"/>
        <v xml:space="preserve">Quental, C. </v>
      </c>
    </row>
    <row r="299" spans="1:14" ht="15.75" customHeight="1">
      <c r="A299">
        <f ca="1">IFERROR(__xludf.DUMMYFUNCTION("""COMPUTED_VALUE"""),6)</f>
        <v>6</v>
      </c>
      <c r="B299" t="str">
        <f ca="1">IFERROR(__xludf.DUMMYFUNCTION("""COMPUTED_VALUE"""),"Gouveia, L. (2015). *Cidades Inteligentes: a exploração do digital*. Ciclo 
de Conferências Ordem na Informática. O Papel do Engenheiro Informático na 
Construção das Cidades Inteligentes. Conselho Nacional de Colégio de 
Engenharia Informática em parceri"&amp;"a com o Conselho Regional Norte do Colégio 
de Engenharia Informática da Ordem dos Engenheiros. Auditório da Ordem dos 
Engenheiros, Região Norte. 28 de Janeiro. Porto.
[ handle ]")</f>
        <v>Gouveia, L. (2015). *Cidades Inteligentes: a exploração do digital*. Ciclo 
de Conferências Ordem na Informática. O Papel do Engenheiro Informático na 
Construção das Cidades Inteligentes. Conselho Nacional de Colégio de 
Engenharia Informática em parceria com o Conselho Regional Norte do Colégio 
de Engenharia Informática da Ordem dos Engenheiros. Auditório da Ordem dos 
Engenheiros, Região Norte. 28 de Janeiro. Porto.
[ handle ]</v>
      </c>
      <c r="C299" s="2">
        <f t="shared" ca="1" si="0"/>
        <v>13</v>
      </c>
      <c r="D299" t="str">
        <f t="shared" ca="1" si="8"/>
        <v xml:space="preserve">Gouveia, L. </v>
      </c>
      <c r="E299" t="str">
        <f t="shared" ca="1" si="1"/>
        <v>2015</v>
      </c>
      <c r="F299" t="str">
        <f t="shared" ca="1" si="2"/>
        <v xml:space="preserve"> *Cidades Inteligentes: a exploração do digital*. </v>
      </c>
      <c r="G299" s="3">
        <f t="shared" ca="1" si="3"/>
        <v>18</v>
      </c>
      <c r="H299" s="2">
        <f t="shared" ca="1" si="4"/>
        <v>68</v>
      </c>
      <c r="I299" t="e">
        <f t="shared" ca="1" si="5"/>
        <v>#VALUE!</v>
      </c>
      <c r="J299" s="3" t="e">
        <f t="shared" ca="1" si="9"/>
        <v>#VALUE!</v>
      </c>
      <c r="K299" t="str">
        <f t="shared" ca="1" si="6"/>
        <v xml:space="preserve">Gouveia, L. </v>
      </c>
      <c r="L299" t="str">
        <f t="shared" ca="1" si="7"/>
        <v xml:space="preserve">Quental, C. </v>
      </c>
    </row>
    <row r="300" spans="1:14" ht="15.75" customHeight="1">
      <c r="A300">
        <f ca="1">IFERROR(__xludf.DUMMYFUNCTION("""COMPUTED_VALUE"""),5)</f>
        <v>5</v>
      </c>
      <c r="B300" t="str">
        <f ca="1">IFERROR(__xludf.DUMMYFUNCTION("""COMPUTED_VALUE"""),"Gouveia, L. (2014). Negócio e Redes Sociais: fusão ou confusão. Painel 
""Internet, Negócio e Redes Sociais: inovar"". 3ª Conferência Internet, 
Negócio e Redes Sociais ""Confiança e Compromisso nos Canais Digitais"". 
Associação Portuguesa para o Desenvo"&amp;"lvimento da Sociedade da 
Informação(APDSI). 29 de Setembro. Biblioteca Municipal Almeida Garrett, 
Porto.
[ handle ]")</f>
        <v>Gouveia, L. (2014). Negócio e Redes Sociais: fusão ou confusão. Painel 
"Internet, Negócio e Redes Sociais: inovar". 3ª Conferência Internet, 
Negócio e Redes Sociais "Confiança e Compromisso nos Canais Digitais". 
Associação Portuguesa para o Desenvolvimento da Sociedade da 
Informação(APDSI). 29 de Setembro. Biblioteca Municipal Almeida Garrett, 
Porto.
[ handle ]</v>
      </c>
      <c r="C300" s="2">
        <f t="shared" ca="1" si="0"/>
        <v>13</v>
      </c>
      <c r="D300" t="str">
        <f t="shared" ca="1" si="8"/>
        <v xml:space="preserve">Gouveia, L. </v>
      </c>
      <c r="E300" t="str">
        <f t="shared" ca="1" si="1"/>
        <v>2014</v>
      </c>
      <c r="F300" t="str">
        <f t="shared" ca="1" si="2"/>
        <v xml:space="preserve"> Negócio e Redes Sociais: fusão ou confusão. </v>
      </c>
      <c r="G300" s="3">
        <f t="shared" ca="1" si="3"/>
        <v>18</v>
      </c>
      <c r="H300" s="2">
        <f t="shared" ca="1" si="4"/>
        <v>63</v>
      </c>
      <c r="I300" t="str">
        <f t="shared" ca="1" si="5"/>
        <v>Painel 
"Internet, Negócio e Redes Sociais: inovar". 3ª Conferência Internet, 
Negócio e Redes Sociais "Confiança e Compromisso nos Canais Digitais". 
Associação Portuguesa para o Desenvolvimento da Sociedade da 
Informação(APDSI).</v>
      </c>
      <c r="J300" s="3">
        <f t="shared" ca="1" si="9"/>
        <v>294</v>
      </c>
      <c r="K300" t="str">
        <f t="shared" ca="1" si="6"/>
        <v xml:space="preserve">Gouveia, L. </v>
      </c>
      <c r="L300" t="str">
        <f t="shared" ca="1" si="7"/>
        <v xml:space="preserve">Quental, C. </v>
      </c>
    </row>
    <row r="301" spans="1:14" ht="15.75" customHeight="1">
      <c r="A301">
        <f ca="1">IFERROR(__xludf.DUMMYFUNCTION("""COMPUTED_VALUE"""),4)</f>
        <v>4</v>
      </c>
      <c r="B301" t="str">
        <f ca="1">IFERROR(__xludf.DUMMYFUNCTION("""COMPUTED_VALUE"""),"Gouveia, L. (2014). Do local ao global: a tecnologia digital ao serviço do 
conhecimento. Do Artesanal ao Digital. O contributo das Universidades. 
Universidade Fernando Pessoa. Ponte de Lima, 5 de Abril.
[ apresentação ]")</f>
        <v>Gouveia, L. (2014). Do local ao global: a tecnologia digital ao serviço do 
conhecimento. Do Artesanal ao Digital. O contributo das Universidades. 
Universidade Fernando Pessoa. Ponte de Lima, 5 de Abril.
[ apresentação ]</v>
      </c>
      <c r="C301" s="2">
        <f t="shared" ca="1" si="0"/>
        <v>13</v>
      </c>
      <c r="D301" t="str">
        <f t="shared" ca="1" si="8"/>
        <v xml:space="preserve">Gouveia, L. </v>
      </c>
      <c r="E301" t="str">
        <f t="shared" ca="1" si="1"/>
        <v>2014</v>
      </c>
      <c r="F301" t="str">
        <f t="shared" ca="1" si="2"/>
        <v xml:space="preserve"> Do local ao global: a tecnologia digital ao serviço do 
conhecimento. </v>
      </c>
      <c r="G301" s="3">
        <f t="shared" ca="1" si="3"/>
        <v>18</v>
      </c>
      <c r="H301" s="2">
        <f t="shared" ca="1" si="4"/>
        <v>89</v>
      </c>
      <c r="I301" t="e">
        <f t="shared" ca="1" si="5"/>
        <v>#VALUE!</v>
      </c>
      <c r="J301" s="3" t="e">
        <f t="shared" ca="1" si="9"/>
        <v>#VALUE!</v>
      </c>
      <c r="K301" t="str">
        <f t="shared" ca="1" si="6"/>
        <v xml:space="preserve">Gouveia, L. </v>
      </c>
      <c r="L301" t="str">
        <f t="shared" ca="1" si="7"/>
        <v xml:space="preserve">Quental, C. </v>
      </c>
    </row>
    <row r="302" spans="1:14" ht="15.75" customHeight="1">
      <c r="A302">
        <f ca="1">IFERROR(__xludf.DUMMYFUNCTION("""COMPUTED_VALUE"""),3)</f>
        <v>3</v>
      </c>
      <c r="B302" t="str">
        <f ca="1">IFERROR(__xludf.DUMMYFUNCTION("""COMPUTED_VALUE"""),"Gouveia, L. (2014). A Informática e o mercado de trabalho: notas avulsas. 
Comemorações dos 15 anos da ANPRI – Associação Nacional de Professores de 
Informática. 8 de Março. Universidade Portucalense.
[ apresentação ]")</f>
        <v>Gouveia, L. (2014). A Informática e o mercado de trabalho: notas avulsas. 
Comemorações dos 15 anos da ANPRI – Associação Nacional de Professores de 
Informática. 8 de Março. Universidade Portucalense.
[ apresentação ]</v>
      </c>
      <c r="C302" s="2">
        <f t="shared" ca="1" si="0"/>
        <v>13</v>
      </c>
      <c r="D302" t="str">
        <f t="shared" ca="1" si="8"/>
        <v xml:space="preserve">Gouveia, L. </v>
      </c>
      <c r="E302" t="str">
        <f t="shared" ca="1" si="1"/>
        <v>2014</v>
      </c>
      <c r="F302" t="str">
        <f t="shared" ca="1" si="2"/>
        <v xml:space="preserve"> A Informática e o mercado de trabalho: notas avulsas. </v>
      </c>
      <c r="G302" s="3">
        <f t="shared" ca="1" si="3"/>
        <v>18</v>
      </c>
      <c r="H302" s="2">
        <f t="shared" ca="1" si="4"/>
        <v>73</v>
      </c>
      <c r="I302" t="e">
        <f t="shared" ca="1" si="5"/>
        <v>#VALUE!</v>
      </c>
      <c r="J302" s="3" t="e">
        <f t="shared" ca="1" si="9"/>
        <v>#VALUE!</v>
      </c>
      <c r="K302" t="str">
        <f t="shared" ca="1" si="6"/>
        <v xml:space="preserve">Gouveia, L. </v>
      </c>
      <c r="L302" t="str">
        <f t="shared" ca="1" si="7"/>
        <v xml:space="preserve">Quental, C. </v>
      </c>
    </row>
    <row r="303" spans="1:14" ht="15.75" customHeight="1">
      <c r="A303">
        <f ca="1">IFERROR(__xludf.DUMMYFUNCTION("""COMPUTED_VALUE"""),2)</f>
        <v>2</v>
      </c>
      <c r="B303" t="str">
        <f ca="1">IFERROR(__xludf.DUMMYFUNCTION("""COMPUTED_VALUE"""),"Gouveia, L.; Sousa, A. and Agante, P. (2012). Digital Mediation for Public 
Participation. Poster and interactive project demonstration. International 
e-Planning workshop - Citizens, Cities and Technology and Faculty of 
Sciences. University of Lisbon. A"&amp;"pril 23. Lisbon, Portugal.  
apresentação [ slideshare ]")</f>
        <v>Gouveia, L.; Sousa, A. and Agante, P. (2012). Digital Mediation for Public 
Participation. Poster and interactive project demonstration. International 
e-Planning workshop - Citizens, Cities and Technology and Faculty of 
Sciences. University of Lisbon. April 23. Lisbon, Portugal.  
apresentação [ slideshare ]</v>
      </c>
      <c r="C303" s="2">
        <f t="shared" ca="1" si="0"/>
        <v>39</v>
      </c>
      <c r="D303" t="str">
        <f t="shared" ca="1" si="8"/>
        <v xml:space="preserve">Gouveia, L.; Sousa, A. and Agante, P. </v>
      </c>
      <c r="E303" t="str">
        <f t="shared" ca="1" si="1"/>
        <v>2012</v>
      </c>
      <c r="F303" t="str">
        <f t="shared" ca="1" si="2"/>
        <v xml:space="preserve"> Digital Mediation for Public 
Participation. </v>
      </c>
      <c r="G303" s="3">
        <f t="shared" ca="1" si="3"/>
        <v>44</v>
      </c>
      <c r="H303" s="2">
        <f t="shared" ca="1" si="4"/>
        <v>90</v>
      </c>
      <c r="I303" t="e">
        <f t="shared" ca="1" si="5"/>
        <v>#VALUE!</v>
      </c>
      <c r="J303" s="3" t="e">
        <f t="shared" ca="1" si="9"/>
        <v>#VALUE!</v>
      </c>
      <c r="K303" t="str">
        <f t="shared" ca="1" si="6"/>
        <v xml:space="preserve">Gouveia, L.; Sousa, A. ; Agante, P. </v>
      </c>
      <c r="L303" t="str">
        <f t="shared" ca="1" si="7"/>
        <v xml:space="preserve">Quental, C. </v>
      </c>
      <c r="M303" t="str">
        <f ca="1">IFERROR(__xludf.DUMMYFUNCTION("""COMPUTED_VALUE""")," Sousa, A. ")</f>
        <v xml:space="preserve"> Sousa, A. </v>
      </c>
      <c r="N303" t="str">
        <f ca="1">IFERROR(__xludf.DUMMYFUNCTION("""COMPUTED_VALUE""")," Agante, P. ")</f>
        <v xml:space="preserve"> Agante, P. </v>
      </c>
    </row>
    <row r="304" spans="1:14" ht="15.75" customHeight="1">
      <c r="A304">
        <f ca="1">IFERROR(__xludf.DUMMYFUNCTION("""COMPUTED_VALUE"""),1)</f>
        <v>1</v>
      </c>
      <c r="B304" t="str">
        <f ca="1">IFERROR(__xludf.DUMMYFUNCTION("""COMPUTED_VALUE"""),"Gouveia, L. (2003). *Cidades Digitais, promessas e preocupações*. in 
Gouveia, L. e Borges Gouveia, J. e Amaral, L. e Carvalho, J. (2003). 
Workshop Cidades Digitais. Integrado na 4ª Conferência da Associação 
Portuguesa de Sistemas de Informação. Univers"&amp;"idade Portucalense (UPT). 15 
de Outubro, pp 15-18.  Porto, Portugal.")</f>
        <v>Gouveia, L. (2003). *Cidades Digitais, promessas e preocupações*. in 
Gouveia, L. e Borges Gouveia, J. e Amaral, L. e Carvalho, J. (2003). 
Workshop Cidades Digitais. Integrado na 4ª Conferência da Associação 
Portuguesa de Sistemas de Informação. Universidade Portucalense (UPT). 15 
de Outubro, pp 15-18.  Porto, Portugal.</v>
      </c>
      <c r="C304" s="2">
        <f t="shared" ca="1" si="0"/>
        <v>13</v>
      </c>
      <c r="D304" t="str">
        <f t="shared" ca="1" si="8"/>
        <v xml:space="preserve">Gouveia, L. </v>
      </c>
      <c r="E304" t="str">
        <f t="shared" ca="1" si="1"/>
        <v>2003</v>
      </c>
      <c r="F304" t="str">
        <f t="shared" ca="1" si="2"/>
        <v xml:space="preserve"> *Cidades Digitais, promessas e preocupações*. </v>
      </c>
      <c r="G304" s="3">
        <f t="shared" ca="1" si="3"/>
        <v>18</v>
      </c>
      <c r="H304" s="2">
        <f t="shared" ca="1" si="4"/>
        <v>65</v>
      </c>
      <c r="I304" t="str">
        <f t="shared" ca="1" si="5"/>
        <v>in 
Gouveia, L. e Borges Gouveia, J. e Amaral, L. e Carvalho, J. (2003).</v>
      </c>
      <c r="J304" s="3">
        <f t="shared" ca="1" si="9"/>
        <v>137</v>
      </c>
      <c r="K304" t="str">
        <f t="shared" ca="1" si="6"/>
        <v xml:space="preserve">Gouveia, L. </v>
      </c>
      <c r="L304" t="str">
        <f t="shared" ca="1" si="7"/>
        <v xml:space="preserve">Quental, C. </v>
      </c>
    </row>
    <row r="305" spans="1:12" ht="15.75" customHeight="1">
      <c r="A305" t="str">
        <f ca="1">IFERROR(__xludf.DUMMYFUNCTION("""COMPUTED_VALUE"""),"_________")</f>
        <v>_________</v>
      </c>
      <c r="B305" t="str">
        <f ca="1">IFERROR(__xludf.DUMMYFUNCTION("""COMPUTED_VALUE"""),"comunicações / presentation track")</f>
        <v>comunicações / presentation track</v>
      </c>
      <c r="C305" s="2" t="e">
        <f t="shared" ca="1" si="0"/>
        <v>#VALUE!</v>
      </c>
      <c r="D305" t="e">
        <f t="shared" ca="1" si="8"/>
        <v>#VALUE!</v>
      </c>
      <c r="E305" t="e">
        <f t="shared" ca="1" si="1"/>
        <v>#VALUE!</v>
      </c>
      <c r="F305" t="e">
        <f t="shared" ca="1" si="2"/>
        <v>#VALUE!</v>
      </c>
      <c r="G305" s="3" t="e">
        <f t="shared" ca="1" si="3"/>
        <v>#VALUE!</v>
      </c>
      <c r="H305" s="2" t="e">
        <f t="shared" ca="1" si="4"/>
        <v>#VALUE!</v>
      </c>
      <c r="I305" t="e">
        <f t="shared" ca="1" si="5"/>
        <v>#VALUE!</v>
      </c>
      <c r="J305" s="3" t="e">
        <f t="shared" ca="1" si="9"/>
        <v>#VALUE!</v>
      </c>
      <c r="K305" t="e">
        <f t="shared" ca="1" si="6"/>
        <v>#VALUE!</v>
      </c>
      <c r="L305" t="str">
        <f t="shared" ca="1" si="7"/>
        <v xml:space="preserve">Quental, C. </v>
      </c>
    </row>
    <row r="306" spans="1:12" ht="15.75" customHeight="1">
      <c r="A306" t="str">
        <f ca="1">IFERROR(__xludf.DUMMYFUNCTION("""COMPUTED_VALUE"""),"*3*8")</f>
        <v>*3*8</v>
      </c>
      <c r="B306" t="str">
        <f ca="1">IFERROR(__xludf.DUMMYFUNCTION("""COMPUTED_VALUE"""),"Martins, E. e Gouveia, L. (2018). Kahoot na Sala de Aula do Ensino Médio. 
7º Congresso Brasileiro de Tecnologia Educacional da ABT. 10 a 12 de 
Dezembro. Poster. Belo Horizonte, MG. Brasil.
[ paper ]")</f>
        <v>Martins, E. e Gouveia, L. (2018). Kahoot na Sala de Aula do Ensino Médio. 
7º Congresso Brasileiro de Tecnologia Educacional da ABT. 10 a 12 de 
Dezembro. Poster. Belo Horizonte, MG. Brasil.
[ paper ]</v>
      </c>
      <c r="C306" s="2">
        <f t="shared" ca="1" si="0"/>
        <v>27</v>
      </c>
      <c r="D306" t="str">
        <f t="shared" ca="1" si="8"/>
        <v xml:space="preserve">Martins, E. e Gouveia, L. </v>
      </c>
      <c r="E306" t="str">
        <f t="shared" ca="1" si="1"/>
        <v>2018</v>
      </c>
      <c r="F306" t="str">
        <f t="shared" ca="1" si="2"/>
        <v xml:space="preserve"> Kahoot na Sala de Aula do Ensino Médio. </v>
      </c>
      <c r="G306" s="3">
        <f t="shared" ca="1" si="3"/>
        <v>32</v>
      </c>
      <c r="H306" s="2">
        <f t="shared" ca="1" si="4"/>
        <v>73</v>
      </c>
      <c r="I306" t="e">
        <f t="shared" ca="1" si="5"/>
        <v>#VALUE!</v>
      </c>
      <c r="J306" s="3" t="e">
        <f t="shared" ca="1" si="9"/>
        <v>#VALUE!</v>
      </c>
      <c r="K306" t="str">
        <f t="shared" ca="1" si="6"/>
        <v xml:space="preserve">Martins, E. e Gouveia, L. </v>
      </c>
      <c r="L306" t="str">
        <f t="shared" ca="1" si="7"/>
        <v xml:space="preserve">Quental, C. </v>
      </c>
    </row>
    <row r="307" spans="1:12" ht="15.75" customHeight="1">
      <c r="A307" t="str">
        <f ca="1">IFERROR(__xludf.DUMMYFUNCTION("""COMPUTED_VALUE"""),"*3*7")</f>
        <v>*3*7</v>
      </c>
      <c r="B307" t="str">
        <f ca="1">IFERROR(__xludf.DUMMYFUNCTION("""COMPUTED_VALUE"""),"Martins, E. e Gouveia, L. (2018). Uso do Google Drive no Apoio a 
Aprendizagem Colaborativa. 7º Congresso Brasileiro de Tecnologia 
Educacional da ABT. Sessão de Comunicação Oral - Eixo temático: cultura 
digital e comunicação. 10 a 12 de Dezembro. Belo H"&amp;"orizonte, MG. Brasil.
[ paper ]")</f>
        <v>Martins, E. e Gouveia, L. (2018). Uso do Google Drive no Apoio a 
Aprendizagem Colaborativa. 7º Congresso Brasileiro de Tecnologia 
Educacional da ABT. Sessão de Comunicação Oral - Eixo temático: cultura 
digital e comunicação. 10 a 12 de Dezembro. Belo Horizonte, MG. Brasil.
[ paper ]</v>
      </c>
      <c r="C307" s="2">
        <f t="shared" ca="1" si="0"/>
        <v>27</v>
      </c>
      <c r="D307" t="str">
        <f t="shared" ca="1" si="8"/>
        <v xml:space="preserve">Martins, E. e Gouveia, L. </v>
      </c>
      <c r="E307" t="str">
        <f t="shared" ca="1" si="1"/>
        <v>2018</v>
      </c>
      <c r="F307" t="str">
        <f t="shared" ca="1" si="2"/>
        <v xml:space="preserve"> Uso do Google Drive no Apoio a 
Aprendizagem Colaborativa. </v>
      </c>
      <c r="G307" s="3">
        <f t="shared" ca="1" si="3"/>
        <v>32</v>
      </c>
      <c r="H307" s="2">
        <f t="shared" ca="1" si="4"/>
        <v>92</v>
      </c>
      <c r="I307" t="e">
        <f t="shared" ca="1" si="5"/>
        <v>#VALUE!</v>
      </c>
      <c r="J307" s="3" t="e">
        <f t="shared" ca="1" si="9"/>
        <v>#VALUE!</v>
      </c>
      <c r="K307" t="str">
        <f t="shared" ca="1" si="6"/>
        <v xml:space="preserve">Martins, E. e Gouveia, L. </v>
      </c>
      <c r="L307" t="str">
        <f t="shared" ca="1" si="7"/>
        <v xml:space="preserve">Quental, C. </v>
      </c>
    </row>
    <row r="308" spans="1:12" ht="15.75" customHeight="1">
      <c r="A308" t="str">
        <f ca="1">IFERROR(__xludf.DUMMYFUNCTION("""COMPUTED_VALUE"""),"*3*6")</f>
        <v>*3*6</v>
      </c>
      <c r="B308" t="str">
        <f ca="1">IFERROR(__xludf.DUMMYFUNCTION("""COMPUTED_VALUE"""),"Gouveia, L. e Martins, E. (2018). Uso do WhatsApp em Atividades Educativas 
Extraclasse. 7º Congresso Brasileiro de Tecnologia Educacional da ABT. 10 a 
12 Dezembro. Poster. Belo Horizonte, MG. Brasil.
[ paper ]")</f>
        <v>Gouveia, L. e Martins, E. (2018). Uso do WhatsApp em Atividades Educativas 
Extraclasse. 7º Congresso Brasileiro de Tecnologia Educacional da ABT. 10 a 
12 Dezembro. Poster. Belo Horizonte, MG. Brasil.
[ paper ]</v>
      </c>
      <c r="C308" s="2">
        <f t="shared" ca="1" si="0"/>
        <v>27</v>
      </c>
      <c r="D308" t="str">
        <f t="shared" ca="1" si="8"/>
        <v xml:space="preserve">Gouveia, L. e Martins, E. </v>
      </c>
      <c r="E308" t="str">
        <f t="shared" ca="1" si="1"/>
        <v>2018</v>
      </c>
      <c r="F308" t="str">
        <f t="shared" ca="1" si="2"/>
        <v xml:space="preserve"> Uso do WhatsApp em Atividades Educativas 
Extraclasse. </v>
      </c>
      <c r="G308" s="3">
        <f t="shared" ca="1" si="3"/>
        <v>32</v>
      </c>
      <c r="H308" s="2">
        <f t="shared" ca="1" si="4"/>
        <v>88</v>
      </c>
      <c r="I308" t="e">
        <f t="shared" ca="1" si="5"/>
        <v>#VALUE!</v>
      </c>
      <c r="J308" s="3" t="e">
        <f t="shared" ca="1" si="9"/>
        <v>#VALUE!</v>
      </c>
      <c r="K308" t="str">
        <f t="shared" ca="1" si="6"/>
        <v xml:space="preserve">Gouveia, L. e Martins, E. </v>
      </c>
      <c r="L308" t="str">
        <f t="shared" ca="1" si="7"/>
        <v xml:space="preserve">Quental, C. </v>
      </c>
    </row>
    <row r="309" spans="1:12" ht="15.75" customHeight="1">
      <c r="A309" t="str">
        <f ca="1">IFERROR(__xludf.DUMMYFUNCTION("""COMPUTED_VALUE"""),"*35*")</f>
        <v>*35*</v>
      </c>
      <c r="B309" t="str">
        <f ca="1">IFERROR(__xludf.DUMMYFUNCTION("""COMPUTED_VALUE"""),"Martins, E. e Gouveia, L. (2018). O Uso da Rede Social Educativa Edmodo em 
Atividades Extraclasse. In: 15° CONPEEX - Congresso de Ensino, Pesquisa e 
Extensão, 2018, Goiânia. I Encontro das Instituições de Ensino Superior 
Públicas e Filantrópicas Extern"&amp;"as à UFG, v. 1. p. 8-9.
[ paper ]")</f>
        <v>Martins, E. e Gouveia, L. (2018). O Uso da Rede Social Educativa Edmodo em 
Atividades Extraclasse. In: 15° CONPEEX - Congresso de Ensino, Pesquisa e 
Extensão, 2018, Goiânia. I Encontro das Instituições de Ensino Superior 
Públicas e Filantrópicas Externas à UFG, v. 1. p. 8-9.
[ paper ]</v>
      </c>
      <c r="C309" s="2">
        <f t="shared" ca="1" si="0"/>
        <v>27</v>
      </c>
      <c r="D309" t="str">
        <f t="shared" ca="1" si="8"/>
        <v xml:space="preserve">Martins, E. e Gouveia, L. </v>
      </c>
      <c r="E309" t="str">
        <f t="shared" ca="1" si="1"/>
        <v>2018</v>
      </c>
      <c r="F309" t="str">
        <f t="shared" ca="1" si="2"/>
        <v xml:space="preserve"> O Uso da Rede Social Educativa Edmodo em 
Atividades Extraclasse. </v>
      </c>
      <c r="G309" s="3">
        <f t="shared" ca="1" si="3"/>
        <v>32</v>
      </c>
      <c r="H309" s="2">
        <f t="shared" ca="1" si="4"/>
        <v>99</v>
      </c>
      <c r="I309" t="e">
        <f t="shared" ca="1" si="5"/>
        <v>#VALUE!</v>
      </c>
      <c r="J309" s="3" t="e">
        <f t="shared" ca="1" si="9"/>
        <v>#VALUE!</v>
      </c>
      <c r="K309" t="str">
        <f t="shared" ca="1" si="6"/>
        <v xml:space="preserve">Martins, E. e Gouveia, L. </v>
      </c>
      <c r="L309" t="str">
        <f t="shared" ca="1" si="7"/>
        <v xml:space="preserve">Quental, C. </v>
      </c>
    </row>
    <row r="310" spans="1:12" ht="15.75" customHeight="1">
      <c r="A310" t="str">
        <f ca="1">IFERROR(__xludf.DUMMYFUNCTION("""COMPUTED_VALUE"""),"*3*4")</f>
        <v>*3*4</v>
      </c>
      <c r="B310" t="str">
        <f ca="1">IFERROR(__xludf.DUMMYFUNCTION("""COMPUTED_VALUE"""),"Martins, E. e Gouveia, L. (2018). Facebook como Ferramenta de Apoio ao 
Ensino Superior. Artigo Resumido. 10º Congresso Acadêmico de tecnologia e 
Informática CATI2018 e ERIMT 2018. 5-9 de Novembro. Mato Grosso. Brasil. Anais 
do 10º Congresso Acadêmico d"&amp;"e Tecnologia e Informática (CATI 2018). Ciência 
da Computação – UNEMAT – Barra do Bugres – ISSN 2448-119X, pp 86-89.
[ paper ]")</f>
        <v>Martins, E. e Gouveia, L. (2018). Facebook como Ferramenta de Apoio ao 
Ensino Superior. Artigo Resumido. 10º Congresso Acadêmico de tecnologia e 
Informática CATI2018 e ERIMT 2018. 5-9 de Novembro. Mato Grosso. Brasil. Anais 
do 10º Congresso Acadêmico de Tecnologia e Informática (CATI 2018). Ciência 
da Computação – UNEMAT – Barra do Bugres – ISSN 2448-119X, pp 86-89.
[ paper ]</v>
      </c>
      <c r="C310" s="2">
        <f t="shared" ca="1" si="0"/>
        <v>27</v>
      </c>
      <c r="D310" t="str">
        <f t="shared" ca="1" si="8"/>
        <v xml:space="preserve">Martins, E. e Gouveia, L. </v>
      </c>
      <c r="E310" t="str">
        <f t="shared" ca="1" si="1"/>
        <v>2018</v>
      </c>
      <c r="F310" t="str">
        <f t="shared" ca="1" si="2"/>
        <v xml:space="preserve"> Facebook como Ferramenta de Apoio ao 
Ensino Superior. </v>
      </c>
      <c r="G310" s="3">
        <f t="shared" ca="1" si="3"/>
        <v>32</v>
      </c>
      <c r="H310" s="2">
        <f t="shared" ca="1" si="4"/>
        <v>88</v>
      </c>
      <c r="I310" t="str">
        <f t="shared" ca="1" si="5"/>
        <v>Artigo Resumido. 10º Congresso Acadêmico de tecnologia e 
Informática CATI2018 e ERIMT 2018. 5-9 de Novembro. Mato Grosso. Brasil. Anais 
do 10º Congresso Acadêmico de Tecnologia e Informática (CATI 2018).</v>
      </c>
      <c r="J310" s="3">
        <f t="shared" ca="1" si="9"/>
        <v>293</v>
      </c>
      <c r="K310" t="str">
        <f t="shared" ca="1" si="6"/>
        <v xml:space="preserve">Martins, E. e Gouveia, L. </v>
      </c>
      <c r="L310" t="str">
        <f t="shared" ca="1" si="7"/>
        <v xml:space="preserve">Quental, C. </v>
      </c>
    </row>
    <row r="311" spans="1:12" ht="15.75" customHeight="1">
      <c r="A311" t="str">
        <f ca="1">IFERROR(__xludf.DUMMYFUNCTION("""COMPUTED_VALUE"""),"*3*3")</f>
        <v>*3*3</v>
      </c>
      <c r="B311" t="str">
        <f ca="1">IFERROR(__xludf.DUMMYFUNCTION("""COMPUTED_VALUE"""),"Martins , E. e Gouveia, L. (2018). WhatsApp como Apoio a Aprendizagem no 
Ensino Médio. Artigo Resumido. 10º Congresso Acadêmico de tecnologia e 
Informática CAT2018 e ERIMT 2018. 5-9 de Novembro. Mato Grosso. Brasil. Anais 
da IX Escola Regional de Infor"&amp;"mática de Mato Grosso (ERI-MT 2018). SBC – 
UNEMAT – Barra do Bugres – ISSN 2447-5386, pp 143-146.
[ paper ]")</f>
        <v>Martins , E. e Gouveia, L. (2018). WhatsApp como Apoio a Aprendizagem no 
Ensino Médio. Artigo Resumido. 10º Congresso Acadêmico de tecnologia e 
Informática CAT2018 e ERIMT 2018. 5-9 de Novembro. Mato Grosso. Brasil. Anais 
da IX Escola Regional de Informática de Mato Grosso (ERI-MT 2018). SBC – 
UNEMAT – Barra do Bugres – ISSN 2447-5386, pp 143-146.
[ paper ]</v>
      </c>
      <c r="C311" s="2">
        <f t="shared" ca="1" si="0"/>
        <v>28</v>
      </c>
      <c r="D311" t="str">
        <f t="shared" ca="1" si="8"/>
        <v xml:space="preserve">Martins , E. e Gouveia, L. </v>
      </c>
      <c r="E311" t="str">
        <f t="shared" ca="1" si="1"/>
        <v>2018</v>
      </c>
      <c r="F311" t="str">
        <f t="shared" ca="1" si="2"/>
        <v xml:space="preserve"> WhatsApp como Apoio a Aprendizagem no 
Ensino Médio. </v>
      </c>
      <c r="G311" s="3">
        <f t="shared" ca="1" si="3"/>
        <v>33</v>
      </c>
      <c r="H311" s="2">
        <f t="shared" ca="1" si="4"/>
        <v>87</v>
      </c>
      <c r="I311" t="str">
        <f t="shared" ca="1" si="5"/>
        <v>Artigo Resumido. 10º Congresso Acadêmico de tecnologia e 
Informática CAT2018 e ERIMT 2018. 5-9 de Novembro. Mato Grosso. Brasil. Anais 
da IX Escola Regional de Informática de Mato Grosso (ERI-MT 2018).</v>
      </c>
      <c r="J311" s="3">
        <f t="shared" ca="1" si="9"/>
        <v>290</v>
      </c>
      <c r="K311" t="str">
        <f t="shared" ca="1" si="6"/>
        <v xml:space="preserve">Martins , E. e Gouveia, L. </v>
      </c>
      <c r="L311" t="str">
        <f t="shared" ca="1" si="7"/>
        <v xml:space="preserve">Quental, C. </v>
      </c>
    </row>
    <row r="312" spans="1:12" ht="15.75" customHeight="1">
      <c r="A312" t="str">
        <f ca="1">IFERROR(__xludf.DUMMYFUNCTION("""COMPUTED_VALUE"""),"*3*2")</f>
        <v>*3*2</v>
      </c>
      <c r="B312" t="str">
        <f ca="1">IFERROR(__xludf.DUMMYFUNCTION("""COMPUTED_VALUE"""),"Martins, E. e Gouveia, L. (2018). Uso da Ferramenta Kahoot Transformando a 
Aula do Ensino Médio em um Game de Conhecimento. Artigo Resumido. 10º 
Congresso Acadêmico de tecnologia e Informática CAT2018 e ERIMT 2018. 5-9 
de Novembro. Mato Grosso. Brasil."&amp;" Anais da IX Escola Regional de 
Informática de Mato Grosso (ERI-MT 2018). SBC – UNEMAT – Barra do Bugres – 
ISSN 2447-5386, pp 155-158.
[ paper ]")</f>
        <v>Martins, E. e Gouveia, L. (2018). Uso da Ferramenta Kahoot Transformando a 
Aula do Ensino Médio em um Game de Conhecimento. Artigo Resumido. 10º 
Congresso Acadêmico de tecnologia e Informática CAT2018 e ERIMT 2018. 5-9 
de Novembro. Mato Grosso. Brasil. Anais da IX Escola Regional de 
Informática de Mato Grosso (ERI-MT 2018). SBC – UNEMAT – Barra do Bugres – 
ISSN 2447-5386, pp 155-158.
[ paper ]</v>
      </c>
      <c r="C312" s="2">
        <f t="shared" ca="1" si="0"/>
        <v>27</v>
      </c>
      <c r="D312" t="str">
        <f t="shared" ca="1" si="8"/>
        <v xml:space="preserve">Martins, E. e Gouveia, L. </v>
      </c>
      <c r="E312" t="str">
        <f t="shared" ca="1" si="1"/>
        <v>2018</v>
      </c>
      <c r="F312" t="str">
        <f t="shared" ca="1" si="2"/>
        <v xml:space="preserve"> Uso da Ferramenta Kahoot Transformando a 
Aula do Ensino Médio em um Game de Conhecimento. </v>
      </c>
      <c r="G312" s="3">
        <f t="shared" ca="1" si="3"/>
        <v>32</v>
      </c>
      <c r="H312" s="2">
        <f t="shared" ca="1" si="4"/>
        <v>124</v>
      </c>
      <c r="I312" t="str">
        <f t="shared" ca="1" si="5"/>
        <v>Artigo Resumido. 10º 
Congresso Acadêmico de tecnologia e Informática CAT2018 e ERIMT 2018. 5-9 
de Novembro. Mato Grosso. Brasil. Anais da IX Escola Regional de 
Informática de Mato Grosso (ERI-MT 2018).</v>
      </c>
      <c r="J312" s="3">
        <f t="shared" ca="1" si="9"/>
        <v>328</v>
      </c>
      <c r="K312" t="str">
        <f t="shared" ca="1" si="6"/>
        <v xml:space="preserve">Martins, E. e Gouveia, L. </v>
      </c>
      <c r="L312" t="str">
        <f t="shared" ca="1" si="7"/>
        <v xml:space="preserve">Quental, C. </v>
      </c>
    </row>
    <row r="313" spans="1:12" ht="15.75" customHeight="1">
      <c r="A313" t="str">
        <f ca="1">IFERROR(__xludf.DUMMYFUNCTION("""COMPUTED_VALUE"""),"*31*")</f>
        <v>*31*</v>
      </c>
      <c r="B313" t="str">
        <f ca="1">IFERROR(__xludf.DUMMYFUNCTION("""COMPUTED_VALUE"""),"Martins, E. e Gouveia, L. (2018). Tecnologias Móveis em cursos da 
Universidade Aberta. IV Congresso de Ciência e Tecnologia da PUC Goiás. 
Ciência para a redução das desigualdades. 16 a 20 de Outubro.")</f>
        <v>Martins, E. e Gouveia, L. (2018). Tecnologias Móveis em cursos da 
Universidade Aberta. IV Congresso de Ciência e Tecnologia da PUC Goiás. 
Ciência para a redução das desigualdades. 16 a 20 de Outubro.</v>
      </c>
      <c r="C313" s="2">
        <f t="shared" ca="1" si="0"/>
        <v>27</v>
      </c>
      <c r="D313" t="str">
        <f t="shared" ca="1" si="8"/>
        <v xml:space="preserve">Martins, E. e Gouveia, L. </v>
      </c>
      <c r="E313" t="str">
        <f t="shared" ca="1" si="1"/>
        <v>2018</v>
      </c>
      <c r="F313" t="str">
        <f t="shared" ca="1" si="2"/>
        <v xml:space="preserve"> Tecnologias Móveis em cursos da 
Universidade Aberta. </v>
      </c>
      <c r="G313" s="3">
        <f t="shared" ca="1" si="3"/>
        <v>32</v>
      </c>
      <c r="H313" s="2">
        <f t="shared" ca="1" si="4"/>
        <v>87</v>
      </c>
      <c r="I313" t="e">
        <f t="shared" ca="1" si="5"/>
        <v>#VALUE!</v>
      </c>
      <c r="J313" s="3" t="e">
        <f t="shared" ca="1" si="9"/>
        <v>#VALUE!</v>
      </c>
      <c r="K313" t="str">
        <f t="shared" ca="1" si="6"/>
        <v xml:space="preserve">Martins, E. e Gouveia, L. </v>
      </c>
      <c r="L313" t="str">
        <f t="shared" ca="1" si="7"/>
        <v xml:space="preserve">Quental, C. </v>
      </c>
    </row>
    <row r="314" spans="1:12" ht="15.75" customHeight="1">
      <c r="A314" t="str">
        <f ca="1">IFERROR(__xludf.DUMMYFUNCTION("""COMPUTED_VALUE"""),"*30*")</f>
        <v>*30*</v>
      </c>
      <c r="B314" t="str">
        <f ca="1">IFERROR(__xludf.DUMMYFUNCTION("""COMPUTED_VALUE"""),"Oliveira, M. e Gouveia, L. (2018). Uma metodologia para a medição da 
densidade óssea pela técnica de densitometria de raios-X. 8° Congresso da 
Faculdade de Odontologia de Araçatuba – 23 a 26 de maio. Universidade 
Estadual Paulista “Júlio de Mesquita Fi"&amp;"lho” UNESP.")</f>
        <v>Oliveira, M. e Gouveia, L. (2018). Uma metodologia para a medição da 
densidade óssea pela técnica de densitometria de raios-X. 8° Congresso da 
Faculdade de Odontologia de Araçatuba – 23 a 26 de maio. Universidade 
Estadual Paulista “Júlio de Mesquita Filho” UNESP.</v>
      </c>
      <c r="C314" s="2">
        <f t="shared" ca="1" si="0"/>
        <v>28</v>
      </c>
      <c r="D314" t="str">
        <f t="shared" ca="1" si="8"/>
        <v xml:space="preserve">Oliveira, M. e Gouveia, L. </v>
      </c>
      <c r="E314" t="str">
        <f t="shared" ca="1" si="1"/>
        <v>2018</v>
      </c>
      <c r="F314" t="str">
        <f t="shared" ca="1" si="2"/>
        <v xml:space="preserve"> Uma metodologia para a medição da 
densidade óssea pela técnica de densitometria de raios-X. </v>
      </c>
      <c r="G314" s="3">
        <f t="shared" ca="1" si="3"/>
        <v>33</v>
      </c>
      <c r="H314" s="2">
        <f t="shared" ca="1" si="4"/>
        <v>127</v>
      </c>
      <c r="I314" t="e">
        <f t="shared" ca="1" si="5"/>
        <v>#VALUE!</v>
      </c>
      <c r="J314" s="3" t="e">
        <f t="shared" ca="1" si="9"/>
        <v>#VALUE!</v>
      </c>
      <c r="K314" t="str">
        <f t="shared" ca="1" si="6"/>
        <v xml:space="preserve">Oliveira, M. e Gouveia, L. </v>
      </c>
      <c r="L314" t="str">
        <f t="shared" ca="1" si="7"/>
        <v xml:space="preserve">Quental, C. </v>
      </c>
    </row>
    <row r="315" spans="1:12" ht="15.75" customHeight="1">
      <c r="A315" t="str">
        <f ca="1">IFERROR(__xludf.DUMMYFUNCTION("""COMPUTED_VALUE"""),"*29*")</f>
        <v>*29*</v>
      </c>
      <c r="B315" t="str">
        <f ca="1">IFERROR(__xludf.DUMMYFUNCTION("""COMPUTED_VALUE"""),"Oliveira, M. e Gouveia, L. (2018). Uma técnica para medir a densidade óssea 
usando uma imagem radiográfica. 8° Congresso da Faculdade de Odontologia de 
Araçatuba – 23 a 26 de maio. Universidade Estadual Paulista “Júlio de 
Mesquita Filho” UNESP.")</f>
        <v>Oliveira, M. e Gouveia, L. (2018). Uma técnica para medir a densidade óssea 
usando uma imagem radiográfica. 8° Congresso da Faculdade de Odontologia de 
Araçatuba – 23 a 26 de maio. Universidade Estadual Paulista “Júlio de 
Mesquita Filho” UNESP.</v>
      </c>
      <c r="C315" s="2">
        <f t="shared" ca="1" si="0"/>
        <v>28</v>
      </c>
      <c r="D315" t="str">
        <f t="shared" ca="1" si="8"/>
        <v xml:space="preserve">Oliveira, M. e Gouveia, L. </v>
      </c>
      <c r="E315" t="str">
        <f t="shared" ca="1" si="1"/>
        <v>2018</v>
      </c>
      <c r="F315" t="str">
        <f t="shared" ca="1" si="2"/>
        <v xml:space="preserve"> Uma técnica para medir a densidade óssea 
usando uma imagem radiográfica. </v>
      </c>
      <c r="G315" s="3">
        <f t="shared" ca="1" si="3"/>
        <v>33</v>
      </c>
      <c r="H315" s="2">
        <f t="shared" ca="1" si="4"/>
        <v>108</v>
      </c>
      <c r="I315" t="e">
        <f t="shared" ca="1" si="5"/>
        <v>#VALUE!</v>
      </c>
      <c r="J315" s="3" t="e">
        <f t="shared" ca="1" si="9"/>
        <v>#VALUE!</v>
      </c>
      <c r="K315" t="str">
        <f t="shared" ca="1" si="6"/>
        <v xml:space="preserve">Oliveira, M. e Gouveia, L. </v>
      </c>
      <c r="L315" t="str">
        <f t="shared" ca="1" si="7"/>
        <v xml:space="preserve">Quental, C. </v>
      </c>
    </row>
    <row r="316" spans="1:12" ht="15.75" customHeight="1">
      <c r="A316">
        <f ca="1">IFERROR(__xludf.DUMMYFUNCTION("""COMPUTED_VALUE"""),28)</f>
        <v>28</v>
      </c>
      <c r="B316" t="str">
        <f ca="1">IFERROR(__xludf.DUMMYFUNCTION("""COMPUTED_VALUE"""),"Araújo, A. e Gouveia, L. (2018). O Digital nas Instituições de Ensino 
Superior: um diagnóstico sobre a percepção docente em uma instituição de 
ensino superior. Eixo temático: Tecnologias de Informação e Comunicação 
aplicadas à Educação. 2º Congresso Na"&amp;"cional de Educação. 8 e 9 de Junho. 
Poço de Caldas. Minas Gerais. Brasil.
[ paper ]")</f>
        <v>Araújo, A. e Gouveia, L. (2018). O Digital nas Instituições de Ensino 
Superior: um diagnóstico sobre a percepção docente em uma instituição de 
ensino superior. Eixo temático: Tecnologias de Informação e Comunicação 
aplicadas à Educação. 2º Congresso Nacional de Educação. 8 e 9 de Junho. 
Poço de Caldas. Minas Gerais. Brasil.
[ paper ]</v>
      </c>
      <c r="C316" s="2">
        <f t="shared" ca="1" si="0"/>
        <v>26</v>
      </c>
      <c r="D316" t="str">
        <f t="shared" ca="1" si="8"/>
        <v xml:space="preserve">Araújo, A. e Gouveia, L. </v>
      </c>
      <c r="E316" t="str">
        <f t="shared" ca="1" si="1"/>
        <v>2018</v>
      </c>
      <c r="F316" t="str">
        <f t="shared" ca="1" si="2"/>
        <v xml:space="preserve"> O Digital nas Instituições de Ensino 
Superior: um diagnóstico sobre a percepção docente em uma instituição de 
ensino superior. </v>
      </c>
      <c r="G316" s="3">
        <f t="shared" ca="1" si="3"/>
        <v>31</v>
      </c>
      <c r="H316" s="2">
        <f t="shared" ca="1" si="4"/>
        <v>161</v>
      </c>
      <c r="I316" t="e">
        <f t="shared" ca="1" si="5"/>
        <v>#VALUE!</v>
      </c>
      <c r="J316" s="3" t="e">
        <f t="shared" ca="1" si="9"/>
        <v>#VALUE!</v>
      </c>
      <c r="K316" t="str">
        <f t="shared" ca="1" si="6"/>
        <v xml:space="preserve">Araújo, A. e Gouveia, L. </v>
      </c>
      <c r="L316" t="str">
        <f t="shared" ca="1" si="7"/>
        <v xml:space="preserve">Quental, C. </v>
      </c>
    </row>
    <row r="317" spans="1:12" ht="15.75" customHeight="1">
      <c r="A317" t="str">
        <f ca="1">IFERROR(__xludf.DUMMYFUNCTION("""COMPUTED_VALUE"""),"*2**7*")</f>
        <v>*2**7*</v>
      </c>
      <c r="B317" t="str">
        <f ca="1">IFERROR(__xludf.DUMMYFUNCTION("""COMPUTED_VALUE"""),"Alfredo, P. e Gouveia, L. (2017). *Crescimento económico de Angola e as 
TIC: os últimos 12 anos*. In GICD, UAN (2017). Livro de Resumos da 
Conferência Ciêntífica da universidade Agostinho Neto (CCUAN2017). pp 76. 
ISBN: 978-989-761-137-7.")</f>
        <v>Alfredo, P. e Gouveia, L. (2017). *Crescimento económico de Angola e as 
TIC: os últimos 12 anos*. In GICD, UAN (2017). Livro de Resumos da 
Conferência Ciêntífica da universidade Agostinho Neto (CCUAN2017). pp 76. 
ISBN: 978-989-761-137-7.</v>
      </c>
      <c r="C317" s="2">
        <f t="shared" ca="1" si="0"/>
        <v>27</v>
      </c>
      <c r="D317" t="str">
        <f t="shared" ca="1" si="8"/>
        <v xml:space="preserve">Alfredo, P. e Gouveia, L. </v>
      </c>
      <c r="E317" t="str">
        <f t="shared" ca="1" si="1"/>
        <v>2017</v>
      </c>
      <c r="F317" t="str">
        <f t="shared" ca="1" si="2"/>
        <v xml:space="preserve"> *Crescimento económico de Angola e as 
TIC: os últimos 12 anos*. </v>
      </c>
      <c r="G317" s="3">
        <f t="shared" ca="1" si="3"/>
        <v>32</v>
      </c>
      <c r="H317" s="2">
        <f t="shared" ca="1" si="4"/>
        <v>98</v>
      </c>
      <c r="I317" t="str">
        <f t="shared" ca="1" si="5"/>
        <v>In GICD, UAN (2017).</v>
      </c>
      <c r="J317" s="3">
        <f t="shared" ca="1" si="9"/>
        <v>118</v>
      </c>
      <c r="K317" t="str">
        <f t="shared" ca="1" si="6"/>
        <v xml:space="preserve">Alfredo, P. e Gouveia, L. </v>
      </c>
      <c r="L317" t="str">
        <f t="shared" ca="1" si="7"/>
        <v xml:space="preserve">Quental, C. </v>
      </c>
    </row>
    <row r="318" spans="1:12" ht="15.75" customHeight="1">
      <c r="A318" t="str">
        <f ca="1">IFERROR(__xludf.DUMMYFUNCTION("""COMPUTED_VALUE"""),"*26*")</f>
        <v>*26*</v>
      </c>
      <c r="B318" t="str">
        <f ca="1">IFERROR(__xludf.DUMMYFUNCTION("""COMPUTED_VALUE"""),"Alfredo, P. e Gouveia, L. (2017). *Crescimento Económico de Angola: os 
últimos 12 anos.* Comunicação Oral. Conferência Científica Universidade 
Agostinho Neto (UAN). 27 a 29 de Setembro. Hotel Victória Garden. Luanda 
Angola.  
[ handle ]")</f>
        <v>Alfredo, P. e Gouveia, L. (2017). *Crescimento Económico de Angola: os 
últimos 12 anos.* Comunicação Oral. Conferência Científica Universidade 
Agostinho Neto (UAN). 27 a 29 de Setembro. Hotel Victória Garden. Luanda 
Angola.  
[ handle ]</v>
      </c>
      <c r="C318" s="2">
        <f t="shared" ca="1" si="0"/>
        <v>27</v>
      </c>
      <c r="D318" t="str">
        <f t="shared" ca="1" si="8"/>
        <v xml:space="preserve">Alfredo, P. e Gouveia, L. </v>
      </c>
      <c r="E318" t="str">
        <f t="shared" ca="1" si="1"/>
        <v>2017</v>
      </c>
      <c r="F318" t="str">
        <f t="shared" ca="1" si="2"/>
        <v xml:space="preserve"> *Crescimento Económico de Angola: os 
últimos 12 anos.*</v>
      </c>
      <c r="G318" s="3">
        <f t="shared" ca="1" si="3"/>
        <v>32</v>
      </c>
      <c r="H318" s="2">
        <f t="shared" ca="1" si="4"/>
        <v>88</v>
      </c>
      <c r="I318" t="str">
        <f t="shared" ca="1" si="5"/>
        <v xml:space="preserve"> Comunicação Oral. Conferência Científica Universidade 
Agostinho Neto (UAN).</v>
      </c>
      <c r="J318" s="3">
        <f t="shared" ca="1" si="9"/>
        <v>165</v>
      </c>
      <c r="K318" t="str">
        <f t="shared" ca="1" si="6"/>
        <v xml:space="preserve">Alfredo, P. e Gouveia, L. </v>
      </c>
      <c r="L318" t="str">
        <f t="shared" ca="1" si="7"/>
        <v xml:space="preserve">Quental, C. </v>
      </c>
    </row>
    <row r="319" spans="1:12" ht="15.75" customHeight="1">
      <c r="A319" t="str">
        <f ca="1">IFERROR(__xludf.DUMMYFUNCTION("""COMPUTED_VALUE"""),"*2**5*")</f>
        <v>*2**5*</v>
      </c>
      <c r="B319" t="str">
        <f ca="1">IFERROR(__xludf.DUMMYFUNCTION("""COMPUTED_VALUE"""),"Gouveia, L. e Couto, P. (2017). *A importância crescente do Capital Humano, 
Intelectual, Social e Territorial e a sua associação ao conhecimento.* Atlântico 
Business Summit. Edificio Heliântia, Valadares. Vila Nova de Gaia. 28 de 
Setembro.
[ handle ]")</f>
        <v>Gouveia, L. e Couto, P. (2017). *A importância crescente do Capital Humano, 
Intelectual, Social e Territorial e a sua associação ao conhecimento.* Atlântico 
Business Summit. Edificio Heliântia, Valadares. Vila Nova de Gaia. 28 de 
Setembro.
[ handle ]</v>
      </c>
      <c r="C319" s="2">
        <f t="shared" ca="1" si="0"/>
        <v>25</v>
      </c>
      <c r="D319" t="str">
        <f t="shared" ca="1" si="8"/>
        <v xml:space="preserve">Gouveia, L. e Couto, P. </v>
      </c>
      <c r="E319" t="str">
        <f t="shared" ca="1" si="1"/>
        <v>2017</v>
      </c>
      <c r="F319" t="str">
        <f t="shared" ca="1" si="2"/>
        <v xml:space="preserve"> *A importância crescente do Capital Humano, 
Intelectual, Social e Territorial e a sua associação ao conhecimento.*</v>
      </c>
      <c r="G319" s="3">
        <f t="shared" ca="1" si="3"/>
        <v>30</v>
      </c>
      <c r="H319" s="2">
        <f t="shared" ca="1" si="4"/>
        <v>146</v>
      </c>
      <c r="I319" t="e">
        <f t="shared" ca="1" si="5"/>
        <v>#VALUE!</v>
      </c>
      <c r="J319" s="3" t="e">
        <f t="shared" ca="1" si="9"/>
        <v>#VALUE!</v>
      </c>
      <c r="K319" t="str">
        <f t="shared" ca="1" si="6"/>
        <v xml:space="preserve">Gouveia, L. e Couto, P. </v>
      </c>
      <c r="L319" t="str">
        <f t="shared" ca="1" si="7"/>
        <v xml:space="preserve">Quental, C. </v>
      </c>
    </row>
    <row r="320" spans="1:12" ht="15.75" customHeight="1">
      <c r="A320" t="str">
        <f ca="1">IFERROR(__xludf.DUMMYFUNCTION("""COMPUTED_VALUE"""),"*2**4*")</f>
        <v>*2**4*</v>
      </c>
      <c r="B320" t="str">
        <f ca="1">IFERROR(__xludf.DUMMYFUNCTION("""COMPUTED_VALUE"""),"Gouveia, L. e Morgado, R. (2017). *A importância das Ciberarmas no Contexto 
da Ciberdefesa de um Pequeno Estado.* Atlântico Business Summit. Edificio 
Heliântia, Valadares. Vila Nova de Gaia. 28 de Setembro.  
[ handle ]")</f>
        <v>Gouveia, L. e Morgado, R. (2017). *A importância das Ciberarmas no Contexto 
da Ciberdefesa de um Pequeno Estado.* Atlântico Business Summit. Edificio 
Heliântia, Valadares. Vila Nova de Gaia. 28 de Setembro.  
[ handle ]</v>
      </c>
      <c r="C320" s="2">
        <f t="shared" ca="1" si="0"/>
        <v>27</v>
      </c>
      <c r="D320" t="str">
        <f t="shared" ca="1" si="8"/>
        <v xml:space="preserve">Gouveia, L. e Morgado, R. </v>
      </c>
      <c r="E320" t="str">
        <f t="shared" ca="1" si="1"/>
        <v>2017</v>
      </c>
      <c r="F320" t="str">
        <f t="shared" ca="1" si="2"/>
        <v xml:space="preserve"> *A importância das Ciberarmas no Contexto 
da Ciberdefesa de um Pequeno Estado.*</v>
      </c>
      <c r="G320" s="3">
        <f t="shared" ca="1" si="3"/>
        <v>32</v>
      </c>
      <c r="H320" s="2">
        <f t="shared" ca="1" si="4"/>
        <v>113</v>
      </c>
      <c r="I320" t="e">
        <f t="shared" ca="1" si="5"/>
        <v>#VALUE!</v>
      </c>
      <c r="J320" s="3" t="e">
        <f t="shared" ca="1" si="9"/>
        <v>#VALUE!</v>
      </c>
      <c r="K320" t="str">
        <f t="shared" ca="1" si="6"/>
        <v xml:space="preserve">Gouveia, L. e Morgado, R. </v>
      </c>
      <c r="L320" t="str">
        <f t="shared" ca="1" si="7"/>
        <v xml:space="preserve">Quental, C. </v>
      </c>
    </row>
    <row r="321" spans="1:13" ht="15.75" customHeight="1">
      <c r="A321" t="str">
        <f ca="1">IFERROR(__xludf.DUMMYFUNCTION("""COMPUTED_VALUE"""),"*2**3*")</f>
        <v>*2**3*</v>
      </c>
      <c r="B321" t="str">
        <f ca="1">IFERROR(__xludf.DUMMYFUNCTION("""COMPUTED_VALUE"""),"Gouveia, L. e Pinto, C. (2017).*Contributo para a discussão sobre a 
contabilização do Conhecimento e do Capital Humano nas Organizações.* 
Atlântico Business Summit. Edificio Heliântia, Valadares. Vila Nova de 
Gaia. 28 de Setembro.  
[ handle ]")</f>
        <v>Gouveia, L. e Pinto, C. (2017).*Contributo para a discussão sobre a 
contabilização do Conhecimento e do Capital Humano nas Organizações.* 
Atlântico Business Summit. Edificio Heliântia, Valadares. Vila Nova de 
Gaia. 28 de Setembro.  
[ handle ]</v>
      </c>
      <c r="C321" s="2">
        <f t="shared" ca="1" si="0"/>
        <v>25</v>
      </c>
      <c r="D321" t="str">
        <f t="shared" ca="1" si="8"/>
        <v xml:space="preserve">Gouveia, L. e Pinto, C. </v>
      </c>
      <c r="E321" t="str">
        <f t="shared" ca="1" si="1"/>
        <v>2017</v>
      </c>
      <c r="F321" t="str">
        <f t="shared" ca="1" si="2"/>
        <v>*Contributo para a discussão sobre a 
contabilização do Conhecimento e do Capital Humano nas Organizações.*</v>
      </c>
      <c r="G321" s="3">
        <f t="shared" ca="1" si="3"/>
        <v>30</v>
      </c>
      <c r="H321" s="2">
        <f t="shared" ca="1" si="4"/>
        <v>137</v>
      </c>
      <c r="I321" t="e">
        <f t="shared" ca="1" si="5"/>
        <v>#VALUE!</v>
      </c>
      <c r="J321" s="3" t="e">
        <f t="shared" ca="1" si="9"/>
        <v>#VALUE!</v>
      </c>
      <c r="K321" t="str">
        <f t="shared" ca="1" si="6"/>
        <v xml:space="preserve">Gouveia, L. e Pinto, C. </v>
      </c>
      <c r="L321" t="str">
        <f t="shared" ca="1" si="7"/>
        <v xml:space="preserve">Quental, C. </v>
      </c>
    </row>
    <row r="322" spans="1:13" ht="15.75" customHeight="1">
      <c r="A322" t="str">
        <f ca="1">IFERROR(__xludf.DUMMYFUNCTION("""COMPUTED_VALUE"""),"*2**2*")</f>
        <v>*2**2*</v>
      </c>
      <c r="B322" t="str">
        <f ca="1">IFERROR(__xludf.DUMMYFUNCTION("""COMPUTED_VALUE"""),"Martins, O. e Gouveia, L. (2015). A promoção da infoliteracia como 
estratégia de autonomia numa biblioteca do ensino superior. 12º Congresso 
Nacional BAD Bibliotecários, Arquivistas e Documentalistas. 21 a 23 de 
Outubro. Évora.
[ apresentação | paper ]")</f>
        <v>Martins, O. e Gouveia, L. (2015). A promoção da infoliteracia como 
estratégia de autonomia numa biblioteca do ensino superior. 12º Congresso 
Nacional BAD Bibliotecários, Arquivistas e Documentalistas. 21 a 23 de 
Outubro. Évora.
[ apresentação | paper ]</v>
      </c>
      <c r="C322" s="2">
        <f t="shared" ca="1" si="0"/>
        <v>27</v>
      </c>
      <c r="D322" t="str">
        <f t="shared" ca="1" si="8"/>
        <v xml:space="preserve">Martins, O. e Gouveia, L. </v>
      </c>
      <c r="E322" t="str">
        <f t="shared" ca="1" si="1"/>
        <v>2015</v>
      </c>
      <c r="F322" t="str">
        <f t="shared" ca="1" si="2"/>
        <v xml:space="preserve"> A promoção da infoliteracia como 
estratégia de autonomia numa biblioteca do ensino superior. </v>
      </c>
      <c r="G322" s="3">
        <f t="shared" ca="1" si="3"/>
        <v>32</v>
      </c>
      <c r="H322" s="2">
        <f t="shared" ca="1" si="4"/>
        <v>127</v>
      </c>
      <c r="I322" t="e">
        <f t="shared" ca="1" si="5"/>
        <v>#VALUE!</v>
      </c>
      <c r="J322" s="3" t="e">
        <f t="shared" ca="1" si="9"/>
        <v>#VALUE!</v>
      </c>
      <c r="K322" t="str">
        <f t="shared" ca="1" si="6"/>
        <v xml:space="preserve">Martins, O. e Gouveia, L. </v>
      </c>
      <c r="L322" t="str">
        <f t="shared" ca="1" si="7"/>
        <v xml:space="preserve">Quental, C. </v>
      </c>
    </row>
    <row r="323" spans="1:13" ht="15.75" customHeight="1">
      <c r="A323">
        <f ca="1">IFERROR(__xludf.DUMMYFUNCTION("""COMPUTED_VALUE"""),21)</f>
        <v>21</v>
      </c>
      <c r="B323" t="str">
        <f ca="1">IFERROR(__xludf.DUMMYFUNCTION("""COMPUTED_VALUE"""),"Leal, J. e Gouveia, L. (2015). MOOC: Qual o papel na reconceptualização da 
Universidade. 2º Congresso Internacional de Psicologia, Educação e Cultura. 
IspGaya, Vila Nova de Gaia. 18 de Julho. In Almeida, L.; Araújo, A. Cruz, 
J.; Morais, J. e Simões, M."&amp;" (org.) (2015). Atas do 2º Congresso 
Internacional “Psicologia, Educação e Cultura”. Vila Nova de Gaia: Edições 
ISPGaya. ISBN 978-972-8182-17-5, pp 197-206.
[ presentation | paper ]")</f>
        <v>Leal, J. e Gouveia, L. (2015). MOOC: Qual o papel na reconceptualização da 
Universidade. 2º Congresso Internacional de Psicologia, Educação e Cultura. 
IspGaya, Vila Nova de Gaia. 18 de Julho. In Almeida, L.; Araújo, A. Cruz, 
J.; Morais, J. e Simões, M. (org.) (2015). Atas do 2º Congresso 
Internacional “Psicologia, Educação e Cultura”. Vila Nova de Gaia: Edições 
ISPGaya. ISBN 978-972-8182-17-5, pp 197-206.
[ presentation | paper ]</v>
      </c>
      <c r="C323" s="2">
        <f t="shared" ca="1" si="0"/>
        <v>24</v>
      </c>
      <c r="D323" t="str">
        <f t="shared" ca="1" si="8"/>
        <v xml:space="preserve">Leal, J. e Gouveia, L. </v>
      </c>
      <c r="E323" t="str">
        <f t="shared" ca="1" si="1"/>
        <v>2015</v>
      </c>
      <c r="F323" t="str">
        <f t="shared" ca="1" si="2"/>
        <v xml:space="preserve"> MOOC: Qual o papel na reconceptualização da 
Universidade. </v>
      </c>
      <c r="G323" s="3">
        <f t="shared" ca="1" si="3"/>
        <v>29</v>
      </c>
      <c r="H323" s="2">
        <f t="shared" ca="1" si="4"/>
        <v>89</v>
      </c>
      <c r="I323" t="str">
        <f t="shared" ca="1" si="5"/>
        <v>2º Congresso Internacional de Psicologia, Educação e Cultura. 
IspGaya, Vila Nova de Gaia. 18 de Julho. In Almeida, L.; Araújo, A. Cruz, 
J.; Morais, J. e Simões, M. (org.) (2015).</v>
      </c>
      <c r="J323" s="3">
        <f t="shared" ca="1" si="9"/>
        <v>269</v>
      </c>
      <c r="K323" t="str">
        <f t="shared" ca="1" si="6"/>
        <v xml:space="preserve">Leal, J. e Gouveia, L. </v>
      </c>
      <c r="L323" t="str">
        <f t="shared" ca="1" si="7"/>
        <v xml:space="preserve">Quental, C. </v>
      </c>
    </row>
    <row r="324" spans="1:13" ht="15.75" customHeight="1">
      <c r="A324">
        <f ca="1">IFERROR(__xludf.DUMMYFUNCTION("""COMPUTED_VALUE"""),20)</f>
        <v>20</v>
      </c>
      <c r="B324" t="str">
        <f ca="1">IFERROR(__xludf.DUMMYFUNCTION("""COMPUTED_VALUE"""),"Robalo, A. e Gouveia, L. (2014). O contributo das plataformas educativas no 
ensino e formação de professores em Angola: Experiência piloto no ISCED - 
Huambo. Colóquio “Qualidade de Ensino e a formação de professores em 
Angola”. ISCED. 4 e 5 Novembro. H"&amp;"uambo, Angola.
[ handle ]")</f>
        <v>Robalo, A. e Gouveia, L. (2014). O contributo das plataformas educativas no 
ensino e formação de professores em Angola: Experiência piloto no ISCED - 
Huambo. Colóquio “Qualidade de Ensino e a formação de professores em 
Angola”. ISCED. 4 e 5 Novembro. Huambo, Angola.
[ handle ]</v>
      </c>
      <c r="C324" s="2">
        <f t="shared" ca="1" si="0"/>
        <v>26</v>
      </c>
      <c r="D324" t="str">
        <f t="shared" ca="1" si="8"/>
        <v xml:space="preserve">Robalo, A. e Gouveia, L. </v>
      </c>
      <c r="E324" t="str">
        <f t="shared" ca="1" si="1"/>
        <v>2014</v>
      </c>
      <c r="F324" t="str">
        <f t="shared" ca="1" si="2"/>
        <v xml:space="preserve"> O contributo das plataformas educativas no 
ensino e formação de professores em Angola: Experiência piloto no ISCED - 
Huambo. </v>
      </c>
      <c r="G324" s="3">
        <f t="shared" ca="1" si="3"/>
        <v>31</v>
      </c>
      <c r="H324" s="2">
        <f t="shared" ca="1" si="4"/>
        <v>159</v>
      </c>
      <c r="I324" t="e">
        <f t="shared" ca="1" si="5"/>
        <v>#VALUE!</v>
      </c>
      <c r="J324" s="3" t="e">
        <f t="shared" ca="1" si="9"/>
        <v>#VALUE!</v>
      </c>
      <c r="K324" t="str">
        <f t="shared" ca="1" si="6"/>
        <v xml:space="preserve">Robalo, A. e Gouveia, L. </v>
      </c>
      <c r="L324" t="str">
        <f t="shared" ca="1" si="7"/>
        <v xml:space="preserve">Quental, C. </v>
      </c>
    </row>
    <row r="325" spans="1:13" ht="15.75" customHeight="1">
      <c r="A325">
        <f ca="1">IFERROR(__xludf.DUMMYFUNCTION("""COMPUTED_VALUE"""),19)</f>
        <v>19</v>
      </c>
      <c r="B325" t="str">
        <f ca="1">IFERROR(__xludf.DUMMYFUNCTION("""COMPUTED_VALUE"""),"Gouveia, L. (2014). O Excesso de Informação e as suas implicações para 
indivíduos e organizações. 10º Congresso Nacional de Psicologia da Saúde. 
Universidade Fernando Pessoa. 6 a 8 de Fevereiro.
[ apresentação ]")</f>
        <v>Gouveia, L. (2014). O Excesso de Informação e as suas implicações para 
indivíduos e organizações. 10º Congresso Nacional de Psicologia da Saúde. 
Universidade Fernando Pessoa. 6 a 8 de Fevereiro.
[ apresentação ]</v>
      </c>
      <c r="C325" s="2">
        <f t="shared" ca="1" si="0"/>
        <v>13</v>
      </c>
      <c r="D325" t="str">
        <f t="shared" ca="1" si="8"/>
        <v xml:space="preserve">Gouveia, L. </v>
      </c>
      <c r="E325" t="str">
        <f t="shared" ca="1" si="1"/>
        <v>2014</v>
      </c>
      <c r="F325" t="str">
        <f t="shared" ca="1" si="2"/>
        <v xml:space="preserve"> O Excesso de Informação e as suas implicações para 
indivíduos e organizações. </v>
      </c>
      <c r="G325" s="3">
        <f t="shared" ca="1" si="3"/>
        <v>18</v>
      </c>
      <c r="H325" s="2">
        <f t="shared" ca="1" si="4"/>
        <v>98</v>
      </c>
      <c r="I325" t="e">
        <f t="shared" ca="1" si="5"/>
        <v>#VALUE!</v>
      </c>
      <c r="J325" s="3" t="e">
        <f t="shared" ca="1" si="9"/>
        <v>#VALUE!</v>
      </c>
      <c r="K325" t="str">
        <f t="shared" ca="1" si="6"/>
        <v xml:space="preserve">Gouveia, L. </v>
      </c>
      <c r="L325" t="str">
        <f t="shared" ca="1" si="7"/>
        <v xml:space="preserve">Quental, C. </v>
      </c>
    </row>
    <row r="326" spans="1:13" ht="15.75" customHeight="1">
      <c r="A326">
        <f ca="1">IFERROR(__xludf.DUMMYFUNCTION("""COMPUTED_VALUE"""),18)</f>
        <v>18</v>
      </c>
      <c r="B326" t="str">
        <f ca="1">IFERROR(__xludf.DUMMYFUNCTION("""COMPUTED_VALUE"""),"Cardoso, T. e Gouveia, L. (2012). As redes sociais e a Web 2.0 nas 
Bibliotecas Públicas do Distrito de Aveiro. X Congresso da LUSOCOM - 
Comunicação , Cultura e Desenvolvimento. Instituto Superior de Ciências 
Sociais e Políticas. 27-29 de Setembro de 20"&amp;"12. Lisboa, Portugal.
[ slideshare ]")</f>
        <v>Cardoso, T. e Gouveia, L. (2012). As redes sociais e a Web 2.0 nas 
Bibliotecas Públicas do Distrito de Aveiro. X Congresso da LUSOCOM - 
Comunicação , Cultura e Desenvolvimento. Instituto Superior de Ciências 
Sociais e Políticas. 27-29 de Setembro de 2012. Lisboa, Portugal.
[ slideshare ]</v>
      </c>
      <c r="C326" s="2">
        <f t="shared" ca="1" si="0"/>
        <v>27</v>
      </c>
      <c r="D326" t="str">
        <f t="shared" ca="1" si="8"/>
        <v xml:space="preserve">Cardoso, T. e Gouveia, L. </v>
      </c>
      <c r="E326" t="str">
        <f t="shared" ca="1" si="1"/>
        <v>2012</v>
      </c>
      <c r="F326" t="str">
        <f t="shared" ca="1" si="2"/>
        <v xml:space="preserve"> As redes sociais e a Web 2.0</v>
      </c>
      <c r="G326" s="3">
        <f t="shared" ca="1" si="3"/>
        <v>32</v>
      </c>
      <c r="H326" s="2">
        <f t="shared" ca="1" si="4"/>
        <v>61</v>
      </c>
      <c r="I326" t="e">
        <f t="shared" ca="1" si="5"/>
        <v>#VALUE!</v>
      </c>
      <c r="J326" s="3" t="e">
        <f t="shared" ca="1" si="9"/>
        <v>#VALUE!</v>
      </c>
      <c r="K326" t="str">
        <f t="shared" ca="1" si="6"/>
        <v xml:space="preserve">Cardoso, T. e Gouveia, L. </v>
      </c>
      <c r="L326" t="str">
        <f t="shared" ca="1" si="7"/>
        <v xml:space="preserve">Quental, C. </v>
      </c>
    </row>
    <row r="327" spans="1:13" ht="15.75" customHeight="1">
      <c r="A327">
        <f ca="1">IFERROR(__xludf.DUMMYFUNCTION("""COMPUTED_VALUE"""),17)</f>
        <v>17</v>
      </c>
      <c r="B327" t="str">
        <f ca="1">IFERROR(__xludf.DUMMYFUNCTION("""COMPUTED_VALUE"""),"Gouveia, L. (2010). O digital e as redes como mecanismos de inovação na 
participação pública. De Re Publica. Colóquio evocativo dos 100 anos de 
República em Portugal. Universidade Fernando Pessoa. 3 de Novembro. Porto, 
Portugal.
apresentação [ slidesha"&amp;"re ]")</f>
        <v>Gouveia, L. (2010). O digital e as redes como mecanismos de inovação na 
participação pública. De Re Publica. Colóquio evocativo dos 100 anos de 
República em Portugal. Universidade Fernando Pessoa. 3 de Novembro. Porto, 
Portugal.
apresentação [ slideshare ]</v>
      </c>
      <c r="C327" s="2">
        <f t="shared" ca="1" si="0"/>
        <v>13</v>
      </c>
      <c r="D327" t="str">
        <f t="shared" ca="1" si="8"/>
        <v xml:space="preserve">Gouveia, L. </v>
      </c>
      <c r="E327" t="str">
        <f t="shared" ca="1" si="1"/>
        <v>2010</v>
      </c>
      <c r="F327" t="str">
        <f t="shared" ca="1" si="2"/>
        <v xml:space="preserve"> O digital e as redes como mecanismos de inovação na 
participação pública. </v>
      </c>
      <c r="G327" s="3">
        <f t="shared" ca="1" si="3"/>
        <v>18</v>
      </c>
      <c r="H327" s="2">
        <f t="shared" ca="1" si="4"/>
        <v>94</v>
      </c>
      <c r="I327" t="e">
        <f t="shared" ca="1" si="5"/>
        <v>#VALUE!</v>
      </c>
      <c r="J327" s="3" t="e">
        <f t="shared" ca="1" si="9"/>
        <v>#VALUE!</v>
      </c>
      <c r="K327" t="str">
        <f t="shared" ca="1" si="6"/>
        <v xml:space="preserve">Gouveia, L. </v>
      </c>
      <c r="L327" t="str">
        <f t="shared" ca="1" si="7"/>
        <v xml:space="preserve">Quental, C. </v>
      </c>
    </row>
    <row r="328" spans="1:13" ht="15.75" customHeight="1">
      <c r="A328">
        <f ca="1">IFERROR(__xludf.DUMMYFUNCTION("""COMPUTED_VALUE"""),16)</f>
        <v>16</v>
      </c>
      <c r="B328" t="str">
        <f ca="1">IFERROR(__xludf.DUMMYFUNCTION("""COMPUTED_VALUE"""),"Gaio, S.; Gouveia, L. e Gouveia, J. (2010). *A gestão da marca territorial 
sob uma abordagem colaborativa: notas sobre os casos de Cascais, Guimarães, 
Paços de Ferreira e Ponte de Lima*. V Workshop da APDR. Casos de 
Desenvolvimento Regional. Faculdade "&amp;"de Economia da Universidade de Coimbra. 
8 de Fevereiro. Coimbra, Portugal.
apresentação [ slideshare ]")</f>
        <v>Gaio, S.; Gouveia, L. e Gouveia, J. (2010). *A gestão da marca territorial 
sob uma abordagem colaborativa: notas sobre os casos de Cascais, Guimarães, 
Paços de Ferreira e Ponte de Lima*. V Workshop da APDR. Casos de 
Desenvolvimento Regional. Faculdade de Economia da Universidade de Coimbra. 
8 de Fevereiro. Coimbra, Portugal.
apresentação [ slideshare ]</v>
      </c>
      <c r="C328" s="2">
        <f t="shared" ca="1" si="0"/>
        <v>37</v>
      </c>
      <c r="D328" t="str">
        <f t="shared" ca="1" si="8"/>
        <v xml:space="preserve">Gaio, S.; Gouveia, L. e Gouveia, J. </v>
      </c>
      <c r="E328" t="str">
        <f t="shared" ca="1" si="1"/>
        <v>2010</v>
      </c>
      <c r="F328" t="str">
        <f t="shared" ca="1" si="2"/>
        <v xml:space="preserve"> *A gestão da marca territorial 
sob uma abordagem colaborativa: notas sobre os casos de Cascais, Guimarães, 
Paços de Ferreira e Ponte de Lima*. </v>
      </c>
      <c r="G328" s="3">
        <f t="shared" ca="1" si="3"/>
        <v>42</v>
      </c>
      <c r="H328" s="2">
        <f t="shared" ca="1" si="4"/>
        <v>188</v>
      </c>
      <c r="I328" t="e">
        <f t="shared" ca="1" si="5"/>
        <v>#VALUE!</v>
      </c>
      <c r="J328" s="3" t="e">
        <f t="shared" ca="1" si="9"/>
        <v>#VALUE!</v>
      </c>
      <c r="K328" t="str">
        <f t="shared" ca="1" si="6"/>
        <v xml:space="preserve">Gaio, S.; Gouveia, L. e Gouveia, J. </v>
      </c>
      <c r="L328" t="str">
        <f t="shared" ca="1" si="7"/>
        <v xml:space="preserve">Quental, C. </v>
      </c>
      <c r="M328" t="str">
        <f ca="1">IFERROR(__xludf.DUMMYFUNCTION("""COMPUTED_VALUE""")," Gouveia, L. e Gouveia, J. ")</f>
        <v xml:space="preserve"> Gouveia, L. e Gouveia, J. </v>
      </c>
    </row>
    <row r="329" spans="1:13" ht="15.75" customHeight="1">
      <c r="A329">
        <f ca="1">IFERROR(__xludf.DUMMYFUNCTION("""COMPUTED_VALUE"""),15)</f>
        <v>15</v>
      </c>
      <c r="B329" t="str">
        <f ca="1">IFERROR(__xludf.DUMMYFUNCTION("""COMPUTED_VALUE"""),"Gaio, S.; Gouveia, L. e Gouveia, J. (2008). *Network Based Branding: Um 
Modelo Colaborativo para a Edificação de Marcas Territoriais. 14º* 
Congresso da APDR. Desenvolvimento, Administração e Governança Local. 
Instituto Politécnico de Tomar. 4 e 5 de Ju"&amp;"lho de 2008. Tomar, Portugal. 
artigo [ pdf(188KB) ]")</f>
        <v>Gaio, S.; Gouveia, L. e Gouveia, J. (2008). *Network Based Branding: Um 
Modelo Colaborativo para a Edificação de Marcas Territoriais. 14º* 
Congresso da APDR. Desenvolvimento, Administração e Governança Local. 
Instituto Politécnico de Tomar. 4 e 5 de Julho de 2008. Tomar, Portugal. 
artigo [ pdf(188KB) ]</v>
      </c>
      <c r="C329" s="2">
        <f t="shared" ca="1" si="0"/>
        <v>37</v>
      </c>
      <c r="D329" t="str">
        <f t="shared" ca="1" si="8"/>
        <v xml:space="preserve">Gaio, S.; Gouveia, L. e Gouveia, J. </v>
      </c>
      <c r="E329" t="str">
        <f t="shared" ca="1" si="1"/>
        <v>2008</v>
      </c>
      <c r="F329" t="str">
        <f t="shared" ca="1" si="2"/>
        <v xml:space="preserve"> *Network Based Branding: Um 
Modelo Colaborativo para a Edificação de Marcas Territoriais. </v>
      </c>
      <c r="G329" s="3">
        <f t="shared" ca="1" si="3"/>
        <v>42</v>
      </c>
      <c r="H329" s="2">
        <f t="shared" ca="1" si="4"/>
        <v>134</v>
      </c>
      <c r="I329" t="e">
        <f t="shared" ca="1" si="5"/>
        <v>#VALUE!</v>
      </c>
      <c r="J329" s="3" t="e">
        <f t="shared" ca="1" si="9"/>
        <v>#VALUE!</v>
      </c>
      <c r="K329" t="str">
        <f t="shared" ca="1" si="6"/>
        <v xml:space="preserve">Gaio, S.; Gouveia, L. e Gouveia, J. </v>
      </c>
      <c r="L329" t="str">
        <f t="shared" ca="1" si="7"/>
        <v xml:space="preserve">Quental, C. </v>
      </c>
      <c r="M329" t="str">
        <f ca="1">IFERROR(__xludf.DUMMYFUNCTION("""COMPUTED_VALUE""")," Gouveia, L. e Gouveia, J. ")</f>
        <v xml:space="preserve"> Gouveia, L. e Gouveia, J. </v>
      </c>
    </row>
    <row r="330" spans="1:13" ht="15.75" customHeight="1">
      <c r="A330">
        <f ca="1">IFERROR(__xludf.DUMMYFUNCTION("""COMPUTED_VALUE"""),14)</f>
        <v>14</v>
      </c>
      <c r="B330" t="str">
        <f ca="1">IFERROR(__xludf.DUMMYFUNCTION("""COMPUTED_VALUE"""),"Gouveia, L. e Gouveia, J. (2008). *Território e oportunidades de 
desenvolvimento com recurso a práticas de local e-government. 14º* 
Congresso da APDR. Desenvolvimento, Administração e Governança Local. 
Instituto Politécnico de Tomar. 4 e 5 de Julho de "&amp;"2008. Tomar, portugal.
artigo [ pdf (67KB) ]")</f>
        <v>Gouveia, L. e Gouveia, J. (2008). *Território e oportunidades de 
desenvolvimento com recurso a práticas de local e-government. 14º* 
Congresso da APDR. Desenvolvimento, Administração e Governança Local. 
Instituto Politécnico de Tomar. 4 e 5 de Julho de 2008. Tomar, portugal.
artigo [ pdf (67KB) ]</v>
      </c>
      <c r="C330" s="2">
        <f t="shared" ca="1" si="0"/>
        <v>27</v>
      </c>
      <c r="D330" t="str">
        <f t="shared" ca="1" si="8"/>
        <v xml:space="preserve">Gouveia, L. e Gouveia, J. </v>
      </c>
      <c r="E330" t="str">
        <f t="shared" ca="1" si="1"/>
        <v>2008</v>
      </c>
      <c r="F330" t="str">
        <f t="shared" ca="1" si="2"/>
        <v xml:space="preserve"> *Território e oportunidades de 
desenvolvimento com recurso a práticas de local e-government. </v>
      </c>
      <c r="G330" s="3">
        <f t="shared" ca="1" si="3"/>
        <v>32</v>
      </c>
      <c r="H330" s="2">
        <f t="shared" ca="1" si="4"/>
        <v>127</v>
      </c>
      <c r="I330" t="e">
        <f t="shared" ca="1" si="5"/>
        <v>#VALUE!</v>
      </c>
      <c r="J330" s="3" t="e">
        <f t="shared" ca="1" si="9"/>
        <v>#VALUE!</v>
      </c>
      <c r="K330" t="str">
        <f t="shared" ca="1" si="6"/>
        <v xml:space="preserve">Gouveia, L. e Gouveia, J. </v>
      </c>
      <c r="L330" t="str">
        <f t="shared" ca="1" si="7"/>
        <v xml:space="preserve">Quental, C. </v>
      </c>
    </row>
    <row r="331" spans="1:13" ht="15.75" customHeight="1">
      <c r="A331">
        <f ca="1">IFERROR(__xludf.DUMMYFUNCTION("""COMPUTED_VALUE"""),13)</f>
        <v>13</v>
      </c>
      <c r="B331" t="str">
        <f ca="1">IFERROR(__xludf.DUMMYFUNCTION("""COMPUTED_VALUE"""),"Simões, L. e Gouveia, L. (2008). *Consumer Behaviour of the Millennial 
Generation.* III Jornadas de Publicidade e Comunicação. A Publicidade para 
o consumidor do Séc. XXI. Universidade Fernando Pessoa. 10 de Abril. Porto, 
Portugal. 
paper [ pdf (526KB)"&amp;" ] | presentation [ pdf(422KB) ]")</f>
        <v>Simões, L. e Gouveia, L. (2008). *Consumer Behaviour of the Millennial 
Generation.* III Jornadas de Publicidade e Comunicação. A Publicidade para 
o consumidor do Séc. XXI. Universidade Fernando Pessoa. 10 de Abril. Porto, 
Portugal. 
paper [ pdf (526KB) ] | presentation [ pdf(422KB) ]</v>
      </c>
      <c r="C331" s="2">
        <f t="shared" ca="1" si="0"/>
        <v>26</v>
      </c>
      <c r="D331" t="str">
        <f t="shared" ca="1" si="8"/>
        <v xml:space="preserve">Simões, L. e Gouveia, L. </v>
      </c>
      <c r="E331" t="str">
        <f t="shared" ca="1" si="1"/>
        <v>2008</v>
      </c>
      <c r="F331" t="str">
        <f t="shared" ca="1" si="2"/>
        <v xml:space="preserve"> *Consumer Behaviour of the Millennial 
Generation.*</v>
      </c>
      <c r="G331" s="3">
        <f t="shared" ca="1" si="3"/>
        <v>31</v>
      </c>
      <c r="H331" s="2">
        <f t="shared" ca="1" si="4"/>
        <v>83</v>
      </c>
      <c r="I331" t="e">
        <f t="shared" ca="1" si="5"/>
        <v>#VALUE!</v>
      </c>
      <c r="J331" s="3" t="e">
        <f t="shared" ca="1" si="9"/>
        <v>#VALUE!</v>
      </c>
      <c r="K331" t="str">
        <f t="shared" ca="1" si="6"/>
        <v xml:space="preserve">Simões, L. e Gouveia, L. </v>
      </c>
      <c r="L331" t="str">
        <f t="shared" ca="1" si="7"/>
        <v xml:space="preserve">Quental, C. </v>
      </c>
    </row>
    <row r="332" spans="1:13" ht="15.75" customHeight="1">
      <c r="A332">
        <f ca="1">IFERROR(__xludf.DUMMYFUNCTION("""COMPUTED_VALUE"""),12)</f>
        <v>12</v>
      </c>
      <c r="B332" t="str">
        <f ca="1">IFERROR(__xludf.DUMMYFUNCTION("""COMPUTED_VALUE"""),"Gouveia, L. (2004). *A administração pública local de base electrónica: 
questões e desafios*. 2ª Conferência do Instituto Nacional de 
Administração. INA. 4-5 de Novembro. Lisboa, Portugal.
paper: [ pdf (31KB)]")</f>
        <v>Gouveia, L. (2004). *A administração pública local de base electrónica: 
questões e desafios*. 2ª Conferência do Instituto Nacional de 
Administração. INA. 4-5 de Novembro. Lisboa, Portugal.
paper: [ pdf (31KB)]</v>
      </c>
      <c r="C332" s="2">
        <f t="shared" ca="1" si="0"/>
        <v>13</v>
      </c>
      <c r="D332" t="str">
        <f t="shared" ca="1" si="8"/>
        <v xml:space="preserve">Gouveia, L. </v>
      </c>
      <c r="E332" t="str">
        <f t="shared" ca="1" si="1"/>
        <v>2004</v>
      </c>
      <c r="F332" t="str">
        <f t="shared" ca="1" si="2"/>
        <v xml:space="preserve"> *A administração pública local de base electrónica: 
questões e desafios*. </v>
      </c>
      <c r="G332" s="3">
        <f t="shared" ca="1" si="3"/>
        <v>18</v>
      </c>
      <c r="H332" s="2">
        <f t="shared" ca="1" si="4"/>
        <v>94</v>
      </c>
      <c r="I332" t="e">
        <f t="shared" ca="1" si="5"/>
        <v>#VALUE!</v>
      </c>
      <c r="J332" s="3" t="e">
        <f t="shared" ca="1" si="9"/>
        <v>#VALUE!</v>
      </c>
      <c r="K332" t="str">
        <f t="shared" ca="1" si="6"/>
        <v xml:space="preserve">Gouveia, L. </v>
      </c>
      <c r="L332" t="str">
        <f t="shared" ca="1" si="7"/>
        <v xml:space="preserve">Quental, C. </v>
      </c>
    </row>
    <row r="333" spans="1:13" ht="15.75" customHeight="1">
      <c r="A333">
        <f ca="1">IFERROR(__xludf.DUMMYFUNCTION("""COMPUTED_VALUE"""),11)</f>
        <v>11</v>
      </c>
      <c r="B333" t="str">
        <f ca="1">IFERROR(__xludf.DUMMYFUNCTION("""COMPUTED_VALUE"""),"Xavier, J.; e Gouveia, L. e Gouveia, J. (2003). *Contribuição para a 
definição de Cidade e Região Digital*. 4ª Conferência da Associação 
Portuguesa de Sistemas de Informação. Universidade Portucalense (UPT). 15 
de Outubro. Porto, Portugal. Actas em CD-"&amp;"ROM.")</f>
        <v>Xavier, J.; e Gouveia, L. e Gouveia, J. (2003). *Contribuição para a 
definição de Cidade e Região Digital*. 4ª Conferência da Associação 
Portuguesa de Sistemas de Informação. Universidade Portucalense (UPT). 15 
de Outubro. Porto, Portugal. Actas em CD-ROM.</v>
      </c>
      <c r="C333" s="2">
        <f t="shared" ca="1" si="0"/>
        <v>41</v>
      </c>
      <c r="D333" t="str">
        <f t="shared" ca="1" si="8"/>
        <v xml:space="preserve">Xavier, J.; e Gouveia, L. e Gouveia, J. </v>
      </c>
      <c r="E333" t="str">
        <f t="shared" ca="1" si="1"/>
        <v>2003</v>
      </c>
      <c r="F333" t="str">
        <f t="shared" ca="1" si="2"/>
        <v xml:space="preserve"> *Contribuição para a 
definição de Cidade e Região Digital*. </v>
      </c>
      <c r="G333" s="3">
        <f t="shared" ca="1" si="3"/>
        <v>46</v>
      </c>
      <c r="H333" s="2">
        <f t="shared" ca="1" si="4"/>
        <v>108</v>
      </c>
      <c r="I333" t="str">
        <f t="shared" ca="1" si="5"/>
        <v>4ª Conferência da Associação 
Portuguesa de Sistemas de Informação. Universidade Portucalense (UPT).</v>
      </c>
      <c r="J333" s="3">
        <f t="shared" ca="1" si="9"/>
        <v>208</v>
      </c>
      <c r="K333" t="str">
        <f t="shared" ca="1" si="6"/>
        <v xml:space="preserve">Xavier, J.; e Gouveia, L. e Gouveia, J. </v>
      </c>
      <c r="L333" t="str">
        <f t="shared" ca="1" si="7"/>
        <v xml:space="preserve">Quental, C. </v>
      </c>
      <c r="M333" t="str">
        <f ca="1">IFERROR(__xludf.DUMMYFUNCTION("""COMPUTED_VALUE""")," e Gouveia, L. e Gouveia, J. ")</f>
        <v xml:space="preserve"> e Gouveia, L. e Gouveia, J. </v>
      </c>
    </row>
    <row r="334" spans="1:13" ht="15.75" customHeight="1">
      <c r="A334">
        <f ca="1">IFERROR(__xludf.DUMMYFUNCTION("""COMPUTED_VALUE"""),10)</f>
        <v>10</v>
      </c>
      <c r="B334" t="str">
        <f ca="1">IFERROR(__xludf.DUMMYFUNCTION("""COMPUTED_VALUE"""),"Gouveia, L. e Gouveia, J. (2002). *Connecting the Real and the Virtual 
World: a discussion on measuring Digital Cities impact.* Workshop sobre 
Abordagens Sócio-Técnicas em SI. *3ª* Conferência da Associação Portuguesa 
de Sistemas de Informação. Univers"&amp;"idade de Coimbra.  20-22 Novembro. 
Coimbra, Portugal. Actas em CD-ROM ISBN 972-97548-7-X. 
paper [ pdf(17KB)]")</f>
        <v>Gouveia, L. e Gouveia, J. (2002). *Connecting the Real and the Virtual 
World: a discussion on measuring Digital Cities impact.* Workshop sobre 
Abordagens Sócio-Técnicas em SI. *3ª* Conferência da Associação Portuguesa 
de Sistemas de Informação. Universidade de Coimbra.  20-22 Novembro. 
Coimbra, Portugal. Actas em CD-ROM ISBN 972-97548-7-X. 
paper [ pdf(17KB)]</v>
      </c>
      <c r="C334" s="2">
        <f t="shared" ca="1" si="0"/>
        <v>27</v>
      </c>
      <c r="D334" t="str">
        <f t="shared" ca="1" si="8"/>
        <v xml:space="preserve">Gouveia, L. e Gouveia, J. </v>
      </c>
      <c r="E334" t="str">
        <f t="shared" ca="1" si="1"/>
        <v>2002</v>
      </c>
      <c r="F334" t="str">
        <f t="shared" ca="1" si="2"/>
        <v xml:space="preserve"> *Connecting the Real and the Virtual 
World: a discussion on measuring Digital Cities impact.*</v>
      </c>
      <c r="G334" s="3">
        <f t="shared" ca="1" si="3"/>
        <v>32</v>
      </c>
      <c r="H334" s="2">
        <f t="shared" ca="1" si="4"/>
        <v>127</v>
      </c>
      <c r="I334" t="e">
        <f t="shared" ca="1" si="5"/>
        <v>#VALUE!</v>
      </c>
      <c r="J334" s="3" t="e">
        <f t="shared" ca="1" si="9"/>
        <v>#VALUE!</v>
      </c>
      <c r="K334" t="str">
        <f t="shared" ca="1" si="6"/>
        <v xml:space="preserve">Gouveia, L. e Gouveia, J. </v>
      </c>
      <c r="L334" t="str">
        <f t="shared" ca="1" si="7"/>
        <v xml:space="preserve">Quental, C. </v>
      </c>
    </row>
    <row r="335" spans="1:13" ht="15.75" customHeight="1">
      <c r="A335">
        <f ca="1">IFERROR(__xludf.DUMMYFUNCTION("""COMPUTED_VALUE"""),9)</f>
        <v>9</v>
      </c>
      <c r="B335" t="str">
        <f ca="1">IFERROR(__xludf.DUMMYFUNCTION("""COMPUTED_VALUE"""),"Gouveia, L. (2001). *Virtual Environments and Knowledge Sharing.* 1ª 
Congresso Nacional de Comércio Electrónico - E-Portugal. IST, Taguspark. 11 
e 12 de Outubro. Oeiras, Portugal. 
apresentação [ pdf(295KB)]")</f>
        <v>Gouveia, L. (2001). *Virtual Environments and Knowledge Sharing.* 1ª 
Congresso Nacional de Comércio Electrónico - E-Portugal. IST, Taguspark. 11 
e 12 de Outubro. Oeiras, Portugal. 
apresentação [ pdf(295KB)]</v>
      </c>
      <c r="C335" s="2">
        <f t="shared" ca="1" si="0"/>
        <v>13</v>
      </c>
      <c r="D335" t="str">
        <f t="shared" ca="1" si="8"/>
        <v xml:space="preserve">Gouveia, L. </v>
      </c>
      <c r="E335" t="str">
        <f t="shared" ca="1" si="1"/>
        <v>2001</v>
      </c>
      <c r="F335" t="str">
        <f t="shared" ca="1" si="2"/>
        <v xml:space="preserve"> *Virtual Environments and Knowledge Sharing.*</v>
      </c>
      <c r="G335" s="3">
        <f t="shared" ca="1" si="3"/>
        <v>18</v>
      </c>
      <c r="H335" s="2">
        <f t="shared" ca="1" si="4"/>
        <v>64</v>
      </c>
      <c r="I335" t="e">
        <f t="shared" ca="1" si="5"/>
        <v>#VALUE!</v>
      </c>
      <c r="J335" s="3" t="e">
        <f t="shared" ca="1" si="9"/>
        <v>#VALUE!</v>
      </c>
      <c r="K335" t="str">
        <f t="shared" ca="1" si="6"/>
        <v xml:space="preserve">Gouveia, L. </v>
      </c>
      <c r="L335" t="str">
        <f t="shared" ca="1" si="7"/>
        <v xml:space="preserve">Quental, C. </v>
      </c>
    </row>
    <row r="336" spans="1:13" ht="15.75" customHeight="1">
      <c r="A336">
        <f ca="1">IFERROR(__xludf.DUMMYFUNCTION("""COMPUTED_VALUE"""),8)</f>
        <v>8</v>
      </c>
      <c r="B336" t="str">
        <f ca="1">IFERROR(__xludf.DUMMYFUNCTION("""COMPUTED_VALUE"""),"Gouveia, F. e Gouveia, L. (2001). *O património cultural como um activo.* 
1ª Congresso Nacional de Comércio Electrónico - E-Portugal. IST, Taguspark. 
11 e 12 de Outubro. Oeiras, Portugal.
apresentação [ pdf(59KB)]")</f>
        <v>Gouveia, F. e Gouveia, L. (2001). *O património cultural como um activo.* 
1ª Congresso Nacional de Comércio Electrónico - E-Portugal. IST, Taguspark. 
11 e 12 de Outubro. Oeiras, Portugal.
apresentação [ pdf(59KB)]</v>
      </c>
      <c r="C336" s="2">
        <f t="shared" ca="1" si="0"/>
        <v>27</v>
      </c>
      <c r="D336" t="str">
        <f t="shared" ca="1" si="8"/>
        <v xml:space="preserve">Gouveia, F. e Gouveia, L. </v>
      </c>
      <c r="E336" t="str">
        <f t="shared" ca="1" si="1"/>
        <v>2001</v>
      </c>
      <c r="F336" t="str">
        <f t="shared" ca="1" si="2"/>
        <v xml:space="preserve"> *O património cultural como um activo.*</v>
      </c>
      <c r="G336" s="3">
        <f t="shared" ca="1" si="3"/>
        <v>32</v>
      </c>
      <c r="H336" s="2">
        <f t="shared" ca="1" si="4"/>
        <v>72</v>
      </c>
      <c r="I336" t="e">
        <f t="shared" ca="1" si="5"/>
        <v>#VALUE!</v>
      </c>
      <c r="J336" s="3" t="e">
        <f t="shared" ca="1" si="9"/>
        <v>#VALUE!</v>
      </c>
      <c r="K336" t="str">
        <f t="shared" ca="1" si="6"/>
        <v xml:space="preserve">Gouveia, F. e Gouveia, L. </v>
      </c>
      <c r="L336" t="str">
        <f t="shared" ca="1" si="7"/>
        <v xml:space="preserve">Quental, C. </v>
      </c>
    </row>
    <row r="337" spans="1:13" ht="15.75" customHeight="1">
      <c r="A337">
        <f ca="1">IFERROR(__xludf.DUMMYFUNCTION("""COMPUTED_VALUE"""),7)</f>
        <v>7</v>
      </c>
      <c r="B337" t="str">
        <f ca="1">IFERROR(__xludf.DUMMYFUNCTION("""COMPUTED_VALUE"""),"Gouveia, L. e Gouveia, J. (2001). *E-learning: uma perspectiva sobre o 
ensino, formação e treino mediado por computador*. 1ª Congresso Nacional de 
Comércio Electrónico - E-Portugal. IST, Taguspark. 11 e 12 de Outubro. 
Oeiras, Portugal.
apresentação [ p"&amp;"df(20KB)]")</f>
        <v>Gouveia, L. e Gouveia, J. (2001). *E-learning: uma perspectiva sobre o 
ensino, formação e treino mediado por computador*. 1ª Congresso Nacional de 
Comércio Electrónico - E-Portugal. IST, Taguspark. 11 e 12 de Outubro. 
Oeiras, Portugal.
apresentação [ pdf(20KB)]</v>
      </c>
      <c r="C337" s="2">
        <f t="shared" ca="1" si="0"/>
        <v>27</v>
      </c>
      <c r="D337" t="str">
        <f t="shared" ca="1" si="8"/>
        <v xml:space="preserve">Gouveia, L. e Gouveia, J. </v>
      </c>
      <c r="E337" t="str">
        <f t="shared" ca="1" si="1"/>
        <v>2001</v>
      </c>
      <c r="F337" t="str">
        <f t="shared" ca="1" si="2"/>
        <v xml:space="preserve"> *E-learning: uma perspectiva sobre o 
ensino, formação e treino mediado por computador*. </v>
      </c>
      <c r="G337" s="3">
        <f t="shared" ca="1" si="3"/>
        <v>32</v>
      </c>
      <c r="H337" s="2">
        <f t="shared" ca="1" si="4"/>
        <v>122</v>
      </c>
      <c r="I337" t="e">
        <f t="shared" ca="1" si="5"/>
        <v>#VALUE!</v>
      </c>
      <c r="J337" s="3" t="e">
        <f t="shared" ca="1" si="9"/>
        <v>#VALUE!</v>
      </c>
      <c r="K337" t="str">
        <f t="shared" ca="1" si="6"/>
        <v xml:space="preserve">Gouveia, L. e Gouveia, J. </v>
      </c>
      <c r="L337" t="str">
        <f t="shared" ca="1" si="7"/>
        <v xml:space="preserve">Quental, C. </v>
      </c>
    </row>
    <row r="338" spans="1:13" ht="15.75" customHeight="1">
      <c r="A338">
        <f ca="1">IFERROR(__xludf.DUMMYFUNCTION("""COMPUTED_VALUE"""),6)</f>
        <v>6</v>
      </c>
      <c r="B338" t="str">
        <f ca="1">IFERROR(__xludf.DUMMYFUNCTION("""COMPUTED_VALUE"""),"Gouveia, J.; Restivo, F. e Gouveia, L. (1999). *Integração e Convergência 
no Ensino, Formação e Treino. Uma proposta para a criação de redes de 
competência.* 2ª Conferência sobre Redes de Computadores. CRC'99. 
Universidade de Évora. 18 - 19 de Outubro."&amp;" Évora, Portugal.
paper [ pdf (54KB)]")</f>
        <v>Gouveia, J.; Restivo, F. e Gouveia, L. (1999). *Integração e Convergência 
no Ensino, Formação e Treino. Uma proposta para a criação de redes de 
competência.* 2ª Conferência sobre Redes de Computadores. CRC'99. 
Universidade de Évora. 18 - 19 de Outubro. Évora, Portugal.
paper [ pdf (54KB)]</v>
      </c>
      <c r="C338" s="2">
        <f t="shared" ca="1" si="0"/>
        <v>40</v>
      </c>
      <c r="D338" t="str">
        <f t="shared" ca="1" si="8"/>
        <v xml:space="preserve">Gouveia, J.; Restivo, F. e Gouveia, L. </v>
      </c>
      <c r="E338" t="str">
        <f t="shared" ca="1" si="1"/>
        <v>1999</v>
      </c>
      <c r="F338" t="str">
        <f t="shared" ca="1" si="2"/>
        <v xml:space="preserve"> *Integração e Convergência 
no Ensino, Formação e Treino. </v>
      </c>
      <c r="G338" s="3">
        <f t="shared" ca="1" si="3"/>
        <v>45</v>
      </c>
      <c r="H338" s="2">
        <f t="shared" ca="1" si="4"/>
        <v>104</v>
      </c>
      <c r="I338" t="e">
        <f t="shared" ca="1" si="5"/>
        <v>#VALUE!</v>
      </c>
      <c r="J338" s="3" t="e">
        <f t="shared" ca="1" si="9"/>
        <v>#VALUE!</v>
      </c>
      <c r="K338" t="str">
        <f t="shared" ca="1" si="6"/>
        <v xml:space="preserve">Gouveia, J.; Restivo, F. e Gouveia, L. </v>
      </c>
      <c r="L338" t="str">
        <f t="shared" ca="1" si="7"/>
        <v xml:space="preserve">Quental, C. </v>
      </c>
      <c r="M338" t="str">
        <f ca="1">IFERROR(__xludf.DUMMYFUNCTION("""COMPUTED_VALUE""")," Restivo, F. e Gouveia, L. ")</f>
        <v xml:space="preserve"> Restivo, F. e Gouveia, L. </v>
      </c>
    </row>
    <row r="339" spans="1:13" ht="15.75" customHeight="1">
      <c r="A339">
        <f ca="1">IFERROR(__xludf.DUMMYFUNCTION("""COMPUTED_VALUE"""),5)</f>
        <v>5</v>
      </c>
      <c r="B339" t="str">
        <f ca="1">IFERROR(__xludf.DUMMYFUNCTION("""COMPUTED_VALUE"""),"Lamas, D.; Gouveia, F. e Gouveia, L. (1999). *O Símbolo e a Interactividade 
no uso de computadores*. Congresso Internacional Literatura, Cinema e 
Outras Artes. Universidade Fernando Pessoa. 31 de Maio - 2 de Junho. Porto, 
Portugal.
paper [ pdf (26KB) ]")</f>
        <v>Lamas, D.; Gouveia, F. e Gouveia, L. (1999). *O Símbolo e a Interactividade 
no uso de computadores*. Congresso Internacional Literatura, Cinema e 
Outras Artes. Universidade Fernando Pessoa. 31 de Maio - 2 de Junho. Porto, 
Portugal.
paper [ pdf (26KB) ]</v>
      </c>
      <c r="C339" s="2">
        <f t="shared" ca="1" si="0"/>
        <v>38</v>
      </c>
      <c r="D339" t="str">
        <f t="shared" ca="1" si="8"/>
        <v xml:space="preserve">Lamas, D.; Gouveia, F. e Gouveia, L. </v>
      </c>
      <c r="E339" t="str">
        <f t="shared" ca="1" si="1"/>
        <v>1999</v>
      </c>
      <c r="F339" t="str">
        <f t="shared" ca="1" si="2"/>
        <v xml:space="preserve"> *O Símbolo e a Interactividade 
no uso de computadores*. </v>
      </c>
      <c r="G339" s="3">
        <f t="shared" ca="1" si="3"/>
        <v>43</v>
      </c>
      <c r="H339" s="2">
        <f t="shared" ca="1" si="4"/>
        <v>101</v>
      </c>
      <c r="I339" t="e">
        <f t="shared" ca="1" si="5"/>
        <v>#VALUE!</v>
      </c>
      <c r="J339" s="3" t="e">
        <f t="shared" ca="1" si="9"/>
        <v>#VALUE!</v>
      </c>
      <c r="K339" t="str">
        <f t="shared" ca="1" si="6"/>
        <v xml:space="preserve">Lamas, D.; Gouveia, F. e Gouveia, L. </v>
      </c>
      <c r="L339" t="str">
        <f t="shared" ca="1" si="7"/>
        <v xml:space="preserve">Quental, C. </v>
      </c>
      <c r="M339" t="str">
        <f ca="1">IFERROR(__xludf.DUMMYFUNCTION("""COMPUTED_VALUE""")," Gouveia, F. e Gouveia, L. ")</f>
        <v xml:space="preserve"> Gouveia, F. e Gouveia, L. </v>
      </c>
    </row>
    <row r="340" spans="1:13" ht="15.75" customHeight="1">
      <c r="A340">
        <f ca="1">IFERROR(__xludf.DUMMYFUNCTION("""COMPUTED_VALUE"""),4)</f>
        <v>4</v>
      </c>
      <c r="B340" t="str">
        <f ca="1">IFERROR(__xludf.DUMMYFUNCTION("""COMPUTED_VALUE"""),"Gouveia, L. (1998). *Uma proposta para a avaliação e diagnóstico mediada 
por computador.* 1ª Conferência sobre redes de Computadores - CRC'98. 
Universidade de Coimbra. Coimbra, 9 - 10 de Novembro. Porto, Portugal. Actas 
em CD ROM.
texto: [ pdf (60KB) ]"&amp;" transparências: [ pdf (124KB) ]")</f>
        <v>Gouveia, L. (1998). *Uma proposta para a avaliação e diagnóstico mediada 
por computador.* 1ª Conferência sobre redes de Computadores - CRC'98. 
Universidade de Coimbra. Coimbra, 9 - 10 de Novembro. Porto, Portugal. Actas 
em CD ROM.
texto: [ pdf (60KB) ] transparências: [ pdf (124KB) ]</v>
      </c>
      <c r="C340" s="2">
        <f t="shared" ca="1" si="0"/>
        <v>13</v>
      </c>
      <c r="D340" t="str">
        <f t="shared" ca="1" si="8"/>
        <v xml:space="preserve">Gouveia, L. </v>
      </c>
      <c r="E340" t="str">
        <f t="shared" ca="1" si="1"/>
        <v>1998</v>
      </c>
      <c r="F340" t="str">
        <f t="shared" ca="1" si="2"/>
        <v xml:space="preserve"> *Uma proposta para a avaliação e diagnóstico mediada 
por computador.*</v>
      </c>
      <c r="G340" s="3">
        <f t="shared" ca="1" si="3"/>
        <v>18</v>
      </c>
      <c r="H340" s="2">
        <f t="shared" ca="1" si="4"/>
        <v>89</v>
      </c>
      <c r="I340" t="e">
        <f t="shared" ca="1" si="5"/>
        <v>#VALUE!</v>
      </c>
      <c r="J340" s="3" t="e">
        <f t="shared" ca="1" si="9"/>
        <v>#VALUE!</v>
      </c>
      <c r="K340" t="str">
        <f t="shared" ca="1" si="6"/>
        <v xml:space="preserve">Gouveia, L. </v>
      </c>
      <c r="L340" t="str">
        <f t="shared" ca="1" si="7"/>
        <v xml:space="preserve">Quental, C. </v>
      </c>
    </row>
    <row r="341" spans="1:13" ht="15.75" customHeight="1">
      <c r="A341">
        <f ca="1">IFERROR(__xludf.DUMMYFUNCTION("""COMPUTED_VALUE"""),3)</f>
        <v>3</v>
      </c>
      <c r="B341" t="str">
        <f ca="1">IFERROR(__xludf.DUMMYFUNCTION("""COMPUTED_VALUE"""),"Camacho, L. e Gouveia, L. (1998). *Criação de espaços de informação 
interactivos. Ambiente de aprendizagem para a cadeira de Sistemas de 
Informação*. 3º Simpósio de I&amp;D de Software Educativo, Universidade de 
Évora. Évora, 3 - 5 de Setembro. Porto, Port"&amp;"ugal. Actas em CD ROM.
texto: [ pdf (11KB) ] transparências: [ pdf (118KB) ]
versão elaborada: [ pdf (19KB) ]")</f>
        <v>Camacho, L. e Gouveia, L. (1998). *Criação de espaços de informação 
interactivos. Ambiente de aprendizagem para a cadeira de Sistemas de 
Informação*. 3º Simpósio de I&amp;D de Software Educativo, Universidade de 
Évora. Évora, 3 - 5 de Setembro. Porto, Portugal. Actas em CD ROM.
texto: [ pdf (11KB) ] transparências: [ pdf (118KB) ]
versão elaborada: [ pdf (19KB) ]</v>
      </c>
      <c r="C341" s="2">
        <f t="shared" ca="1" si="0"/>
        <v>27</v>
      </c>
      <c r="D341" t="str">
        <f t="shared" ca="1" si="8"/>
        <v xml:space="preserve">Camacho, L. e Gouveia, L. </v>
      </c>
      <c r="E341" t="str">
        <f t="shared" ca="1" si="1"/>
        <v>1998</v>
      </c>
      <c r="F341" t="str">
        <f t="shared" ca="1" si="2"/>
        <v xml:space="preserve"> *Criação de espaços de informação 
interactivos. </v>
      </c>
      <c r="G341" s="3">
        <f t="shared" ca="1" si="3"/>
        <v>32</v>
      </c>
      <c r="H341" s="2">
        <f t="shared" ca="1" si="4"/>
        <v>82</v>
      </c>
      <c r="I341" t="e">
        <f t="shared" ca="1" si="5"/>
        <v>#VALUE!</v>
      </c>
      <c r="J341" s="3" t="e">
        <f t="shared" ca="1" si="9"/>
        <v>#VALUE!</v>
      </c>
      <c r="K341" t="str">
        <f t="shared" ca="1" si="6"/>
        <v xml:space="preserve">Camacho, L. e Gouveia, L. </v>
      </c>
      <c r="L341" t="str">
        <f t="shared" ca="1" si="7"/>
        <v xml:space="preserve">Quental, C. </v>
      </c>
    </row>
    <row r="342" spans="1:13" ht="15.75" customHeight="1">
      <c r="A342">
        <f ca="1">IFERROR(__xludf.DUMMYFUNCTION("""COMPUTED_VALUE"""),2)</f>
        <v>2</v>
      </c>
      <c r="B342" t="str">
        <f ca="1">IFERROR(__xludf.DUMMYFUNCTION("""COMPUTED_VALUE"""),"Gouveia, L. (1998). *Será a Internet/Intranet uma plataforma viável para a 
sala de aula? Lições retiradas do uso de computadores portáteis e da web em 
sala de aula*. 3º Simpósio de I&amp;D de Software Educativo, Universidade de 
Évora. Évora, 3 - 5 de Setem"&amp;"bro.Actas em CD ROM.
texto: [ pdf (58KB) ] transparências: [ pdf (114KB) ]")</f>
        <v>Gouveia, L. (1998). *Será a Internet/Intranet uma plataforma viável para a 
sala de aula? Lições retiradas do uso de computadores portáteis e da web em 
sala de aula*. 3º Simpósio de I&amp;D de Software Educativo, Universidade de 
Évora. Évora, 3 - 5 de Setembro.Actas em CD ROM.
texto: [ pdf (58KB) ] transparências: [ pdf (114KB) ]</v>
      </c>
      <c r="C342" s="2">
        <f t="shared" ca="1" si="0"/>
        <v>13</v>
      </c>
      <c r="D342" t="str">
        <f t="shared" ca="1" si="8"/>
        <v xml:space="preserve">Gouveia, L. </v>
      </c>
      <c r="E342" t="str">
        <f t="shared" ca="1" si="1"/>
        <v>1998</v>
      </c>
      <c r="F342" t="str">
        <f t="shared" ca="1" si="2"/>
        <v xml:space="preserve"> *Será a Internet/Intranet uma plataforma viável para a 
sala de aula? Lições retiradas do uso de computadores portáteis e da web em 
sala de aula*. </v>
      </c>
      <c r="G342" s="3">
        <f t="shared" ca="1" si="3"/>
        <v>18</v>
      </c>
      <c r="H342" s="2">
        <f t="shared" ca="1" si="4"/>
        <v>167</v>
      </c>
      <c r="I342" t="e">
        <f t="shared" ca="1" si="5"/>
        <v>#VALUE!</v>
      </c>
      <c r="J342" s="3" t="e">
        <f t="shared" ca="1" si="9"/>
        <v>#VALUE!</v>
      </c>
      <c r="K342" t="str">
        <f t="shared" ca="1" si="6"/>
        <v xml:space="preserve">Gouveia, L. </v>
      </c>
      <c r="L342" t="str">
        <f t="shared" ca="1" si="7"/>
        <v xml:space="preserve">Quental, C. </v>
      </c>
    </row>
    <row r="343" spans="1:13" ht="15.75" customHeight="1">
      <c r="A343">
        <f ca="1">IFERROR(__xludf.DUMMYFUNCTION("""COMPUTED_VALUE"""),1)</f>
        <v>1</v>
      </c>
      <c r="B343" t="str">
        <f ca="1">IFERROR(__xludf.DUMMYFUNCTION("""COMPUTED_VALUE"""),"Gouveia, L. (1996). *Utilização de Computadores Portáteis em ambiente 
universitário: reflexão inicial e perspectivas*. 1º Simpósio de I&amp;D de 
Software Educativo, Universidade Nova de Lisboa, 7-9 de Outubro. Costa da 
Caparica.Actas em CD ROM.
texto: [ pd"&amp;"f (22KB)] transparências: [ pdf (252KB)]")</f>
        <v>Gouveia, L. (1996). *Utilização de Computadores Portáteis em ambiente 
universitário: reflexão inicial e perspectivas*. 1º Simpósio de I&amp;D de 
Software Educativo, Universidade Nova de Lisboa, 7-9 de Outubro. Costa da 
Caparica.Actas em CD ROM.
texto: [ pdf (22KB)] transparências: [ pdf (252KB)]</v>
      </c>
      <c r="C343" s="2">
        <f t="shared" ca="1" si="0"/>
        <v>13</v>
      </c>
      <c r="D343" t="str">
        <f t="shared" ca="1" si="8"/>
        <v xml:space="preserve">Gouveia, L. </v>
      </c>
      <c r="E343" t="str">
        <f t="shared" ca="1" si="1"/>
        <v>1996</v>
      </c>
      <c r="F343" t="str">
        <f t="shared" ca="1" si="2"/>
        <v xml:space="preserve"> *Utilização de Computadores Portáteis em ambiente 
universitário: reflexão inicial e perspectivas*. </v>
      </c>
      <c r="G343" s="3">
        <f t="shared" ca="1" si="3"/>
        <v>18</v>
      </c>
      <c r="H343" s="2">
        <f t="shared" ca="1" si="4"/>
        <v>119</v>
      </c>
      <c r="I343" t="e">
        <f t="shared" ca="1" si="5"/>
        <v>#VALUE!</v>
      </c>
      <c r="J343" s="3" t="e">
        <f t="shared" ca="1" si="9"/>
        <v>#VALUE!</v>
      </c>
      <c r="K343" t="str">
        <f t="shared" ca="1" si="6"/>
        <v xml:space="preserve">Gouveia, L. </v>
      </c>
      <c r="L343" t="str">
        <f t="shared" ca="1" si="7"/>
        <v xml:space="preserve">Quental, C. </v>
      </c>
    </row>
    <row r="344" spans="1:13" ht="15.75" customHeight="1">
      <c r="A344" t="str">
        <f ca="1">IFERROR(__xludf.DUMMYFUNCTION("""COMPUTED_VALUE"""),"[ top ]")</f>
        <v>[ top ]</v>
      </c>
      <c r="B344" t="str">
        <f ca="1">IFERROR(__xludf.DUMMYFUNCTION("""COMPUTED_VALUE"""),"*Eventos Internacionais* / *International meetings*")</f>
        <v>*Eventos Internacionais* / *International meetings*</v>
      </c>
      <c r="C344" s="2" t="e">
        <f t="shared" ca="1" si="0"/>
        <v>#VALUE!</v>
      </c>
      <c r="D344" t="e">
        <f t="shared" ca="1" si="8"/>
        <v>#VALUE!</v>
      </c>
      <c r="E344" t="e">
        <f t="shared" ca="1" si="1"/>
        <v>#VALUE!</v>
      </c>
      <c r="F344" t="e">
        <f t="shared" ca="1" si="2"/>
        <v>#VALUE!</v>
      </c>
      <c r="G344" s="3" t="e">
        <f t="shared" ca="1" si="3"/>
        <v>#VALUE!</v>
      </c>
      <c r="H344" s="2" t="e">
        <f t="shared" ca="1" si="4"/>
        <v>#VALUE!</v>
      </c>
      <c r="I344" t="e">
        <f t="shared" ca="1" si="5"/>
        <v>#VALUE!</v>
      </c>
      <c r="J344" s="3" t="e">
        <f t="shared" ca="1" si="9"/>
        <v>#VALUE!</v>
      </c>
      <c r="K344" t="e">
        <f t="shared" ca="1" si="6"/>
        <v>#VALUE!</v>
      </c>
      <c r="L344" t="str">
        <f t="shared" ca="1" si="7"/>
        <v xml:space="preserve">Quental, C. </v>
      </c>
    </row>
    <row r="345" spans="1:13" ht="15.75" customHeight="1">
      <c r="A345" t="str">
        <f ca="1">IFERROR(__xludf.DUMMYFUNCTION("""COMPUTED_VALUE"""),"_________")</f>
        <v>_________</v>
      </c>
      <c r="B345" t="str">
        <f ca="1">IFERROR(__xludf.DUMMYFUNCTION("""COMPUTED_VALUE"""),"comunicações / talks")</f>
        <v>comunicações / talks</v>
      </c>
      <c r="C345" s="2" t="e">
        <f t="shared" ca="1" si="0"/>
        <v>#VALUE!</v>
      </c>
      <c r="D345" t="e">
        <f t="shared" ca="1" si="8"/>
        <v>#VALUE!</v>
      </c>
      <c r="E345" t="e">
        <f t="shared" ca="1" si="1"/>
        <v>#VALUE!</v>
      </c>
      <c r="F345" t="e">
        <f t="shared" ca="1" si="2"/>
        <v>#VALUE!</v>
      </c>
      <c r="G345" s="3" t="e">
        <f t="shared" ca="1" si="3"/>
        <v>#VALUE!</v>
      </c>
      <c r="H345" s="2" t="e">
        <f t="shared" ca="1" si="4"/>
        <v>#VALUE!</v>
      </c>
      <c r="I345" t="e">
        <f t="shared" ca="1" si="5"/>
        <v>#VALUE!</v>
      </c>
      <c r="J345" s="3" t="e">
        <f t="shared" ca="1" si="9"/>
        <v>#VALUE!</v>
      </c>
      <c r="K345" t="e">
        <f t="shared" ca="1" si="6"/>
        <v>#VALUE!</v>
      </c>
      <c r="L345" t="str">
        <f t="shared" ca="1" si="7"/>
        <v xml:space="preserve">Quental, C. </v>
      </c>
    </row>
    <row r="346" spans="1:13" ht="15.75" customHeight="1">
      <c r="A346">
        <f ca="1">IFERROR(__xludf.DUMMYFUNCTION("""COMPUTED_VALUE"""),28)</f>
        <v>28</v>
      </c>
      <c r="B346" t="str">
        <f ca="1">IFERROR(__xludf.DUMMYFUNCTION("""COMPUTED_VALUE"""),"Daradkeh, Y. and Gouveia, L. (2018). Getting Mobile: a critical challenge 
for the higher education classroom. The VI International Congress 
TELECOMTREND. Mobile and Wireless Technologies Trends and Prospects. 
October 31.
[ handle ]")</f>
        <v>Daradkeh, Y. and Gouveia, L. (2018). Getting Mobile: a critical challenge 
for the higher education classroom. The VI International Congress 
TELECOMTREND. Mobile and Wireless Technologies Trends and Prospects. 
October 31.
[ handle ]</v>
      </c>
      <c r="C346" s="2">
        <f t="shared" ca="1" si="0"/>
        <v>30</v>
      </c>
      <c r="D346" t="str">
        <f t="shared" ca="1" si="8"/>
        <v xml:space="preserve">Daradkeh, Y. and Gouveia, L. </v>
      </c>
      <c r="E346" t="str">
        <f t="shared" ca="1" si="1"/>
        <v>2018</v>
      </c>
      <c r="F346" t="str">
        <f t="shared" ca="1" si="2"/>
        <v xml:space="preserve"> Getting Mobile: a critical challenge 
for the higher education classroom. </v>
      </c>
      <c r="G346" s="3">
        <f t="shared" ca="1" si="3"/>
        <v>35</v>
      </c>
      <c r="H346" s="2">
        <f t="shared" ca="1" si="4"/>
        <v>110</v>
      </c>
      <c r="I346" t="e">
        <f t="shared" ca="1" si="5"/>
        <v>#VALUE!</v>
      </c>
      <c r="J346" s="3" t="e">
        <f t="shared" ca="1" si="9"/>
        <v>#VALUE!</v>
      </c>
      <c r="K346" t="str">
        <f t="shared" ca="1" si="6"/>
        <v xml:space="preserve">Daradkeh, Y. ; Gouveia, L. </v>
      </c>
      <c r="L346" t="str">
        <f t="shared" ca="1" si="7"/>
        <v xml:space="preserve">Quental, C. </v>
      </c>
      <c r="M346" t="str">
        <f ca="1">IFERROR(__xludf.DUMMYFUNCTION("""COMPUTED_VALUE""")," Gouveia, L. ")</f>
        <v xml:space="preserve"> Gouveia, L. </v>
      </c>
    </row>
    <row r="347" spans="1:13" ht="15.75" customHeight="1">
      <c r="A347">
        <f ca="1">IFERROR(__xludf.DUMMYFUNCTION("""COMPUTED_VALUE"""),27)</f>
        <v>27</v>
      </c>
      <c r="B347" t="str">
        <f ca="1">IFERROR(__xludf.DUMMYFUNCTION("""COMPUTED_VALUE"""),"Gouveia, L. (2018). *Open access and social media: challenges and 
opportunities for information management*. UFP Erasmus Librarian Week. 27 
Junho. Universidade Fernando Pessoa. 
[ handle ]")</f>
        <v>Gouveia, L. (2018). *Open access and social media: challenges and 
opportunities for information management*. UFP Erasmus Librarian Week. 27 
Junho. Universidade Fernando Pessoa. 
[ handle ]</v>
      </c>
      <c r="C347" s="2">
        <f t="shared" ca="1" si="0"/>
        <v>13</v>
      </c>
      <c r="D347" t="str">
        <f t="shared" ca="1" si="8"/>
        <v xml:space="preserve">Gouveia, L. </v>
      </c>
      <c r="E347" t="str">
        <f t="shared" ca="1" si="1"/>
        <v>2018</v>
      </c>
      <c r="F347" t="str">
        <f t="shared" ca="1" si="2"/>
        <v xml:space="preserve"> *Open access and social media: challenges and 
opportunities for information management*. </v>
      </c>
      <c r="G347" s="3">
        <f t="shared" ca="1" si="3"/>
        <v>18</v>
      </c>
      <c r="H347" s="2">
        <f t="shared" ca="1" si="4"/>
        <v>109</v>
      </c>
      <c r="I347" t="e">
        <f t="shared" ca="1" si="5"/>
        <v>#VALUE!</v>
      </c>
      <c r="J347" s="3" t="e">
        <f t="shared" ca="1" si="9"/>
        <v>#VALUE!</v>
      </c>
      <c r="K347" t="str">
        <f t="shared" ca="1" si="6"/>
        <v xml:space="preserve">Gouveia, L. </v>
      </c>
      <c r="L347" t="str">
        <f t="shared" ca="1" si="7"/>
        <v xml:space="preserve">Quental, C. </v>
      </c>
    </row>
    <row r="348" spans="1:13" ht="15.75" customHeight="1">
      <c r="A348">
        <f ca="1">IFERROR(__xludf.DUMMYFUNCTION("""COMPUTED_VALUE"""),26)</f>
        <v>26</v>
      </c>
      <c r="B348" t="str">
        <f ca="1">IFERROR(__xludf.DUMMYFUNCTION("""COMPUTED_VALUE"""),"Gouveia, L. (2017). *Challenges in Higher Education as a Transformative 
Ecosystem for Students and Professors*. Presentation at Kazakh University 
of Economics, Finance and International Trade, Astana, Kazakhstan. 11th 
October. 
[ handle ]")</f>
        <v>Gouveia, L. (2017). *Challenges in Higher Education as a Transformative 
Ecosystem for Students and Professors*. Presentation at Kazakh University 
of Economics, Finance and International Trade, Astana, Kazakhstan. 11th 
October. 
[ handle ]</v>
      </c>
      <c r="C348" s="2">
        <f t="shared" ca="1" si="0"/>
        <v>13</v>
      </c>
      <c r="D348" t="str">
        <f t="shared" ca="1" si="8"/>
        <v xml:space="preserve">Gouveia, L. </v>
      </c>
      <c r="E348" t="str">
        <f t="shared" ca="1" si="1"/>
        <v>2017</v>
      </c>
      <c r="F348" t="str">
        <f t="shared" ca="1" si="2"/>
        <v xml:space="preserve"> *Challenges in Higher Education as a Transformative 
Ecosystem for Students and Professors*. </v>
      </c>
      <c r="G348" s="3">
        <f t="shared" ca="1" si="3"/>
        <v>18</v>
      </c>
      <c r="H348" s="2">
        <f t="shared" ca="1" si="4"/>
        <v>112</v>
      </c>
      <c r="I348" t="e">
        <f t="shared" ca="1" si="5"/>
        <v>#VALUE!</v>
      </c>
      <c r="J348" s="3" t="e">
        <f t="shared" ca="1" si="9"/>
        <v>#VALUE!</v>
      </c>
      <c r="K348" t="str">
        <f t="shared" ca="1" si="6"/>
        <v xml:space="preserve">Gouveia, L. </v>
      </c>
      <c r="L348" t="str">
        <f t="shared" ca="1" si="7"/>
        <v xml:space="preserve">Quental, C. </v>
      </c>
    </row>
    <row r="349" spans="1:13" ht="15.75" customHeight="1">
      <c r="A349">
        <f ca="1">IFERROR(__xludf.DUMMYFUNCTION("""COMPUTED_VALUE"""),25)</f>
        <v>25</v>
      </c>
      <c r="B349" t="str">
        <f ca="1">IFERROR(__xludf.DUMMYFUNCTION("""COMPUTED_VALUE"""),"Gouveia, L. (2017). *Going Open in University &amp; Libraries: challenges and 
applications. UFP's Erasmus Staff Week for Librarians*. 7th June. 
University Fernando Pessoa. 
[ handle ]")</f>
        <v>Gouveia, L. (2017). *Going Open in University &amp; Libraries: challenges and 
applications. UFP's Erasmus Staff Week for Librarians*. 7th June. 
University Fernando Pessoa. 
[ handle ]</v>
      </c>
      <c r="C349" s="2">
        <f t="shared" ca="1" si="0"/>
        <v>13</v>
      </c>
      <c r="D349" t="str">
        <f t="shared" ca="1" si="8"/>
        <v xml:space="preserve">Gouveia, L. </v>
      </c>
      <c r="E349" t="str">
        <f t="shared" ca="1" si="1"/>
        <v>2017</v>
      </c>
      <c r="F349" t="str">
        <f t="shared" ca="1" si="2"/>
        <v xml:space="preserve"> *Going Open in University &amp; Libraries: challenges and 
applications. </v>
      </c>
      <c r="G349" s="3">
        <f t="shared" ca="1" si="3"/>
        <v>18</v>
      </c>
      <c r="H349" s="2">
        <f t="shared" ca="1" si="4"/>
        <v>88</v>
      </c>
      <c r="I349" t="e">
        <f t="shared" ca="1" si="5"/>
        <v>#VALUE!</v>
      </c>
      <c r="J349" s="3" t="e">
        <f t="shared" ca="1" si="9"/>
        <v>#VALUE!</v>
      </c>
      <c r="K349" t="str">
        <f t="shared" ca="1" si="6"/>
        <v xml:space="preserve">Gouveia, L. </v>
      </c>
      <c r="L349" t="str">
        <f t="shared" ca="1" si="7"/>
        <v xml:space="preserve">Quental, C. </v>
      </c>
    </row>
    <row r="350" spans="1:13" ht="15.75" customHeight="1">
      <c r="A350">
        <f ca="1">IFERROR(__xludf.DUMMYFUNCTION("""COMPUTED_VALUE"""),24)</f>
        <v>24</v>
      </c>
      <c r="B350" t="str">
        <f ca="1">IFERROR(__xludf.DUMMYFUNCTION("""COMPUTED_VALUE"""),"Gouveia, L. (2016). *Higher Education in the XXI century: challenging 
everything and also the library role.* Erasmus Librarians Week. University 
Fernando Pessoa. 29th June. 
[ handle ]")</f>
        <v>Gouveia, L. (2016). *Higher Education in the XXI century: challenging 
everything and also the library role.* Erasmus Librarians Week. University 
Fernando Pessoa. 29th June. 
[ handle ]</v>
      </c>
      <c r="C350" s="2">
        <f t="shared" ca="1" si="0"/>
        <v>13</v>
      </c>
      <c r="D350" t="str">
        <f t="shared" ca="1" si="8"/>
        <v xml:space="preserve">Gouveia, L. </v>
      </c>
      <c r="E350" t="str">
        <f t="shared" ca="1" si="1"/>
        <v>2016</v>
      </c>
      <c r="F350" t="str">
        <f t="shared" ca="1" si="2"/>
        <v xml:space="preserve"> *Higher Education in the XXI century: challenging 
everything and also the library role.*</v>
      </c>
      <c r="G350" s="3">
        <f t="shared" ca="1" si="3"/>
        <v>18</v>
      </c>
      <c r="H350" s="2">
        <f t="shared" ca="1" si="4"/>
        <v>108</v>
      </c>
      <c r="I350" t="e">
        <f t="shared" ca="1" si="5"/>
        <v>#VALUE!</v>
      </c>
      <c r="J350" s="3" t="e">
        <f t="shared" ca="1" si="9"/>
        <v>#VALUE!</v>
      </c>
      <c r="K350" t="str">
        <f t="shared" ca="1" si="6"/>
        <v xml:space="preserve">Gouveia, L. </v>
      </c>
      <c r="L350" t="str">
        <f t="shared" ca="1" si="7"/>
        <v xml:space="preserve">Quental, C. </v>
      </c>
    </row>
    <row r="351" spans="1:13" ht="15.75" customHeight="1">
      <c r="A351">
        <f ca="1">IFERROR(__xludf.DUMMYFUNCTION("""COMPUTED_VALUE"""),23)</f>
        <v>23</v>
      </c>
      <c r="B351" t="str">
        <f ca="1">IFERROR(__xludf.DUMMYFUNCTION("""COMPUTED_VALUE"""),"Gouveia, L. (2015). *The  Library and Higher Education: where and how to 
rethink relationships*. 3rd Erasmus Staff Week for Librarians. Workshop on 
5th May. University Fernando Pessoa 
[ handle ]")</f>
        <v>Gouveia, L. (2015). *The  Library and Higher Education: where and how to 
rethink relationships*. 3rd Erasmus Staff Week for Librarians. Workshop on 
5th May. University Fernando Pessoa 
[ handle ]</v>
      </c>
      <c r="C351" s="2">
        <f t="shared" ca="1" si="0"/>
        <v>13</v>
      </c>
      <c r="D351" t="str">
        <f t="shared" ca="1" si="8"/>
        <v xml:space="preserve">Gouveia, L. </v>
      </c>
      <c r="E351" t="str">
        <f t="shared" ca="1" si="1"/>
        <v>2015</v>
      </c>
      <c r="F351" t="str">
        <f t="shared" ca="1" si="2"/>
        <v xml:space="preserve"> *The  Library and Higher Education: where and how to 
rethink relationships*. </v>
      </c>
      <c r="G351" s="3">
        <f t="shared" ca="1" si="3"/>
        <v>18</v>
      </c>
      <c r="H351" s="2">
        <f t="shared" ca="1" si="4"/>
        <v>97</v>
      </c>
      <c r="I351" t="e">
        <f t="shared" ca="1" si="5"/>
        <v>#VALUE!</v>
      </c>
      <c r="J351" s="3" t="e">
        <f t="shared" ca="1" si="9"/>
        <v>#VALUE!</v>
      </c>
      <c r="K351" t="str">
        <f t="shared" ca="1" si="6"/>
        <v xml:space="preserve">Gouveia, L. </v>
      </c>
      <c r="L351" t="str">
        <f t="shared" ca="1" si="7"/>
        <v xml:space="preserve">Quental, C. </v>
      </c>
    </row>
    <row r="352" spans="1:13" ht="15.75" customHeight="1">
      <c r="A352">
        <f ca="1">IFERROR(__xludf.DUMMYFUNCTION("""COMPUTED_VALUE"""),22)</f>
        <v>22</v>
      </c>
      <c r="B352" t="str">
        <f ca="1">IFERROR(__xludf.DUMMYFUNCTION("""COMPUTED_VALUE"""),"Gouveia, L. (2014). *O caso do Gaia Global (2000-2005) um testemunho da 
exploração do digital para benefício do território*. Propor projetos que 
gerem valor. ADRAT - Associação para o Desenvolvimento do Alto Tâmega, 5 de 
Novembro. Chaves.
[ handle ]")</f>
        <v>Gouveia, L. (2014). *O caso do Gaia Global (2000-2005) um testemunho da 
exploração do digital para benefício do território*. Propor projetos que 
gerem valor. ADRAT - Associação para o Desenvolvimento do Alto Tâmega, 5 de 
Novembro. Chaves.
[ handle ]</v>
      </c>
      <c r="C352" s="2">
        <f t="shared" ca="1" si="0"/>
        <v>13</v>
      </c>
      <c r="D352" t="str">
        <f t="shared" ca="1" si="8"/>
        <v xml:space="preserve">Gouveia, L. </v>
      </c>
      <c r="E352" t="str">
        <f t="shared" ca="1" si="1"/>
        <v>2014</v>
      </c>
      <c r="F352" t="str">
        <f t="shared" ca="1" si="2"/>
        <v xml:space="preserve"> *O caso do Gaia Global (2000-2005) um testemunho da 
exploração do digital para benefício do território*. </v>
      </c>
      <c r="G352" s="3">
        <f t="shared" ca="1" si="3"/>
        <v>18</v>
      </c>
      <c r="H352" s="2">
        <f t="shared" ca="1" si="4"/>
        <v>125</v>
      </c>
      <c r="I352" t="e">
        <f t="shared" ca="1" si="5"/>
        <v>#VALUE!</v>
      </c>
      <c r="J352" s="3" t="e">
        <f t="shared" ca="1" si="9"/>
        <v>#VALUE!</v>
      </c>
      <c r="K352" t="str">
        <f t="shared" ca="1" si="6"/>
        <v xml:space="preserve">Gouveia, L. </v>
      </c>
      <c r="L352" t="str">
        <f t="shared" ca="1" si="7"/>
        <v xml:space="preserve">Quental, C. </v>
      </c>
    </row>
    <row r="353" spans="1:16" ht="15.75" customHeight="1">
      <c r="A353">
        <f ca="1">IFERROR(__xludf.DUMMYFUNCTION("""COMPUTED_VALUE"""),21)</f>
        <v>21</v>
      </c>
      <c r="B353" t="str">
        <f ca="1">IFERROR(__xludf.DUMMYFUNCTION("""COMPUTED_VALUE"""),"Gouveia, L. (2013). *Adoção e Inovação em Tecnologias de Informação. Uma 
contribuição para a avaliação de tecnologia com exemplo da computação em 
nuvem*. Apresentação no âmbito da disciplina de Gestão de sistemas de 
Informação. Mestrado em Engenharia I"&amp;"nformática, Universidade de Vigo. 
Ourense. Espanha. 17 de Dezembro.
[ apresentação ]")</f>
        <v>Gouveia, L. (2013). *Adoção e Inovação em Tecnologias de Informação. Uma 
contribuição para a avaliação de tecnologia com exemplo da computação em 
nuvem*. Apresentação no âmbito da disciplina de Gestão de sistemas de 
Informação. Mestrado em Engenharia Informática, Universidade de Vigo. 
Ourense. Espanha. 17 de Dezembro.
[ apresentação ]</v>
      </c>
      <c r="C353" s="2">
        <f t="shared" ca="1" si="0"/>
        <v>13</v>
      </c>
      <c r="D353" t="str">
        <f t="shared" ca="1" si="8"/>
        <v xml:space="preserve">Gouveia, L. </v>
      </c>
      <c r="E353" t="str">
        <f t="shared" ca="1" si="1"/>
        <v>2013</v>
      </c>
      <c r="F353" t="str">
        <f t="shared" ca="1" si="2"/>
        <v xml:space="preserve"> *Adoção e Inovação em Tecnologias de Informação. </v>
      </c>
      <c r="G353" s="3">
        <f t="shared" ca="1" si="3"/>
        <v>18</v>
      </c>
      <c r="H353" s="2">
        <f t="shared" ca="1" si="4"/>
        <v>68</v>
      </c>
      <c r="I353" t="e">
        <f t="shared" ca="1" si="5"/>
        <v>#VALUE!</v>
      </c>
      <c r="J353" s="3" t="e">
        <f t="shared" ca="1" si="9"/>
        <v>#VALUE!</v>
      </c>
      <c r="K353" t="str">
        <f t="shared" ca="1" si="6"/>
        <v xml:space="preserve">Gouveia, L. </v>
      </c>
      <c r="L353" t="str">
        <f t="shared" ca="1" si="7"/>
        <v xml:space="preserve">Quental, C. </v>
      </c>
    </row>
    <row r="354" spans="1:16" ht="15.75" customHeight="1">
      <c r="A354">
        <f ca="1">IFERROR(__xludf.DUMMYFUNCTION("""COMPUTED_VALUE"""),20)</f>
        <v>20</v>
      </c>
      <c r="B354" t="str">
        <f ca="1">IFERROR(__xludf.DUMMYFUNCTION("""COMPUTED_VALUE"""),"Gouveia, L. (2014). *Digital Libraries and the quest for information 
curation*. UFP’s Erasmus Staff Week for Librarians. University Fernando 
Pessoa. Workshop on 8th April. 
[ presentation ]")</f>
        <v>Gouveia, L. (2014). *Digital Libraries and the quest for information 
curation*. UFP’s Erasmus Staff Week for Librarians. University Fernando 
Pessoa. Workshop on 8th April. 
[ presentation ]</v>
      </c>
      <c r="C354" s="2">
        <f t="shared" ca="1" si="0"/>
        <v>13</v>
      </c>
      <c r="D354" t="str">
        <f t="shared" ca="1" si="8"/>
        <v xml:space="preserve">Gouveia, L. </v>
      </c>
      <c r="E354" t="str">
        <f t="shared" ca="1" si="1"/>
        <v>2014</v>
      </c>
      <c r="F354" t="str">
        <f t="shared" ca="1" si="2"/>
        <v xml:space="preserve"> *Digital Libraries and the quest for information 
curation*. </v>
      </c>
      <c r="G354" s="3">
        <f t="shared" ca="1" si="3"/>
        <v>18</v>
      </c>
      <c r="H354" s="2">
        <f t="shared" ca="1" si="4"/>
        <v>80</v>
      </c>
      <c r="I354" t="e">
        <f t="shared" ca="1" si="5"/>
        <v>#VALUE!</v>
      </c>
      <c r="J354" s="3" t="e">
        <f t="shared" ca="1" si="9"/>
        <v>#VALUE!</v>
      </c>
      <c r="K354" t="str">
        <f t="shared" ca="1" si="6"/>
        <v xml:space="preserve">Gouveia, L. </v>
      </c>
      <c r="L354" t="str">
        <f t="shared" ca="1" si="7"/>
        <v xml:space="preserve">Quental, C. </v>
      </c>
    </row>
    <row r="355" spans="1:16" ht="15.75" customHeight="1">
      <c r="A355">
        <f ca="1">IFERROR(__xludf.DUMMYFUNCTION("""COMPUTED_VALUE"""),19)</f>
        <v>19</v>
      </c>
      <c r="B355" t="str">
        <f ca="1">IFERROR(__xludf.DUMMYFUNCTION("""COMPUTED_VALUE"""),"Gouveia, L. (2013). *Some issues on Bibliometrics: the way I would like to 
be helped as a University Professor*. Eramus Librarian Week. University 
Fernando Pessoa. 4th December. 
[ presentation ]")</f>
        <v>Gouveia, L. (2013). *Some issues on Bibliometrics: the way I would like to 
be helped as a University Professor*. Eramus Librarian Week. University 
Fernando Pessoa. 4th December. 
[ presentation ]</v>
      </c>
      <c r="C355" s="2">
        <f t="shared" ca="1" si="0"/>
        <v>13</v>
      </c>
      <c r="D355" t="str">
        <f t="shared" ca="1" si="8"/>
        <v xml:space="preserve">Gouveia, L. </v>
      </c>
      <c r="E355" t="str">
        <f t="shared" ca="1" si="1"/>
        <v>2013</v>
      </c>
      <c r="F355" t="str">
        <f t="shared" ca="1" si="2"/>
        <v xml:space="preserve"> *Some issues on Bibliometrics: the way I would like to 
be helped as a University Professor*. </v>
      </c>
      <c r="G355" s="3">
        <f t="shared" ca="1" si="3"/>
        <v>18</v>
      </c>
      <c r="H355" s="2">
        <f t="shared" ca="1" si="4"/>
        <v>113</v>
      </c>
      <c r="I355" t="e">
        <f t="shared" ca="1" si="5"/>
        <v>#VALUE!</v>
      </c>
      <c r="J355" s="3" t="e">
        <f t="shared" ca="1" si="9"/>
        <v>#VALUE!</v>
      </c>
      <c r="K355" t="str">
        <f t="shared" ca="1" si="6"/>
        <v xml:space="preserve">Gouveia, L. </v>
      </c>
      <c r="L355" t="str">
        <f t="shared" ca="1" si="7"/>
        <v xml:space="preserve">Quental, C. </v>
      </c>
    </row>
    <row r="356" spans="1:16" ht="15.75" customHeight="1">
      <c r="A356">
        <f ca="1">IFERROR(__xludf.DUMMYFUNCTION("""COMPUTED_VALUE"""),18)</f>
        <v>18</v>
      </c>
      <c r="B356" t="str">
        <f ca="1">IFERROR(__xludf.DUMMYFUNCTION("""COMPUTED_VALUE"""),"Gouveia, L. (2010). *Digital Paradox: why place matters, putting place in 
its place!* Switch conference. Polo II University of Coimbra. Coimbra, 16th 
May. 
presentation [ slideshare ] [ vídeo ]")</f>
        <v>Gouveia, L. (2010). *Digital Paradox: why place matters, putting place in 
its place!* Switch conference. Polo II University of Coimbra. Coimbra, 16th 
May. 
presentation [ slideshare ] [ vídeo ]</v>
      </c>
      <c r="C356" s="2">
        <f t="shared" ca="1" si="0"/>
        <v>13</v>
      </c>
      <c r="D356" t="str">
        <f t="shared" ca="1" si="8"/>
        <v xml:space="preserve">Gouveia, L. </v>
      </c>
      <c r="E356" t="str">
        <f t="shared" ca="1" si="1"/>
        <v>2010</v>
      </c>
      <c r="F356" t="str">
        <f t="shared" ca="1" si="2"/>
        <v xml:space="preserve"> *Digital Paradox: why place matters, putting place in 
its place!* Switch conference. </v>
      </c>
      <c r="G356" s="3">
        <f t="shared" ca="1" si="3"/>
        <v>18</v>
      </c>
      <c r="H356" s="2">
        <f t="shared" ca="1" si="4"/>
        <v>105</v>
      </c>
      <c r="I356" t="e">
        <f t="shared" ca="1" si="5"/>
        <v>#VALUE!</v>
      </c>
      <c r="J356" s="3" t="e">
        <f t="shared" ca="1" si="9"/>
        <v>#VALUE!</v>
      </c>
      <c r="K356" t="str">
        <f t="shared" ca="1" si="6"/>
        <v xml:space="preserve">Gouveia, L. </v>
      </c>
      <c r="L356" t="str">
        <f t="shared" ca="1" si="7"/>
        <v xml:space="preserve">Quental, C. </v>
      </c>
    </row>
    <row r="357" spans="1:16" ht="15.75" customHeight="1">
      <c r="A357">
        <f ca="1">IFERROR(__xludf.DUMMYFUNCTION("""COMPUTED_VALUE"""),17)</f>
        <v>17</v>
      </c>
      <c r="B357" t="str">
        <f ca="1">IFERROR(__xludf.DUMMYFUNCTION("""COMPUTED_VALUE"""),"Fernandes, N.; Gouveia, F.; Gouveia, L. and Martinez, D. (2010). *Site 
Stats: the power of event tracking at a single click in Sakai*. European 
Sakai Conference. Valencia. 1-3 March. 
presentation [ slideshare ]")</f>
        <v>Fernandes, N.; Gouveia, F.; Gouveia, L. and Martinez, D. (2010). *Site 
Stats: the power of event tracking at a single click in Sakai*. European 
Sakai Conference. Valencia. 1-3 March. 
presentation [ slideshare ]</v>
      </c>
      <c r="C357" s="2">
        <f t="shared" ca="1" si="0"/>
        <v>58</v>
      </c>
      <c r="D357" t="str">
        <f t="shared" ca="1" si="8"/>
        <v xml:space="preserve">Fernandes, N.; Gouveia, F.; Gouveia, L. and Martinez, D. </v>
      </c>
      <c r="E357" t="str">
        <f t="shared" ca="1" si="1"/>
        <v>2010</v>
      </c>
      <c r="F357" t="str">
        <f t="shared" ca="1" si="2"/>
        <v xml:space="preserve"> *Site 
Stats: the power of event tracking at a single click in Sakai*. </v>
      </c>
      <c r="G357" s="3">
        <f t="shared" ca="1" si="3"/>
        <v>63</v>
      </c>
      <c r="H357" s="2">
        <f t="shared" ca="1" si="4"/>
        <v>135</v>
      </c>
      <c r="I357" t="e">
        <f t="shared" ca="1" si="5"/>
        <v>#VALUE!</v>
      </c>
      <c r="J357" s="3" t="e">
        <f t="shared" ca="1" si="9"/>
        <v>#VALUE!</v>
      </c>
      <c r="K357" t="str">
        <f t="shared" ca="1" si="6"/>
        <v xml:space="preserve">Fern;es, N.; Gouveia, F.; Gouveia, L. ; Martinez, D. </v>
      </c>
      <c r="L357" t="str">
        <f t="shared" ca="1" si="7"/>
        <v xml:space="preserve">Quental, C. </v>
      </c>
      <c r="M357" t="str">
        <f ca="1">IFERROR(__xludf.DUMMYFUNCTION("""COMPUTED_VALUE"""),"es, N.")</f>
        <v>es, N.</v>
      </c>
      <c r="N357" t="str">
        <f ca="1">IFERROR(__xludf.DUMMYFUNCTION("""COMPUTED_VALUE""")," Gouveia, F.")</f>
        <v xml:space="preserve"> Gouveia, F.</v>
      </c>
      <c r="O357" t="str">
        <f ca="1">IFERROR(__xludf.DUMMYFUNCTION("""COMPUTED_VALUE""")," Gouveia, L. ")</f>
        <v xml:space="preserve"> Gouveia, L. </v>
      </c>
      <c r="P357" t="str">
        <f ca="1">IFERROR(__xludf.DUMMYFUNCTION("""COMPUTED_VALUE""")," Martinez, D. ")</f>
        <v xml:space="preserve"> Martinez, D. </v>
      </c>
    </row>
    <row r="358" spans="1:16" ht="15.75" customHeight="1">
      <c r="A358">
        <f ca="1">IFERROR(__xludf.DUMMYFUNCTION("""COMPUTED_VALUE"""),16)</f>
        <v>16</v>
      </c>
      <c r="B358" t="str">
        <f ca="1">IFERROR(__xludf.DUMMYFUNCTION("""COMPUTED_VALUE"""),"Gouveia, F.; Gouveia, L. and Fernandes, N. (2010). *My students and shared 
resources: design of a supervision tool*. European Sakai Conference. 
Valencia. 1-3 March. 
presentation [ slideshare ]")</f>
        <v>Gouveia, F.; Gouveia, L. and Fernandes, N. (2010). *My students and shared 
resources: design of a supervision tool*. European Sakai Conference. 
Valencia. 1-3 March. 
presentation [ slideshare ]</v>
      </c>
      <c r="C358" s="2">
        <f t="shared" ca="1" si="0"/>
        <v>44</v>
      </c>
      <c r="D358" t="str">
        <f t="shared" ca="1" si="8"/>
        <v xml:space="preserve">Gouveia, F.; Gouveia, L. and Fernandes, N. </v>
      </c>
      <c r="E358" t="str">
        <f t="shared" ca="1" si="1"/>
        <v>2010</v>
      </c>
      <c r="F358" t="str">
        <f t="shared" ca="1" si="2"/>
        <v xml:space="preserve"> *My students and shared 
resources: design of a supervision tool*. </v>
      </c>
      <c r="G358" s="3">
        <f t="shared" ca="1" si="3"/>
        <v>49</v>
      </c>
      <c r="H358" s="2">
        <f t="shared" ca="1" si="4"/>
        <v>117</v>
      </c>
      <c r="I358" t="e">
        <f t="shared" ca="1" si="5"/>
        <v>#VALUE!</v>
      </c>
      <c r="J358" s="3" t="e">
        <f t="shared" ca="1" si="9"/>
        <v>#VALUE!</v>
      </c>
      <c r="K358" t="str">
        <f t="shared" ca="1" si="6"/>
        <v xml:space="preserve">Gouveia, F.; Gouveia, L. ; Fern;es, N. </v>
      </c>
      <c r="L358" t="str">
        <f t="shared" ca="1" si="7"/>
        <v xml:space="preserve">Quental, C. </v>
      </c>
      <c r="M358" t="str">
        <f ca="1">IFERROR(__xludf.DUMMYFUNCTION("""COMPUTED_VALUE""")," Gouveia, L. ")</f>
        <v xml:space="preserve"> Gouveia, L. </v>
      </c>
      <c r="N358" t="str">
        <f ca="1">IFERROR(__xludf.DUMMYFUNCTION("""COMPUTED_VALUE""")," Fern")</f>
        <v xml:space="preserve"> Fern</v>
      </c>
      <c r="O358" t="str">
        <f ca="1">IFERROR(__xludf.DUMMYFUNCTION("""COMPUTED_VALUE"""),"es, N. ")</f>
        <v xml:space="preserve">es, N. </v>
      </c>
    </row>
    <row r="359" spans="1:16" ht="15.75" customHeight="1">
      <c r="A359">
        <f ca="1">IFERROR(__xludf.DUMMYFUNCTION("""COMPUTED_VALUE"""),15)</f>
        <v>15</v>
      </c>
      <c r="B359" t="str">
        <f ca="1">IFERROR(__xludf.DUMMYFUNCTION("""COMPUTED_VALUE"""),"Simões, L. e Gouveia, L. (2008). *Targeting the Millennial Generation.* III 
Jornadas de Publicidade e Comunicação. A Publicidade para o consumidor do 
Séc. XXI. UFP. Porto. 10 de Abril. 
paper [ pdf (1709KB) ] | presentation [ pdf(179KB) ]")</f>
        <v>Simões, L. e Gouveia, L. (2008). *Targeting the Millennial Generation.* III 
Jornadas de Publicidade e Comunicação. A Publicidade para o consumidor do 
Séc. XXI. UFP. Porto. 10 de Abril. 
paper [ pdf (1709KB) ] | presentation [ pdf(179KB) ]</v>
      </c>
      <c r="C359" s="2">
        <f t="shared" ca="1" si="0"/>
        <v>26</v>
      </c>
      <c r="D359" t="str">
        <f t="shared" ca="1" si="8"/>
        <v xml:space="preserve">Simões, L. e Gouveia, L. </v>
      </c>
      <c r="E359" t="str">
        <f t="shared" ca="1" si="1"/>
        <v>2008</v>
      </c>
      <c r="F359" t="str">
        <f t="shared" ca="1" si="2"/>
        <v xml:space="preserve"> *Targeting the Millennial Generation.*</v>
      </c>
      <c r="G359" s="3">
        <f t="shared" ca="1" si="3"/>
        <v>31</v>
      </c>
      <c r="H359" s="2">
        <f t="shared" ca="1" si="4"/>
        <v>70</v>
      </c>
      <c r="I359" t="e">
        <f t="shared" ca="1" si="5"/>
        <v>#VALUE!</v>
      </c>
      <c r="J359" s="3" t="e">
        <f t="shared" ca="1" si="9"/>
        <v>#VALUE!</v>
      </c>
      <c r="K359" t="str">
        <f t="shared" ca="1" si="6"/>
        <v xml:space="preserve">Simões, L. e Gouveia, L. </v>
      </c>
      <c r="L359" t="str">
        <f t="shared" ca="1" si="7"/>
        <v xml:space="preserve">Quental, C. </v>
      </c>
    </row>
    <row r="360" spans="1:16" ht="15.75" customHeight="1">
      <c r="A360">
        <f ca="1">IFERROR(__xludf.DUMMYFUNCTION("""COMPUTED_VALUE"""),14)</f>
        <v>14</v>
      </c>
      <c r="B360" t="str">
        <f ca="1">IFERROR(__xludf.DUMMYFUNCTION("""COMPUTED_VALUE"""),"Simões, L. and Gouveia, L. (2008). *The University and the Social Web 
challenge*. Global University Network for Innovation. GUNI Newsletter, 
Issue 40 December 30. Available at 
*http://web.guni2005.upc.es/news/detail.php?chlang=en&amp;id=1289*. 
paper [ pdf"&amp;"(28KB) ]")</f>
        <v>Simões, L. and Gouveia, L. (2008). *The University and the Social Web 
challenge*. Global University Network for Innovation. GUNI Newsletter, 
Issue 40 December 30. Available at 
*http://web.guni2005.upc.es/news/detail.php?chlang=en&amp;id=1289*. 
paper [ pdf(28KB) ]</v>
      </c>
      <c r="C360" s="2">
        <f t="shared" ca="1" si="0"/>
        <v>28</v>
      </c>
      <c r="D360" t="str">
        <f t="shared" ca="1" si="8"/>
        <v xml:space="preserve">Simões, L. and Gouveia, L. </v>
      </c>
      <c r="E360" t="str">
        <f t="shared" ca="1" si="1"/>
        <v>2008</v>
      </c>
      <c r="F360" t="str">
        <f t="shared" ca="1" si="2"/>
        <v xml:space="preserve"> *The University and the Social Web 
challenge*. </v>
      </c>
      <c r="G360" s="3">
        <f t="shared" ca="1" si="3"/>
        <v>33</v>
      </c>
      <c r="H360" s="2">
        <f t="shared" ca="1" si="4"/>
        <v>82</v>
      </c>
      <c r="I360" t="e">
        <f t="shared" ca="1" si="5"/>
        <v>#VALUE!</v>
      </c>
      <c r="J360" s="3" t="e">
        <f t="shared" ca="1" si="9"/>
        <v>#VALUE!</v>
      </c>
      <c r="K360" t="str">
        <f t="shared" ca="1" si="6"/>
        <v xml:space="preserve">Simões, L. ; Gouveia, L. </v>
      </c>
      <c r="L360" t="str">
        <f t="shared" ca="1" si="7"/>
        <v xml:space="preserve">Quental, C. </v>
      </c>
      <c r="M360" t="str">
        <f ca="1">IFERROR(__xludf.DUMMYFUNCTION("""COMPUTED_VALUE""")," Gouveia, L. ")</f>
        <v xml:space="preserve"> Gouveia, L. </v>
      </c>
    </row>
    <row r="361" spans="1:16" ht="15.75" customHeight="1">
      <c r="A361">
        <f ca="1">IFERROR(__xludf.DUMMYFUNCTION("""COMPUTED_VALUE"""),13)</f>
        <v>13</v>
      </c>
      <c r="B361" t="str">
        <f ca="1">IFERROR(__xludf.DUMMYFUNCTION("""COMPUTED_VALUE"""),"Gouveia, L. (2008). *Intelligent cities: from digital to social analogic.* 
Contemporary Architectural Challenges, CAC 08. 22-24 September, FAUP. Porto. 
presentation [ pdf(716KB) ]")</f>
        <v>Gouveia, L. (2008). *Intelligent cities: from digital to social analogic.* 
Contemporary Architectural Challenges, CAC 08. 22-24 September, FAUP. Porto. 
presentation [ pdf(716KB) ]</v>
      </c>
      <c r="C361" s="2">
        <f t="shared" ca="1" si="0"/>
        <v>13</v>
      </c>
      <c r="D361" t="str">
        <f t="shared" ca="1" si="8"/>
        <v xml:space="preserve">Gouveia, L. </v>
      </c>
      <c r="E361" t="str">
        <f t="shared" ca="1" si="1"/>
        <v>2008</v>
      </c>
      <c r="F361" t="str">
        <f t="shared" ca="1" si="2"/>
        <v xml:space="preserve"> *Intelligent cities: from digital to social analogic.*</v>
      </c>
      <c r="G361" s="3">
        <f t="shared" ca="1" si="3"/>
        <v>18</v>
      </c>
      <c r="H361" s="2">
        <f t="shared" ca="1" si="4"/>
        <v>73</v>
      </c>
      <c r="I361" t="e">
        <f t="shared" ca="1" si="5"/>
        <v>#VALUE!</v>
      </c>
      <c r="J361" s="3" t="e">
        <f t="shared" ca="1" si="9"/>
        <v>#VALUE!</v>
      </c>
      <c r="K361" t="str">
        <f t="shared" ca="1" si="6"/>
        <v xml:space="preserve">Gouveia, L. </v>
      </c>
      <c r="L361" t="str">
        <f t="shared" ca="1" si="7"/>
        <v xml:space="preserve">Quental, C. </v>
      </c>
    </row>
    <row r="362" spans="1:16" ht="15.75" customHeight="1">
      <c r="A362">
        <f ca="1">IFERROR(__xludf.DUMMYFUNCTION("""COMPUTED_VALUE"""),12)</f>
        <v>12</v>
      </c>
      <c r="B362" t="str">
        <f ca="1">IFERROR(__xludf.DUMMYFUNCTION("""COMPUTED_VALUE"""),"Gouveia, L. and Gouveia, F. (2008). *Distance Learning with Sakai.* 9th 
Sakai Conference Universite et Pierre Marie Curie. Paris, France, 1-3 July 
2008. 
presentation [ pdf(732KB) ]")</f>
        <v>Gouveia, L. and Gouveia, F. (2008). *Distance Learning with Sakai.* 9th 
Sakai Conference Universite et Pierre Marie Curie. Paris, France, 1-3 July 
2008. 
presentation [ pdf(732KB) ]</v>
      </c>
      <c r="C362" s="2">
        <f t="shared" ca="1" si="0"/>
        <v>29</v>
      </c>
      <c r="D362" t="str">
        <f t="shared" ca="1" si="8"/>
        <v xml:space="preserve">Gouveia, L. and Gouveia, F. </v>
      </c>
      <c r="E362" t="str">
        <f t="shared" ca="1" si="1"/>
        <v>2008</v>
      </c>
      <c r="F362" t="str">
        <f t="shared" ca="1" si="2"/>
        <v xml:space="preserve"> *Distance Learning with Sakai.*</v>
      </c>
      <c r="G362" s="3">
        <f t="shared" ca="1" si="3"/>
        <v>34</v>
      </c>
      <c r="H362" s="2">
        <f t="shared" ca="1" si="4"/>
        <v>66</v>
      </c>
      <c r="I362" t="e">
        <f t="shared" ca="1" si="5"/>
        <v>#VALUE!</v>
      </c>
      <c r="J362" s="3" t="e">
        <f t="shared" ca="1" si="9"/>
        <v>#VALUE!</v>
      </c>
      <c r="K362" t="str">
        <f t="shared" ca="1" si="6"/>
        <v xml:space="preserve">Gouveia, L. ; Gouveia, F. </v>
      </c>
      <c r="L362" t="str">
        <f t="shared" ca="1" si="7"/>
        <v xml:space="preserve">Quental, C. </v>
      </c>
      <c r="M362" t="str">
        <f ca="1">IFERROR(__xludf.DUMMYFUNCTION("""COMPUTED_VALUE""")," Gouveia, F. ")</f>
        <v xml:space="preserve"> Gouveia, F. </v>
      </c>
    </row>
    <row r="363" spans="1:16" ht="15.75" customHeight="1">
      <c r="A363">
        <f ca="1">IFERROR(__xludf.DUMMYFUNCTION("""COMPUTED_VALUE"""),11)</f>
        <v>11</v>
      </c>
      <c r="B363" t="str">
        <f ca="1">IFERROR(__xludf.DUMMYFUNCTION("""COMPUTED_VALUE"""),"Gouveia, F.; Gouveia, L. and Fernandes, N. (2008). *UFPUV contribution for 
the Deployment Sakai panel: an implementation Panel: the Sakai journey Part 
II.* 9th Sakai Conference Universite et Pierre Marie Curie. Paris, France, 
1-3 July 2008. 
presentati"&amp;"on [ pdf( 83KB) ]")</f>
        <v>Gouveia, F.; Gouveia, L. and Fernandes, N. (2008). *UFPUV contribution for 
the Deployment Sakai panel: an implementation Panel: the Sakai journey Part 
II.* 9th Sakai Conference Universite et Pierre Marie Curie. Paris, France, 
1-3 July 2008. 
presentation [ pdf( 83KB) ]</v>
      </c>
      <c r="C363" s="2">
        <f t="shared" ca="1" si="0"/>
        <v>44</v>
      </c>
      <c r="D363" t="str">
        <f t="shared" ca="1" si="8"/>
        <v xml:space="preserve">Gouveia, F.; Gouveia, L. and Fernandes, N. </v>
      </c>
      <c r="E363" t="str">
        <f t="shared" ca="1" si="1"/>
        <v>2008</v>
      </c>
      <c r="F363" t="str">
        <f t="shared" ca="1" si="2"/>
        <v xml:space="preserve"> *UFPUV contribution for 
the Deployment Sakai panel: an implementation Panel: the Sakai journey Part 
II.*</v>
      </c>
      <c r="G363" s="3">
        <f t="shared" ca="1" si="3"/>
        <v>49</v>
      </c>
      <c r="H363" s="2">
        <f t="shared" ca="1" si="4"/>
        <v>156</v>
      </c>
      <c r="I363" t="e">
        <f t="shared" ca="1" si="5"/>
        <v>#VALUE!</v>
      </c>
      <c r="J363" s="3" t="e">
        <f t="shared" ca="1" si="9"/>
        <v>#VALUE!</v>
      </c>
      <c r="K363" t="str">
        <f t="shared" ca="1" si="6"/>
        <v xml:space="preserve">Gouveia, F.; Gouveia, L. ; Fern;es, N. </v>
      </c>
      <c r="L363" t="str">
        <f t="shared" ca="1" si="7"/>
        <v xml:space="preserve">Quental, C. </v>
      </c>
      <c r="M363" t="str">
        <f ca="1">IFERROR(__xludf.DUMMYFUNCTION("""COMPUTED_VALUE""")," Gouveia, L. ")</f>
        <v xml:space="preserve"> Gouveia, L. </v>
      </c>
      <c r="N363" t="str">
        <f ca="1">IFERROR(__xludf.DUMMYFUNCTION("""COMPUTED_VALUE""")," Fern")</f>
        <v xml:space="preserve"> Fern</v>
      </c>
      <c r="O363" t="str">
        <f ca="1">IFERROR(__xludf.DUMMYFUNCTION("""COMPUTED_VALUE"""),"es, N. ")</f>
        <v xml:space="preserve">es, N. </v>
      </c>
    </row>
    <row r="364" spans="1:16" ht="15.75" customHeight="1">
      <c r="A364">
        <f ca="1">IFERROR(__xludf.DUMMYFUNCTION("""COMPUTED_VALUE"""),10)</f>
        <v>10</v>
      </c>
      <c r="B364" t="str">
        <f ca="1">IFERROR(__xludf.DUMMYFUNCTION("""COMPUTED_VALUE"""),"Gouveia, L. (2007). *The use of Sakai to deploy the UFP Virtual University 
Initiative*. GUIDE thematic workshop European area. 21th March. Krakow. 
Poland.
presentation [ pdf (384MB) ]")</f>
        <v>Gouveia, L. (2007). *The use of Sakai to deploy the UFP Virtual University 
Initiative*. GUIDE thematic workshop European area. 21th March. Krakow. 
Poland.
presentation [ pdf (384MB) ]</v>
      </c>
      <c r="C364" s="2">
        <f t="shared" ca="1" si="0"/>
        <v>13</v>
      </c>
      <c r="D364" t="str">
        <f t="shared" ca="1" si="8"/>
        <v xml:space="preserve">Gouveia, L. </v>
      </c>
      <c r="E364" t="str">
        <f t="shared" ca="1" si="1"/>
        <v>2007</v>
      </c>
      <c r="F364" t="str">
        <f t="shared" ca="1" si="2"/>
        <v xml:space="preserve"> *The use of Sakai to deploy the UFP Virtual University 
Initiative*. </v>
      </c>
      <c r="G364" s="3">
        <f t="shared" ca="1" si="3"/>
        <v>18</v>
      </c>
      <c r="H364" s="2">
        <f t="shared" ca="1" si="4"/>
        <v>88</v>
      </c>
      <c r="I364" t="e">
        <f t="shared" ca="1" si="5"/>
        <v>#VALUE!</v>
      </c>
      <c r="J364" s="3" t="e">
        <f t="shared" ca="1" si="9"/>
        <v>#VALUE!</v>
      </c>
      <c r="K364" t="str">
        <f t="shared" ca="1" si="6"/>
        <v xml:space="preserve">Gouveia, L. </v>
      </c>
      <c r="L364" t="str">
        <f t="shared" ca="1" si="7"/>
        <v xml:space="preserve">Quental, C. </v>
      </c>
    </row>
    <row r="365" spans="1:16" ht="15.75" customHeight="1">
      <c r="A365">
        <f ca="1">IFERROR(__xludf.DUMMYFUNCTION("""COMPUTED_VALUE"""),9)</f>
        <v>9</v>
      </c>
      <c r="B365" t="str">
        <f ca="1">IFERROR(__xludf.DUMMYFUNCTION("""COMPUTED_VALUE"""),"Gouveia, F. e Gouveia, L. (2006). *Sakay in practice at an European 
University: UFP*. 1st European Sakai Day, 6-7 September 2006, Lüebeck. 
Germany.
apresentação [ pdf (732KB) ]")</f>
        <v>Gouveia, F. e Gouveia, L. (2006). *Sakay in practice at an European 
University: UFP*. 1st European Sakai Day, 6-7 September 2006, Lüebeck. 
Germany.
apresentação [ pdf (732KB) ]</v>
      </c>
      <c r="C365" s="2">
        <f t="shared" ca="1" si="0"/>
        <v>27</v>
      </c>
      <c r="D365" t="str">
        <f t="shared" ca="1" si="8"/>
        <v xml:space="preserve">Gouveia, F. e Gouveia, L. </v>
      </c>
      <c r="E365" t="str">
        <f t="shared" ca="1" si="1"/>
        <v>2006</v>
      </c>
      <c r="F365" t="str">
        <f t="shared" ca="1" si="2"/>
        <v xml:space="preserve"> *Sakay in practice at an European 
University: UFP*. </v>
      </c>
      <c r="G365" s="3">
        <f t="shared" ca="1" si="3"/>
        <v>32</v>
      </c>
      <c r="H365" s="2">
        <f t="shared" ca="1" si="4"/>
        <v>86</v>
      </c>
      <c r="I365" t="e">
        <f t="shared" ca="1" si="5"/>
        <v>#VALUE!</v>
      </c>
      <c r="J365" s="3" t="e">
        <f t="shared" ca="1" si="9"/>
        <v>#VALUE!</v>
      </c>
      <c r="K365" t="str">
        <f t="shared" ca="1" si="6"/>
        <v xml:space="preserve">Gouveia, F. e Gouveia, L. </v>
      </c>
      <c r="L365" t="str">
        <f t="shared" ca="1" si="7"/>
        <v xml:space="preserve">Quental, C. </v>
      </c>
    </row>
    <row r="366" spans="1:16" ht="15.75" customHeight="1">
      <c r="A366">
        <f ca="1">IFERROR(__xludf.DUMMYFUNCTION("""COMPUTED_VALUE"""),8)</f>
        <v>8</v>
      </c>
      <c r="B366" t="str">
        <f ca="1">IFERROR(__xludf.DUMMYFUNCTION("""COMPUTED_VALUE"""),"Gouveia, L. (2004).  *Cidades Digitais, o digital e implicações para o 
território*. Seminário Internacional Novas Tecnologias e Desenvolvimento 
Regional e Local Centro de Estudos Euro-Regionais Galiza-Norte de Portugal 
(CEER). 20 de Dezembro de 2004.
a"&amp;"presentação [ pdf (2540KB) ]")</f>
        <v>Gouveia, L. (2004).  *Cidades Digitais, o digital e implicações para o 
território*. Seminário Internacional Novas Tecnologias e Desenvolvimento 
Regional e Local Centro de Estudos Euro-Regionais Galiza-Norte de Portugal 
(CEER). 20 de Dezembro de 2004.
apresentação [ pdf (2540KB) ]</v>
      </c>
      <c r="C366" s="2">
        <f t="shared" ca="1" si="0"/>
        <v>13</v>
      </c>
      <c r="D366" t="str">
        <f t="shared" ca="1" si="8"/>
        <v xml:space="preserve">Gouveia, L. </v>
      </c>
      <c r="E366" t="str">
        <f t="shared" ca="1" si="1"/>
        <v>2004</v>
      </c>
      <c r="F366" t="str">
        <f t="shared" ca="1" si="2"/>
        <v xml:space="preserve">  *Cidades Digitais, o digital e implicações para o 
território*. </v>
      </c>
      <c r="G366" s="3">
        <f t="shared" ca="1" si="3"/>
        <v>18</v>
      </c>
      <c r="H366" s="2">
        <f t="shared" ca="1" si="4"/>
        <v>84</v>
      </c>
      <c r="I366" t="str">
        <f t="shared" ca="1" si="5"/>
        <v>Seminário Internacional Novas Tecnologias e Desenvolvimento 
Regional e Local Centro de Estudos Euro-Regionais Galiza-Norte de Portugal 
(CEER).</v>
      </c>
      <c r="J366" s="3">
        <f t="shared" ca="1" si="9"/>
        <v>228</v>
      </c>
      <c r="K366" t="str">
        <f t="shared" ca="1" si="6"/>
        <v xml:space="preserve">Gouveia, L. </v>
      </c>
      <c r="L366" t="str">
        <f t="shared" ca="1" si="7"/>
        <v xml:space="preserve">Quental, C. </v>
      </c>
    </row>
    <row r="367" spans="1:16" ht="15.75" customHeight="1">
      <c r="A367">
        <f ca="1">IFERROR(__xludf.DUMMYFUNCTION("""COMPUTED_VALUE"""),7)</f>
        <v>7</v>
      </c>
      <c r="B367" t="str">
        <f ca="1">IFERROR(__xludf.DUMMYFUNCTION("""COMPUTED_VALUE"""),"Gouveia, L. (2003). *Identidade para quê? Desafios ao território na 
Sociedade da Informação*. Workshop Sociedade da Informação: balanço e 
implicações. Universidade Fernando Pessoa. 11 e 12 de Dezembro.")</f>
        <v>Gouveia, L. (2003). *Identidade para quê? Desafios ao território na 
Sociedade da Informação*. Workshop Sociedade da Informação: balanço e 
implicações. Universidade Fernando Pessoa. 11 e 12 de Dezembro.</v>
      </c>
      <c r="C367" s="2">
        <f t="shared" ca="1" si="0"/>
        <v>13</v>
      </c>
      <c r="D367" t="str">
        <f t="shared" ca="1" si="8"/>
        <v xml:space="preserve">Gouveia, L. </v>
      </c>
      <c r="E367" t="str">
        <f t="shared" ca="1" si="1"/>
        <v>2003</v>
      </c>
      <c r="F367" t="str">
        <f t="shared" ca="1" si="2"/>
        <v xml:space="preserve"> *Identidade para quê? Desafios ao território na 
Sociedade da Informação*. </v>
      </c>
      <c r="G367" s="3">
        <f t="shared" ca="1" si="3"/>
        <v>18</v>
      </c>
      <c r="H367" s="2">
        <f t="shared" ca="1" si="4"/>
        <v>94</v>
      </c>
      <c r="I367" t="e">
        <f t="shared" ca="1" si="5"/>
        <v>#VALUE!</v>
      </c>
      <c r="J367" s="3" t="e">
        <f t="shared" ca="1" si="9"/>
        <v>#VALUE!</v>
      </c>
      <c r="K367" t="str">
        <f t="shared" ca="1" si="6"/>
        <v xml:space="preserve">Gouveia, L. </v>
      </c>
      <c r="L367" t="str">
        <f t="shared" ca="1" si="7"/>
        <v xml:space="preserve">Quental, C. </v>
      </c>
    </row>
    <row r="368" spans="1:16" ht="15.75" customHeight="1">
      <c r="A368">
        <f ca="1">IFERROR(__xludf.DUMMYFUNCTION("""COMPUTED_VALUE"""),6)</f>
        <v>6</v>
      </c>
      <c r="B368" t="str">
        <f ca="1">IFERROR(__xludf.DUMMYFUNCTION("""COMPUTED_VALUE"""),"Gouveia, L. (2003). *Agregar o Digital, o Virtual e o Real: reinventar o 
espaço e o tempo*. ExperimentaDesign 2003 – Bienal de Lisboa. 1000 
Plateaux. MULTIPLE SCALES PLUG IN – Escala Infinito / Desenho do Espaço 
Cibernético. Cinema São Jorge, Lisboa. 2"&amp;"1 de Setembro.
texto [ pdf (16KB) ]")</f>
        <v>Gouveia, L. (2003). *Agregar o Digital, o Virtual e o Real: reinventar o 
espaço e o tempo*. ExperimentaDesign 2003 – Bienal de Lisboa. 1000 
Plateaux. MULTIPLE SCALES PLUG IN – Escala Infinito / Desenho do Espaço 
Cibernético. Cinema São Jorge, Lisboa. 21 de Setembro.
texto [ pdf (16KB) ]</v>
      </c>
      <c r="C368" s="2">
        <f t="shared" ca="1" si="0"/>
        <v>13</v>
      </c>
      <c r="D368" t="str">
        <f t="shared" ca="1" si="8"/>
        <v xml:space="preserve">Gouveia, L. </v>
      </c>
      <c r="E368" t="str">
        <f t="shared" ca="1" si="1"/>
        <v>2003</v>
      </c>
      <c r="F368" t="str">
        <f t="shared" ca="1" si="2"/>
        <v xml:space="preserve"> *Agregar o Digital, o Virtual e o Real: reinventar o 
espaço e o tempo*. </v>
      </c>
      <c r="G368" s="3">
        <f t="shared" ca="1" si="3"/>
        <v>18</v>
      </c>
      <c r="H368" s="2">
        <f t="shared" ca="1" si="4"/>
        <v>92</v>
      </c>
      <c r="I368" t="e">
        <f t="shared" ca="1" si="5"/>
        <v>#VALUE!</v>
      </c>
      <c r="J368" s="3" t="e">
        <f t="shared" ca="1" si="9"/>
        <v>#VALUE!</v>
      </c>
      <c r="K368" t="str">
        <f t="shared" ca="1" si="6"/>
        <v xml:space="preserve">Gouveia, L. </v>
      </c>
      <c r="L368" t="str">
        <f t="shared" ca="1" si="7"/>
        <v xml:space="preserve">Quental, C. </v>
      </c>
    </row>
    <row r="369" spans="1:15" ht="15.75" customHeight="1">
      <c r="A369">
        <f ca="1">IFERROR(__xludf.DUMMYFUNCTION("""COMPUTED_VALUE"""),5)</f>
        <v>5</v>
      </c>
      <c r="B369" t="str">
        <f ca="1">IFERROR(__xludf.DUMMYFUNCTION("""COMPUTED_VALUE"""),"Gouveia, J. and Gouveia, L. (2001). *EFTWeb: an environment to support 
context sharing for education settings*. e-business and e-work virtual 
conference. NEWEMMSEC. At 
*http://www.cheshirehenbury.com/ebew/virtconf.html*. 
edited paper [ pdf(29KB) ]")</f>
        <v>Gouveia, J. and Gouveia, L. (2001). *EFTWeb: an environment to support 
context sharing for education settings*. e-business and e-work virtual 
conference. NEWEMMSEC. At 
*http://www.cheshirehenbury.com/ebew/virtconf.html*. 
edited paper [ pdf(29KB) ]</v>
      </c>
      <c r="C369" s="2">
        <f t="shared" ca="1" si="0"/>
        <v>29</v>
      </c>
      <c r="D369" t="str">
        <f t="shared" ca="1" si="8"/>
        <v xml:space="preserve">Gouveia, J. and Gouveia, L. </v>
      </c>
      <c r="E369" t="str">
        <f t="shared" ca="1" si="1"/>
        <v>2001</v>
      </c>
      <c r="F369" t="str">
        <f t="shared" ca="1" si="2"/>
        <v xml:space="preserve"> *EFTWeb: an environment to support 
context sharing for education settings*. </v>
      </c>
      <c r="G369" s="3">
        <f t="shared" ca="1" si="3"/>
        <v>34</v>
      </c>
      <c r="H369" s="2">
        <f t="shared" ca="1" si="4"/>
        <v>112</v>
      </c>
      <c r="I369" t="e">
        <f t="shared" ca="1" si="5"/>
        <v>#VALUE!</v>
      </c>
      <c r="J369" s="3" t="e">
        <f t="shared" ca="1" si="9"/>
        <v>#VALUE!</v>
      </c>
      <c r="K369" t="str">
        <f t="shared" ca="1" si="6"/>
        <v xml:space="preserve">Gouveia, J. ; Gouveia, L. </v>
      </c>
      <c r="L369" t="str">
        <f t="shared" ca="1" si="7"/>
        <v xml:space="preserve">Quental, C. </v>
      </c>
      <c r="M369" t="str">
        <f ca="1">IFERROR(__xludf.DUMMYFUNCTION("""COMPUTED_VALUE""")," Gouveia, L. ")</f>
        <v xml:space="preserve"> Gouveia, L. </v>
      </c>
    </row>
    <row r="370" spans="1:15" ht="15.75" customHeight="1">
      <c r="A370">
        <f ca="1">IFERROR(__xludf.DUMMYFUNCTION("""COMPUTED_VALUE"""),4)</f>
        <v>4</v>
      </c>
      <c r="B370" t="str">
        <f ca="1">IFERROR(__xludf.DUMMYFUNCTION("""COMPUTED_VALUE"""),"Gouveia, L. (2001). *Divulgar conteúdos e partilhar experiências usando a 
World Wide Web*. I Seminário sobre o Estado da Sociedade da Informação em 
Portugal e Espanha. FEUP. Porto, 24 e 25 de Setembro.
paper [ pdf (10KB) ] | apresentação [ pdf (26KB) ]")</f>
        <v>Gouveia, L. (2001). *Divulgar conteúdos e partilhar experiências usando a 
World Wide Web*. I Seminário sobre o Estado da Sociedade da Informação em 
Portugal e Espanha. FEUP. Porto, 24 e 25 de Setembro.
paper [ pdf (10KB) ] | apresentação [ pdf (26KB) ]</v>
      </c>
      <c r="C370" s="2">
        <f t="shared" ca="1" si="0"/>
        <v>13</v>
      </c>
      <c r="D370" t="str">
        <f t="shared" ca="1" si="8"/>
        <v xml:space="preserve">Gouveia, L. </v>
      </c>
      <c r="E370" t="str">
        <f t="shared" ca="1" si="1"/>
        <v>2001</v>
      </c>
      <c r="F370" t="str">
        <f t="shared" ca="1" si="2"/>
        <v xml:space="preserve"> *Divulgar conteúdos e partilhar experiências usando a 
World Wide Web*. </v>
      </c>
      <c r="G370" s="3">
        <f t="shared" ca="1" si="3"/>
        <v>18</v>
      </c>
      <c r="H370" s="2">
        <f t="shared" ca="1" si="4"/>
        <v>91</v>
      </c>
      <c r="I370" t="e">
        <f t="shared" ca="1" si="5"/>
        <v>#VALUE!</v>
      </c>
      <c r="J370" s="3" t="e">
        <f t="shared" ca="1" si="9"/>
        <v>#VALUE!</v>
      </c>
      <c r="K370" t="str">
        <f t="shared" ca="1" si="6"/>
        <v xml:space="preserve">Gouveia, L. </v>
      </c>
      <c r="L370" t="str">
        <f t="shared" ca="1" si="7"/>
        <v xml:space="preserve">Quental, C. </v>
      </c>
    </row>
    <row r="371" spans="1:15" ht="15.75" customHeight="1">
      <c r="A371">
        <f ca="1">IFERROR(__xludf.DUMMYFUNCTION("""COMPUTED_VALUE"""),3)</f>
        <v>3</v>
      </c>
      <c r="B371" t="str">
        <f ca="1">IFERROR(__xludf.DUMMYFUNCTION("""COMPUTED_VALUE"""),"Gouveia, L. (2001).*Is a virtual environment feasible to support knowledge 
sharing?* SSGRR 2001 International Conference on Advances in Infrastructure 
for Electronic Business, Science, and Education on the Internet, Scuola 
Superiore Guglielmo Reiss Rom"&amp;"oli, L'Aquila, Italy, August, 6-12. ISBN: 
88-85280-61-7 
paper [ pdf (140KB)] | presentation [ pdf (492KB)] Also, invited for a 
plenary session pdf(459KB)")</f>
        <v>Gouveia, L. (2001).*Is a virtual environment feasible to support knowledge 
sharing?* SSGRR 2001 International Conference on Advances in Infrastructure 
for Electronic Business, Science, and Education on the Internet, Scuola 
Superiore Guglielmo Reiss Romoli, L'Aquila, Italy, August, 6-12. ISBN: 
88-85280-61-7 
paper [ pdf (140KB)] | presentation [ pdf (492KB)] Also, invited for a 
plenary session pdf(459KB)</v>
      </c>
      <c r="C371" s="2">
        <f t="shared" ca="1" si="0"/>
        <v>13</v>
      </c>
      <c r="D371" t="str">
        <f t="shared" ca="1" si="8"/>
        <v xml:space="preserve">Gouveia, L. </v>
      </c>
      <c r="E371" t="str">
        <f t="shared" ca="1" si="1"/>
        <v>2001</v>
      </c>
      <c r="F371" t="str">
        <f t="shared" ca="1" si="2"/>
        <v xml:space="preserve">*Is a virtual environment feasible to support knowledge 
sharing?* SSGRR 2001 International Conference on Advances in Infrastructure 
for Electronic Business, Science, and Education on the Internet, Scuola 
Superiore Guglielmo Reiss Romoli, L'Aquila, Italy, August, 6-12. </v>
      </c>
      <c r="G371" s="3">
        <f t="shared" ca="1" si="3"/>
        <v>18</v>
      </c>
      <c r="H371" s="2">
        <f t="shared" ca="1" si="4"/>
        <v>290</v>
      </c>
      <c r="I371" t="e">
        <f t="shared" ca="1" si="5"/>
        <v>#VALUE!</v>
      </c>
      <c r="J371" s="3" t="e">
        <f t="shared" ca="1" si="9"/>
        <v>#VALUE!</v>
      </c>
      <c r="K371" t="str">
        <f t="shared" ca="1" si="6"/>
        <v xml:space="preserve">Gouveia, L. </v>
      </c>
      <c r="L371" t="str">
        <f t="shared" ca="1" si="7"/>
        <v xml:space="preserve">Quental, C. </v>
      </c>
    </row>
    <row r="372" spans="1:15" ht="15.75" customHeight="1">
      <c r="A372">
        <f ca="1">IFERROR(__xludf.DUMMYFUNCTION("""COMPUTED_VALUE"""),2)</f>
        <v>2</v>
      </c>
      <c r="B372" t="str">
        <f ca="1">IFERROR(__xludf.DUMMYFUNCTION("""COMPUTED_VALUE"""),"Gouveia, L. (1999). *Beyond the NetLab: how to involve the community 
producers*. International Workshop on Distance Learning and Training (DLT) 
Porto, Portugal. 25 - 26 February. 
presentation: [ pdf(27KB) ]")</f>
        <v>Gouveia, L. (1999). *Beyond the NetLab: how to involve the community 
producers*. International Workshop on Distance Learning and Training (DLT) 
Porto, Portugal. 25 - 26 February. 
presentation: [ pdf(27KB) ]</v>
      </c>
      <c r="C372" s="2">
        <f t="shared" ca="1" si="0"/>
        <v>13</v>
      </c>
      <c r="D372" t="str">
        <f t="shared" ca="1" si="8"/>
        <v xml:space="preserve">Gouveia, L. </v>
      </c>
      <c r="E372" t="str">
        <f t="shared" ca="1" si="1"/>
        <v>1999</v>
      </c>
      <c r="F372" t="str">
        <f t="shared" ca="1" si="2"/>
        <v xml:space="preserve"> *Beyond the NetLab: how to involve the community 
producers*. </v>
      </c>
      <c r="G372" s="3">
        <f t="shared" ca="1" si="3"/>
        <v>18</v>
      </c>
      <c r="H372" s="2">
        <f t="shared" ca="1" si="4"/>
        <v>81</v>
      </c>
      <c r="I372" t="e">
        <f t="shared" ca="1" si="5"/>
        <v>#VALUE!</v>
      </c>
      <c r="J372" s="3" t="e">
        <f t="shared" ca="1" si="9"/>
        <v>#VALUE!</v>
      </c>
      <c r="K372" t="str">
        <f t="shared" ca="1" si="6"/>
        <v xml:space="preserve">Gouveia, L. </v>
      </c>
      <c r="L372" t="str">
        <f t="shared" ca="1" si="7"/>
        <v xml:space="preserve">Quental, C. </v>
      </c>
    </row>
    <row r="373" spans="1:15" ht="15.75" customHeight="1">
      <c r="A373">
        <f ca="1">IFERROR(__xludf.DUMMYFUNCTION("""COMPUTED_VALUE"""),1)</f>
        <v>1</v>
      </c>
      <c r="B373" t="str">
        <f ca="1">IFERROR(__xludf.DUMMYFUNCTION("""COMPUTED_VALUE"""),"Gouveia, L. (1998). *The Role of Teachers in Rich Technological 
Environments.* 1st Workshop on Current Advances/Practice on 
Internet/Intranet Based ODL Porto, Portugal. 26th June. Proceedings in CD 
ROM edited by UNED IPP. 
paper: [ pdf (15KB) ] present"&amp;"ation: [ zipped postscript (20KB) ]")</f>
        <v>Gouveia, L. (1998). *The Role of Teachers in Rich Technological 
Environments.* 1st Workshop on Current Advances/Practice on 
Internet/Intranet Based ODL Porto, Portugal. 26th June. Proceedings in CD 
ROM edited by UNED IPP. 
paper: [ pdf (15KB) ] presentation: [ zipped postscript (20KB) ]</v>
      </c>
      <c r="C373" s="2">
        <f t="shared" ca="1" si="0"/>
        <v>13</v>
      </c>
      <c r="D373" t="str">
        <f t="shared" ca="1" si="8"/>
        <v xml:space="preserve">Gouveia, L. </v>
      </c>
      <c r="E373" t="str">
        <f t="shared" ca="1" si="1"/>
        <v>1998</v>
      </c>
      <c r="F373" t="str">
        <f t="shared" ca="1" si="2"/>
        <v xml:space="preserve"> *The Role of Teachers in Rich Technological 
Environments.*</v>
      </c>
      <c r="G373" s="3">
        <f t="shared" ca="1" si="3"/>
        <v>18</v>
      </c>
      <c r="H373" s="2">
        <f t="shared" ca="1" si="4"/>
        <v>78</v>
      </c>
      <c r="I373" t="e">
        <f t="shared" ca="1" si="5"/>
        <v>#VALUE!</v>
      </c>
      <c r="J373" s="3" t="e">
        <f t="shared" ca="1" si="9"/>
        <v>#VALUE!</v>
      </c>
      <c r="K373" t="str">
        <f t="shared" ca="1" si="6"/>
        <v xml:space="preserve">Gouveia, L. </v>
      </c>
      <c r="L373" t="str">
        <f t="shared" ca="1" si="7"/>
        <v xml:space="preserve">Quental, C. </v>
      </c>
    </row>
    <row r="374" spans="1:15" ht="15.75" customHeight="1">
      <c r="A374" t="str">
        <f ca="1">IFERROR(__xludf.DUMMYFUNCTION("""COMPUTED_VALUE"""),"_________")</f>
        <v>_________</v>
      </c>
      <c r="B374" t="str">
        <f ca="1">IFERROR(__xludf.DUMMYFUNCTION("""COMPUTED_VALUE"""),"paineis e mesas redondas / panels and roundtables")</f>
        <v>paineis e mesas redondas / panels and roundtables</v>
      </c>
      <c r="C374" s="2" t="e">
        <f t="shared" ca="1" si="0"/>
        <v>#VALUE!</v>
      </c>
      <c r="D374" t="e">
        <f t="shared" ca="1" si="8"/>
        <v>#VALUE!</v>
      </c>
      <c r="E374" t="e">
        <f t="shared" ca="1" si="1"/>
        <v>#VALUE!</v>
      </c>
      <c r="F374" t="e">
        <f t="shared" ca="1" si="2"/>
        <v>#VALUE!</v>
      </c>
      <c r="G374" s="3" t="e">
        <f t="shared" ca="1" si="3"/>
        <v>#VALUE!</v>
      </c>
      <c r="H374" s="2" t="e">
        <f t="shared" ca="1" si="4"/>
        <v>#VALUE!</v>
      </c>
      <c r="I374" t="e">
        <f t="shared" ca="1" si="5"/>
        <v>#VALUE!</v>
      </c>
      <c r="J374" s="3" t="e">
        <f t="shared" ca="1" si="9"/>
        <v>#VALUE!</v>
      </c>
      <c r="K374" t="e">
        <f t="shared" ca="1" si="6"/>
        <v>#VALUE!</v>
      </c>
      <c r="L374" t="str">
        <f t="shared" ca="1" si="7"/>
        <v xml:space="preserve">Quental, C. </v>
      </c>
    </row>
    <row r="375" spans="1:15" ht="15.75" customHeight="1">
      <c r="A375">
        <f ca="1">IFERROR(__xludf.DUMMYFUNCTION("""COMPUTED_VALUE"""),11)</f>
        <v>11</v>
      </c>
      <c r="B375" t="str">
        <f ca="1">IFERROR(__xludf.DUMMYFUNCTION("""COMPUTED_VALUE"""),"Mascaranhas, R. et al. (2016). *Privacidade, cibersegurança e 
regulamentação económica*. Fórum da Arrábida: repensar o futuro da 
Sociedade da Informação. 15ª edição. APDSI. Convento da Arrábida. 7 de 
Outubro. 
[ documento ]")</f>
        <v>Mascaranhas, R. et al. (2016). *Privacidade, cibersegurança e 
regulamentação económica*. Fórum da Arrábida: repensar o futuro da 
Sociedade da Informação. 15ª edição. APDSI. Convento da Arrábida. 7 de 
Outubro. 
[ documento ]</v>
      </c>
      <c r="C375" s="2">
        <f t="shared" ca="1" si="0"/>
        <v>24</v>
      </c>
      <c r="D375" t="str">
        <f t="shared" ca="1" si="8"/>
        <v xml:space="preserve">Mascaranhas, R. et al. </v>
      </c>
      <c r="E375" t="str">
        <f t="shared" ca="1" si="1"/>
        <v>2016</v>
      </c>
      <c r="F375" t="str">
        <f t="shared" ca="1" si="2"/>
        <v xml:space="preserve"> *Privacidade, cibersegurança e 
regulamentação económica*. </v>
      </c>
      <c r="G375" s="3">
        <f t="shared" ca="1" si="3"/>
        <v>29</v>
      </c>
      <c r="H375" s="2">
        <f t="shared" ca="1" si="4"/>
        <v>89</v>
      </c>
      <c r="I375" t="e">
        <f t="shared" ca="1" si="5"/>
        <v>#VALUE!</v>
      </c>
      <c r="J375" s="3" t="e">
        <f t="shared" ca="1" si="9"/>
        <v>#VALUE!</v>
      </c>
      <c r="K375" t="str">
        <f t="shared" ca="1" si="6"/>
        <v xml:space="preserve">Mascaranhas, R. et al. </v>
      </c>
      <c r="L375" t="str">
        <f t="shared" ca="1" si="7"/>
        <v xml:space="preserve">Quental, C. </v>
      </c>
    </row>
    <row r="376" spans="1:15" ht="15.75" customHeight="1">
      <c r="A376">
        <f ca="1">IFERROR(__xludf.DUMMYFUNCTION("""COMPUTED_VALUE"""),10)</f>
        <v>10</v>
      </c>
      <c r="B376" t="str">
        <f ca="1">IFERROR(__xludf.DUMMYFUNCTION("""COMPUTED_VALUE"""),"Gouveia, L. (2016).  Grupo de reflexão Privacidade e Cibersegurança 
(apresentação e moderação do grupo). Fórum da Arrábida: repensar o futuro 
da Sociedade da Informação. 15ª edição. APDSI. Convento da Arrábida. 7 de 
Outubro. 
[ apresentação ]")</f>
        <v>Gouveia, L. (2016).  Grupo de reflexão Privacidade e Cibersegurança 
(apresentação e moderação do grupo). Fórum da Arrábida: repensar o futuro 
da Sociedade da Informação. 15ª edição. APDSI. Convento da Arrábida. 7 de 
Outubro. 
[ apresentação ]</v>
      </c>
      <c r="C376" s="2">
        <f t="shared" ca="1" si="0"/>
        <v>13</v>
      </c>
      <c r="D376" t="str">
        <f t="shared" ca="1" si="8"/>
        <v xml:space="preserve">Gouveia, L. </v>
      </c>
      <c r="E376" t="str">
        <f t="shared" ca="1" si="1"/>
        <v>2016</v>
      </c>
      <c r="F376" t="str">
        <f t="shared" ca="1" si="2"/>
        <v xml:space="preserve">  Grupo de reflexão Privacidade e Cibersegurança 
(apresentação e moderação do grupo). </v>
      </c>
      <c r="G376" s="3">
        <f t="shared" ca="1" si="3"/>
        <v>18</v>
      </c>
      <c r="H376" s="2">
        <f t="shared" ca="1" si="4"/>
        <v>105</v>
      </c>
      <c r="I376" t="e">
        <f t="shared" ca="1" si="5"/>
        <v>#VALUE!</v>
      </c>
      <c r="J376" s="3" t="e">
        <f t="shared" ca="1" si="9"/>
        <v>#VALUE!</v>
      </c>
      <c r="K376" t="str">
        <f t="shared" ca="1" si="6"/>
        <v xml:space="preserve">Gouveia, L. </v>
      </c>
      <c r="L376" t="str">
        <f t="shared" ca="1" si="7"/>
        <v xml:space="preserve">Quental, C. </v>
      </c>
    </row>
    <row r="377" spans="1:15" ht="15.75" customHeight="1">
      <c r="A377">
        <f ca="1">IFERROR(__xludf.DUMMYFUNCTION("""COMPUTED_VALUE"""),9)</f>
        <v>9</v>
      </c>
      <c r="B377" t="str">
        <f ca="1">IFERROR(__xludf.DUMMYFUNCTION("""COMPUTED_VALUE"""),"Gouveia, L. et al. (2016). Ciclo de Debates Arquivos, Bibliotecas e Museus: 
acesso à Informação. Arquivo Distrital do Porto. Associação Portuguesa de 
Bibliotecários, Arquivistas e Documentalistas e a Acesso Cultura. 21 de 
Junho. Porto. Participação com"&amp;"o moderador.")</f>
        <v>Gouveia, L. et al. (2016). Ciclo de Debates Arquivos, Bibliotecas e Museus: 
acesso à Informação. Arquivo Distrital do Porto. Associação Portuguesa de 
Bibliotecários, Arquivistas e Documentalistas e a Acesso Cultura. 21 de 
Junho. Porto. Participação como moderador.</v>
      </c>
      <c r="C377" s="2">
        <f t="shared" ca="1" si="0"/>
        <v>20</v>
      </c>
      <c r="D377" t="str">
        <f t="shared" ca="1" si="8"/>
        <v xml:space="preserve">Gouveia, L. et al. </v>
      </c>
      <c r="E377" t="str">
        <f t="shared" ca="1" si="1"/>
        <v>2016</v>
      </c>
      <c r="F377" t="str">
        <f t="shared" ca="1" si="2"/>
        <v xml:space="preserve"> Ciclo de Debates Arquivos, Bibliotecas e Museus: 
acesso à Informação. </v>
      </c>
      <c r="G377" s="3">
        <f t="shared" ca="1" si="3"/>
        <v>25</v>
      </c>
      <c r="H377" s="2">
        <f t="shared" ca="1" si="4"/>
        <v>97</v>
      </c>
      <c r="I377" t="e">
        <f t="shared" ca="1" si="5"/>
        <v>#VALUE!</v>
      </c>
      <c r="J377" s="3" t="e">
        <f t="shared" ca="1" si="9"/>
        <v>#VALUE!</v>
      </c>
      <c r="K377" t="str">
        <f t="shared" ca="1" si="6"/>
        <v xml:space="preserve">Gouveia, L. et al. </v>
      </c>
      <c r="L377" t="str">
        <f t="shared" ca="1" si="7"/>
        <v xml:space="preserve">Quental, C. </v>
      </c>
    </row>
    <row r="378" spans="1:15" ht="15.75" customHeight="1">
      <c r="A378">
        <f ca="1">IFERROR(__xludf.DUMMYFUNCTION("""COMPUTED_VALUE"""),8)</f>
        <v>8</v>
      </c>
      <c r="B378" t="str">
        <f ca="1">IFERROR(__xludf.DUMMYFUNCTION("""COMPUTED_VALUE"""),"Mascaranhas, R. et al. (2015). *Mercado único digital europeu: 
transformações económicas, competências e empregabilidade*. Fórum da 
Arrábida: repensar o futuro da Sociedade da Informação. 14ª edição. APDSI. 
Convento da Arrábida. 16 de Outubro. 
[ docum"&amp;"ento ]")</f>
        <v>Mascaranhas, R. et al. (2015). *Mercado único digital europeu: 
transformações económicas, competências e empregabilidade*. Fórum da 
Arrábida: repensar o futuro da Sociedade da Informação. 14ª edição. APDSI. 
Convento da Arrábida. 16 de Outubro. 
[ documento ]</v>
      </c>
      <c r="C378" s="2">
        <f t="shared" ca="1" si="0"/>
        <v>24</v>
      </c>
      <c r="D378" t="str">
        <f t="shared" ca="1" si="8"/>
        <v xml:space="preserve">Mascaranhas, R. et al. </v>
      </c>
      <c r="E378" t="str">
        <f t="shared" ca="1" si="1"/>
        <v>2015</v>
      </c>
      <c r="F378" t="str">
        <f t="shared" ca="1" si="2"/>
        <v xml:space="preserve"> *Mercado único digital europeu: 
transformações económicas, competências e empregabilidade*. </v>
      </c>
      <c r="G378" s="3">
        <f t="shared" ca="1" si="3"/>
        <v>29</v>
      </c>
      <c r="H378" s="2">
        <f t="shared" ca="1" si="4"/>
        <v>123</v>
      </c>
      <c r="I378" t="e">
        <f t="shared" ca="1" si="5"/>
        <v>#VALUE!</v>
      </c>
      <c r="J378" s="3" t="e">
        <f t="shared" ca="1" si="9"/>
        <v>#VALUE!</v>
      </c>
      <c r="K378" t="str">
        <f t="shared" ca="1" si="6"/>
        <v xml:space="preserve">Mascaranhas, R. et al. </v>
      </c>
      <c r="L378" t="str">
        <f t="shared" ca="1" si="7"/>
        <v xml:space="preserve">Quental, C. </v>
      </c>
    </row>
    <row r="379" spans="1:15" ht="15.75" customHeight="1">
      <c r="A379">
        <f ca="1">IFERROR(__xludf.DUMMYFUNCTION("""COMPUTED_VALUE"""),7)</f>
        <v>7</v>
      </c>
      <c r="B379" t="str">
        <f ca="1">IFERROR(__xludf.DUMMYFUNCTION("""COMPUTED_VALUE"""),"Gouveia, L. (2015). Grupo de reflexão eSkills (apresentação e moderação do 
grupo). Fórum da Arrábida: repensar o futuro da Sociedade da Informação. 
14ª edição. APDSI. Convento da Arrábida. 16 de Outubro. 
[ apresentação ]")</f>
        <v>Gouveia, L. (2015). Grupo de reflexão eSkills (apresentação e moderação do 
grupo). Fórum da Arrábida: repensar o futuro da Sociedade da Informação. 
14ª edição. APDSI. Convento da Arrábida. 16 de Outubro. 
[ apresentação ]</v>
      </c>
      <c r="C379" s="2">
        <f t="shared" ca="1" si="0"/>
        <v>13</v>
      </c>
      <c r="D379" t="str">
        <f t="shared" ca="1" si="8"/>
        <v xml:space="preserve">Gouveia, L. </v>
      </c>
      <c r="E379" t="str">
        <f t="shared" ca="1" si="1"/>
        <v>2015</v>
      </c>
      <c r="F379" t="str">
        <f t="shared" ca="1" si="2"/>
        <v xml:space="preserve"> Grupo de reflexão eSkills (apresentação e moderação do 
grupo). </v>
      </c>
      <c r="G379" s="3">
        <f t="shared" ca="1" si="3"/>
        <v>18</v>
      </c>
      <c r="H379" s="2">
        <f t="shared" ca="1" si="4"/>
        <v>83</v>
      </c>
      <c r="I379" t="e">
        <f t="shared" ca="1" si="5"/>
        <v>#VALUE!</v>
      </c>
      <c r="J379" s="3" t="e">
        <f t="shared" ca="1" si="9"/>
        <v>#VALUE!</v>
      </c>
      <c r="K379" t="str">
        <f t="shared" ca="1" si="6"/>
        <v xml:space="preserve">Gouveia, L. </v>
      </c>
      <c r="L379" t="str">
        <f t="shared" ca="1" si="7"/>
        <v xml:space="preserve">Quental, C. </v>
      </c>
    </row>
    <row r="380" spans="1:15" ht="15.75" customHeight="1">
      <c r="A380">
        <f ca="1">IFERROR(__xludf.DUMMYFUNCTION("""COMPUTED_VALUE"""),6)</f>
        <v>6</v>
      </c>
      <c r="B380" t="str">
        <f ca="1">IFERROR(__xludf.DUMMYFUNCTION("""COMPUTED_VALUE"""),"Gouveia, L. (2015). Ponto prévio ao grupo de reflexão eSkills 
(apresentação). Fórum da Arrábida: repensar o futuro da Sociedade da 
Informação. 14ª edição. APDSI. Convento da Arrábida. 16 de Outubro. 
[ apresentação ]")</f>
        <v>Gouveia, L. (2015). Ponto prévio ao grupo de reflexão eSkills 
(apresentação). Fórum da Arrábida: repensar o futuro da Sociedade da 
Informação. 14ª edição. APDSI. Convento da Arrábida. 16 de Outubro. 
[ apresentação ]</v>
      </c>
      <c r="C380" s="2">
        <f t="shared" ca="1" si="0"/>
        <v>13</v>
      </c>
      <c r="D380" t="str">
        <f t="shared" ca="1" si="8"/>
        <v xml:space="preserve">Gouveia, L. </v>
      </c>
      <c r="E380" t="str">
        <f t="shared" ca="1" si="1"/>
        <v>2015</v>
      </c>
      <c r="F380" t="str">
        <f t="shared" ca="1" si="2"/>
        <v xml:space="preserve"> Ponto prévio ao grupo de reflexão eSkills 
(apresentação). </v>
      </c>
      <c r="G380" s="3">
        <f t="shared" ca="1" si="3"/>
        <v>18</v>
      </c>
      <c r="H380" s="2">
        <f t="shared" ca="1" si="4"/>
        <v>78</v>
      </c>
      <c r="I380" t="e">
        <f t="shared" ca="1" si="5"/>
        <v>#VALUE!</v>
      </c>
      <c r="J380" s="3" t="e">
        <f t="shared" ca="1" si="9"/>
        <v>#VALUE!</v>
      </c>
      <c r="K380" t="str">
        <f t="shared" ca="1" si="6"/>
        <v xml:space="preserve">Gouveia, L. </v>
      </c>
      <c r="L380" t="str">
        <f t="shared" ca="1" si="7"/>
        <v xml:space="preserve">Quental, C. </v>
      </c>
    </row>
    <row r="381" spans="1:15" ht="15.75" customHeight="1">
      <c r="A381">
        <f ca="1">IFERROR(__xludf.DUMMYFUNCTION("""COMPUTED_VALUE"""),5)</f>
        <v>5</v>
      </c>
      <c r="B381" t="str">
        <f ca="1">IFERROR(__xludf.DUMMYFUNCTION("""COMPUTED_VALUE"""),"Amaral, L.; Neves, A.; Gouveia, L.; Nascimento, J. e Leal, D. (2010). *Workshop 
sobre Participação*. Integrado no evento Portugal 2.0. Museu do Oriente. 
Lisboa. 23 de Novembro.
paper [ slideshare ]")</f>
        <v>Amaral, L.; Neves, A.; Gouveia, L.; Nascimento, J. e Leal, D. (2010). *Workshop 
sobre Participação*. Integrado no evento Portugal 2.0. Museu do Oriente. 
Lisboa. 23 de Novembro.
paper [ slideshare ]</v>
      </c>
      <c r="C381" s="2">
        <f t="shared" ca="1" si="0"/>
        <v>63</v>
      </c>
      <c r="D381" t="str">
        <f t="shared" ca="1" si="8"/>
        <v xml:space="preserve">Amaral, L.; Neves, A.; Gouveia, L.; Nascimento, J. e Leal, D. </v>
      </c>
      <c r="E381" t="str">
        <f t="shared" ca="1" si="1"/>
        <v>2010</v>
      </c>
      <c r="F381" t="str">
        <f t="shared" ca="1" si="2"/>
        <v xml:space="preserve"> *Workshop 
sobre Participação*. </v>
      </c>
      <c r="G381" s="3">
        <f t="shared" ca="1" si="3"/>
        <v>68</v>
      </c>
      <c r="H381" s="2">
        <f t="shared" ca="1" si="4"/>
        <v>101</v>
      </c>
      <c r="I381" t="e">
        <f t="shared" ca="1" si="5"/>
        <v>#VALUE!</v>
      </c>
      <c r="J381" s="3" t="e">
        <f t="shared" ca="1" si="9"/>
        <v>#VALUE!</v>
      </c>
      <c r="K381" t="str">
        <f t="shared" ca="1" si="6"/>
        <v xml:space="preserve">Amaral, L.; Neves, A.; Gouveia, L.; Nascimento, J. e Leal, D. </v>
      </c>
      <c r="L381" t="str">
        <f t="shared" ca="1" si="7"/>
        <v xml:space="preserve">Quental, C. </v>
      </c>
      <c r="M381" t="str">
        <f ca="1">IFERROR(__xludf.DUMMYFUNCTION("""COMPUTED_VALUE""")," Neves, A.")</f>
        <v xml:space="preserve"> Neves, A.</v>
      </c>
      <c r="N381" t="str">
        <f ca="1">IFERROR(__xludf.DUMMYFUNCTION("""COMPUTED_VALUE""")," Gouveia, L.")</f>
        <v xml:space="preserve"> Gouveia, L.</v>
      </c>
      <c r="O381" t="str">
        <f ca="1">IFERROR(__xludf.DUMMYFUNCTION("""COMPUTED_VALUE""")," Nascimento, J. e Leal, D. ")</f>
        <v xml:space="preserve"> Nascimento, J. e Leal, D. </v>
      </c>
    </row>
    <row r="382" spans="1:15" ht="15.75" customHeight="1">
      <c r="A382">
        <f ca="1">IFERROR(__xludf.DUMMYFUNCTION("""COMPUTED_VALUE"""),4)</f>
        <v>4</v>
      </c>
      <c r="B382" t="str">
        <f ca="1">IFERROR(__xludf.DUMMYFUNCTION("""COMPUTED_VALUE"""),"Gouveia, L. (coord.) (2009). *Competência na Sociedade da Informação para 
Superar a Crise.* Fórum da Arrábida. Repensar o futuro da Sociedade da 
Informação. O papel da Sociedade da Informação na superação da Crise. 9 e 
10 de Outubro. Arrábida.
apresent"&amp;"ação [ slideshare | vídeo ]")</f>
        <v>Gouveia, L. (coord.) (2009). *Competência na Sociedade da Informação para 
Superar a Crise.* Fórum da Arrábida. Repensar o futuro da Sociedade da 
Informação. O papel da Sociedade da Informação na superação da Crise. 9 e 
10 de Outubro. Arrábida.
apresentação [ slideshare | vídeo ]</v>
      </c>
      <c r="C382" s="2">
        <f t="shared" ca="1" si="0"/>
        <v>13</v>
      </c>
      <c r="D382" t="str">
        <f t="shared" ca="1" si="8"/>
        <v xml:space="preserve">Gouveia, L. </v>
      </c>
      <c r="E382" t="str">
        <f t="shared" ca="1" si="1"/>
        <v>coor</v>
      </c>
      <c r="F382" t="str">
        <f t="shared" ca="1" si="2"/>
        <v xml:space="preserve"> *Competência na Sociedade da Informação para 
Superar a Crise.*</v>
      </c>
      <c r="G382" s="3">
        <f t="shared" ca="1" si="3"/>
        <v>27</v>
      </c>
      <c r="H382" s="2">
        <f t="shared" ca="1" si="4"/>
        <v>91</v>
      </c>
      <c r="I382" t="e">
        <f t="shared" ca="1" si="5"/>
        <v>#VALUE!</v>
      </c>
      <c r="J382" s="3" t="e">
        <f t="shared" ca="1" si="9"/>
        <v>#VALUE!</v>
      </c>
      <c r="K382" t="str">
        <f t="shared" ca="1" si="6"/>
        <v xml:space="preserve">Gouveia, L. </v>
      </c>
      <c r="L382" t="str">
        <f t="shared" ca="1" si="7"/>
        <v xml:space="preserve">Quental, C. </v>
      </c>
    </row>
    <row r="383" spans="1:15" ht="15.75" customHeight="1">
      <c r="A383">
        <f ca="1">IFERROR(__xludf.DUMMYFUNCTION("""COMPUTED_VALUE"""),3)</f>
        <v>3</v>
      </c>
      <c r="B383" t="str">
        <f ca="1">IFERROR(__xludf.DUMMYFUNCTION("""COMPUTED_VALUE"""),"Gouveia, L. (2007). *Painel Virtual Universities. EATIS 2007*. Universidade 
do Algarve. 15 de Maio. Faro.
apresentação [ pdf (24KB) ]")</f>
        <v>Gouveia, L. (2007). *Painel Virtual Universities. EATIS 2007*. Universidade 
do Algarve. 15 de Maio. Faro.
apresentação [ pdf (24KB) ]</v>
      </c>
      <c r="C383" s="2">
        <f t="shared" ca="1" si="0"/>
        <v>13</v>
      </c>
      <c r="D383" t="str">
        <f t="shared" ca="1" si="8"/>
        <v xml:space="preserve">Gouveia, L. </v>
      </c>
      <c r="E383" t="str">
        <f t="shared" ca="1" si="1"/>
        <v>2007</v>
      </c>
      <c r="F383" t="str">
        <f t="shared" ca="1" si="2"/>
        <v xml:space="preserve"> *Painel Virtual Universities. </v>
      </c>
      <c r="G383" s="3">
        <f t="shared" ca="1" si="3"/>
        <v>18</v>
      </c>
      <c r="H383" s="2">
        <f t="shared" ca="1" si="4"/>
        <v>49</v>
      </c>
      <c r="I383" t="e">
        <f t="shared" ca="1" si="5"/>
        <v>#VALUE!</v>
      </c>
      <c r="J383" s="3" t="e">
        <f t="shared" ca="1" si="9"/>
        <v>#VALUE!</v>
      </c>
      <c r="K383" t="str">
        <f t="shared" ca="1" si="6"/>
        <v xml:space="preserve">Gouveia, L. </v>
      </c>
      <c r="L383" t="str">
        <f t="shared" ca="1" si="7"/>
        <v xml:space="preserve">Quental, C. </v>
      </c>
    </row>
    <row r="384" spans="1:15" ht="15.75" customHeight="1">
      <c r="A384">
        <f ca="1">IFERROR(__xludf.DUMMYFUNCTION("""COMPUTED_VALUE"""),2)</f>
        <v>2</v>
      </c>
      <c r="B384" t="str">
        <f ca="1">IFERROR(__xludf.DUMMYFUNCTION("""COMPUTED_VALUE"""),"Gouveia, L. and Gouveia, J. (2005). *Gaia Global: a digital cities project*. 
IANIS Newsletter, nº 33, June 2005, pp 15-16.
texto [ pdf (76KB) ]")</f>
        <v>Gouveia, L. and Gouveia, J. (2005). *Gaia Global: a digital cities project*. 
IANIS Newsletter, nº 33, June 2005, pp 15-16.
texto [ pdf (76KB) ]</v>
      </c>
      <c r="C384" s="2">
        <f t="shared" ca="1" si="0"/>
        <v>29</v>
      </c>
      <c r="D384" t="str">
        <f t="shared" ca="1" si="8"/>
        <v xml:space="preserve">Gouveia, L. and Gouveia, J. </v>
      </c>
      <c r="E384" t="str">
        <f t="shared" ca="1" si="1"/>
        <v>2005</v>
      </c>
      <c r="F384" t="str">
        <f t="shared" ca="1" si="2"/>
        <v xml:space="preserve"> *Gaia Global: a digital cities project*. </v>
      </c>
      <c r="G384" s="3">
        <f t="shared" ca="1" si="3"/>
        <v>34</v>
      </c>
      <c r="H384" s="2">
        <f t="shared" ca="1" si="4"/>
        <v>76</v>
      </c>
      <c r="I384" t="e">
        <f t="shared" ca="1" si="5"/>
        <v>#VALUE!</v>
      </c>
      <c r="J384" s="3" t="e">
        <f t="shared" ca="1" si="9"/>
        <v>#VALUE!</v>
      </c>
      <c r="K384" t="str">
        <f t="shared" ca="1" si="6"/>
        <v xml:space="preserve">Gouveia, L. ; Gouveia, J. </v>
      </c>
      <c r="L384" t="str">
        <f t="shared" ca="1" si="7"/>
        <v xml:space="preserve">Quental, C. </v>
      </c>
      <c r="M384" t="str">
        <f ca="1">IFERROR(__xludf.DUMMYFUNCTION("""COMPUTED_VALUE""")," Gouveia, J. ")</f>
        <v xml:space="preserve"> Gouveia, J. </v>
      </c>
    </row>
    <row r="385" spans="1:13" ht="15.75" customHeight="1">
      <c r="A385">
        <f ca="1">IFERROR(__xludf.DUMMYFUNCTION("""COMPUTED_VALUE"""),1)</f>
        <v>1</v>
      </c>
      <c r="B385" t="str">
        <f ca="1">IFERROR(__xludf.DUMMYFUNCTION("""COMPUTED_VALUE"""),"Vorderer, P. et al. (2003). *MEC‘s Two-Level Model of “Spatial Presence”.* 
FET Special meetings at PRESENCE 2003 conference. Aalborg. University. 
Denmark. 6-8 October. 
presentation [ pdf(268KB) ]")</f>
        <v>Vorderer, P. et al. (2003). *MEC‘s Two-Level Model of “Spatial Presence”.* 
FET Special meetings at PRESENCE 2003 conference. Aalborg. University. 
Denmark. 6-8 October. 
presentation [ pdf(268KB) ]</v>
      </c>
      <c r="C385" s="2">
        <f t="shared" ca="1" si="0"/>
        <v>21</v>
      </c>
      <c r="D385" t="str">
        <f t="shared" ca="1" si="8"/>
        <v xml:space="preserve">Vorderer, P. et al. </v>
      </c>
      <c r="E385" t="str">
        <f t="shared" ca="1" si="1"/>
        <v>2003</v>
      </c>
      <c r="F385" t="str">
        <f t="shared" ca="1" si="2"/>
        <v xml:space="preserve"> *MEC‘s Two-Level Model of “Spatial Presence”.*</v>
      </c>
      <c r="G385" s="3">
        <f t="shared" ca="1" si="3"/>
        <v>26</v>
      </c>
      <c r="H385" s="2">
        <f t="shared" ca="1" si="4"/>
        <v>73</v>
      </c>
      <c r="I385" t="e">
        <f t="shared" ca="1" si="5"/>
        <v>#VALUE!</v>
      </c>
      <c r="J385" s="3" t="e">
        <f t="shared" ca="1" si="9"/>
        <v>#VALUE!</v>
      </c>
      <c r="K385" t="str">
        <f t="shared" ca="1" si="6"/>
        <v xml:space="preserve">Vorderer, P. et al. </v>
      </c>
      <c r="L385" t="str">
        <f t="shared" ca="1" si="7"/>
        <v xml:space="preserve">Quental, C. </v>
      </c>
    </row>
    <row r="386" spans="1:13" ht="15.75" customHeight="1">
      <c r="A386" t="str">
        <f ca="1">IFERROR(__xludf.DUMMYFUNCTION("""COMPUTED_VALUE"""),"[ top ]")</f>
        <v>[ top ]</v>
      </c>
      <c r="B386" t="str">
        <f ca="1">IFERROR(__xludf.DUMMYFUNCTION("""COMPUTED_VALUE"""),"Eventos Nacionais / National Meetings")</f>
        <v>Eventos Nacionais / National Meetings</v>
      </c>
      <c r="C386" s="2" t="e">
        <f t="shared" ca="1" si="0"/>
        <v>#VALUE!</v>
      </c>
      <c r="D386" t="e">
        <f t="shared" ca="1" si="8"/>
        <v>#VALUE!</v>
      </c>
      <c r="E386" t="e">
        <f t="shared" ca="1" si="1"/>
        <v>#VALUE!</v>
      </c>
      <c r="F386" t="e">
        <f t="shared" ca="1" si="2"/>
        <v>#VALUE!</v>
      </c>
      <c r="G386" s="3" t="e">
        <f t="shared" ca="1" si="3"/>
        <v>#VALUE!</v>
      </c>
      <c r="H386" s="2" t="e">
        <f t="shared" ca="1" si="4"/>
        <v>#VALUE!</v>
      </c>
      <c r="I386" t="e">
        <f t="shared" ca="1" si="5"/>
        <v>#VALUE!</v>
      </c>
      <c r="J386" s="3" t="e">
        <f t="shared" ca="1" si="9"/>
        <v>#VALUE!</v>
      </c>
      <c r="K386" t="e">
        <f t="shared" ca="1" si="6"/>
        <v>#VALUE!</v>
      </c>
      <c r="L386" t="str">
        <f t="shared" ca="1" si="7"/>
        <v xml:space="preserve">Quental, C. </v>
      </c>
    </row>
    <row r="387" spans="1:13" ht="15.75" customHeight="1">
      <c r="A387" t="str">
        <f ca="1">IFERROR(__xludf.DUMMYFUNCTION("""COMPUTED_VALUE"""),"_________")</f>
        <v>_________</v>
      </c>
      <c r="B387" t="str">
        <f ca="1">IFERROR(__xludf.DUMMYFUNCTION("""COMPUTED_VALUE"""),"comunicações / talks")</f>
        <v>comunicações / talks</v>
      </c>
      <c r="C387" s="2" t="e">
        <f t="shared" ca="1" si="0"/>
        <v>#VALUE!</v>
      </c>
      <c r="D387" t="e">
        <f t="shared" ca="1" si="8"/>
        <v>#VALUE!</v>
      </c>
      <c r="E387" t="e">
        <f t="shared" ca="1" si="1"/>
        <v>#VALUE!</v>
      </c>
      <c r="F387" t="e">
        <f t="shared" ca="1" si="2"/>
        <v>#VALUE!</v>
      </c>
      <c r="G387" s="3" t="e">
        <f t="shared" ca="1" si="3"/>
        <v>#VALUE!</v>
      </c>
      <c r="H387" s="2" t="e">
        <f t="shared" ca="1" si="4"/>
        <v>#VALUE!</v>
      </c>
      <c r="I387" t="e">
        <f t="shared" ca="1" si="5"/>
        <v>#VALUE!</v>
      </c>
      <c r="J387" s="3" t="e">
        <f t="shared" ca="1" si="9"/>
        <v>#VALUE!</v>
      </c>
      <c r="K387" t="e">
        <f t="shared" ca="1" si="6"/>
        <v>#VALUE!</v>
      </c>
      <c r="L387" t="str">
        <f t="shared" ca="1" si="7"/>
        <v xml:space="preserve">Quental, C. </v>
      </c>
    </row>
    <row r="388" spans="1:13" ht="15.75" customHeight="1">
      <c r="A388">
        <f ca="1">IFERROR(__xludf.DUMMYFUNCTION("""COMPUTED_VALUE"""),158)</f>
        <v>158</v>
      </c>
      <c r="B388" t="str">
        <f ca="1">IFERROR(__xludf.DUMMYFUNCTION("""COMPUTED_VALUE"""),"Gouveia, L. (2018). As questões associadas com a proteção do espaço 
digital. Model NATO 2018. Núcleo de Estudantes de Relações Internacionais 
da Universidade do Porto. (NERI-UP). Apresentação, 2 de Novembro. Faculdade 
de Letras da Universidade do Porto"&amp;".
[ handle ]")</f>
        <v>Gouveia, L. (2018). As questões associadas com a proteção do espaço 
digital. Model NATO 2018. Núcleo de Estudantes de Relações Internacionais 
da Universidade do Porto. (NERI-UP). Apresentação, 2 de Novembro. Faculdade 
de Letras da Universidade do Porto.
[ handle ]</v>
      </c>
      <c r="C388" s="2">
        <f t="shared" ca="1" si="0"/>
        <v>13</v>
      </c>
      <c r="D388" t="str">
        <f t="shared" ca="1" si="8"/>
        <v xml:space="preserve">Gouveia, L. </v>
      </c>
      <c r="E388" t="str">
        <f t="shared" ca="1" si="1"/>
        <v>2018</v>
      </c>
      <c r="F388" t="str">
        <f t="shared" ca="1" si="2"/>
        <v xml:space="preserve"> As questões associadas com a proteção do espaço 
digital. </v>
      </c>
      <c r="G388" s="3">
        <f t="shared" ca="1" si="3"/>
        <v>18</v>
      </c>
      <c r="H388" s="2">
        <f t="shared" ca="1" si="4"/>
        <v>77</v>
      </c>
      <c r="I388" t="str">
        <f t="shared" ca="1" si="5"/>
        <v>Model NATO 2018. Núcleo de Estudantes de Relações Internacionais 
da Universidade do Porto. (NERI-UP).</v>
      </c>
      <c r="J388" s="3">
        <f t="shared" ca="1" si="9"/>
        <v>179</v>
      </c>
      <c r="K388" t="str">
        <f t="shared" ca="1" si="6"/>
        <v xml:space="preserve">Gouveia, L. </v>
      </c>
      <c r="L388" t="str">
        <f t="shared" ca="1" si="7"/>
        <v xml:space="preserve">Quental, C. </v>
      </c>
    </row>
    <row r="389" spans="1:13" ht="15.75" customHeight="1">
      <c r="A389">
        <f ca="1">IFERROR(__xludf.DUMMYFUNCTION("""COMPUTED_VALUE"""),157)</f>
        <v>157</v>
      </c>
      <c r="B389" t="str">
        <f ca="1">IFERROR(__xludf.DUMMYFUNCTION("""COMPUTED_VALUE"""),"Gouveia, L. (2018). Plataformas digitais de serviço público e a prova 
digital. Conferencia Prova Digital. Ordem dos Advogados. Conselho Regional 
de Lisboa. Auditório António Domuingues de Azevedo. Lisboa. 29 de Outubro.
[ handle ]")</f>
        <v>Gouveia, L. (2018). Plataformas digitais de serviço público e a prova 
digital. Conferencia Prova Digital. Ordem dos Advogados. Conselho Regional 
de Lisboa. Auditório António Domuingues de Azevedo. Lisboa. 29 de Outubro.
[ handle ]</v>
      </c>
      <c r="C389" s="2">
        <f t="shared" ca="1" si="0"/>
        <v>13</v>
      </c>
      <c r="D389" t="str">
        <f t="shared" ca="1" si="8"/>
        <v xml:space="preserve">Gouveia, L. </v>
      </c>
      <c r="E389" t="str">
        <f t="shared" ca="1" si="1"/>
        <v>2018</v>
      </c>
      <c r="F389" t="str">
        <f t="shared" ca="1" si="2"/>
        <v xml:space="preserve"> Plataformas digitais de serviço público e a prova 
digital. </v>
      </c>
      <c r="G389" s="3">
        <f t="shared" ca="1" si="3"/>
        <v>18</v>
      </c>
      <c r="H389" s="2">
        <f t="shared" ca="1" si="4"/>
        <v>79</v>
      </c>
      <c r="I389" t="e">
        <f t="shared" ca="1" si="5"/>
        <v>#VALUE!</v>
      </c>
      <c r="J389" s="3" t="e">
        <f t="shared" ca="1" si="9"/>
        <v>#VALUE!</v>
      </c>
      <c r="K389" t="str">
        <f t="shared" ca="1" si="6"/>
        <v xml:space="preserve">Gouveia, L. </v>
      </c>
      <c r="L389" t="str">
        <f t="shared" ca="1" si="7"/>
        <v xml:space="preserve">Quental, C. </v>
      </c>
    </row>
    <row r="390" spans="1:13" ht="15.75" customHeight="1">
      <c r="A390">
        <f ca="1">IFERROR(__xludf.DUMMYFUNCTION("""COMPUTED_VALUE"""),156)</f>
        <v>156</v>
      </c>
      <c r="B390" t="str">
        <f ca="1">IFERROR(__xludf.DUMMYFUNCTION("""COMPUTED_VALUE"""),"Oliveira, M. e Gouveia, L. (2018). Um algoritmo de seleção polinomial para 
mensuração de densidade radiográfica. Dia do Doutoramento em Ciências da 
Informação, ramo Tecnologia, Sistemas e Gestão da Informação. 20 de Julho. 
Universidade Fernando Pessoa."&amp;"  
[ handle ]")</f>
        <v>Oliveira, M. e Gouveia, L. (2018). Um algoritmo de seleção polinomial para 
mensuração de densidade radiográfica. Dia do Doutoramento em Ciências da 
Informação, ramo Tecnologia, Sistemas e Gestão da Informação. 20 de Julho. 
Universidade Fernando Pessoa.  
[ handle ]</v>
      </c>
      <c r="C390" s="2">
        <f t="shared" ca="1" si="0"/>
        <v>28</v>
      </c>
      <c r="D390" t="str">
        <f t="shared" ca="1" si="8"/>
        <v xml:space="preserve">Oliveira, M. e Gouveia, L. </v>
      </c>
      <c r="E390" t="str">
        <f t="shared" ca="1" si="1"/>
        <v>2018</v>
      </c>
      <c r="F390" t="str">
        <f t="shared" ca="1" si="2"/>
        <v xml:space="preserve"> Um algoritmo de seleção polinomial para 
mensuração de densidade radiográfica. </v>
      </c>
      <c r="G390" s="3">
        <f t="shared" ca="1" si="3"/>
        <v>33</v>
      </c>
      <c r="H390" s="2">
        <f t="shared" ca="1" si="4"/>
        <v>113</v>
      </c>
      <c r="I390" t="e">
        <f t="shared" ca="1" si="5"/>
        <v>#VALUE!</v>
      </c>
      <c r="J390" s="3" t="e">
        <f t="shared" ca="1" si="9"/>
        <v>#VALUE!</v>
      </c>
      <c r="K390" t="str">
        <f t="shared" ca="1" si="6"/>
        <v xml:space="preserve">Oliveira, M. e Gouveia, L. </v>
      </c>
      <c r="L390" t="str">
        <f t="shared" ca="1" si="7"/>
        <v xml:space="preserve">Quental, C. </v>
      </c>
    </row>
    <row r="391" spans="1:13" ht="15.75" customHeight="1">
      <c r="A391">
        <f ca="1">IFERROR(__xludf.DUMMYFUNCTION("""COMPUTED_VALUE"""),155)</f>
        <v>155</v>
      </c>
      <c r="B391" t="str">
        <f ca="1">IFERROR(__xludf.DUMMYFUNCTION("""COMPUTED_VALUE"""),"Carvalho, M. e Gouveia, L. (2018). Fluxo Informacionais: Interligações de 
Processos de Informação e Conhecimento. Dia do Doutoramento em Ciências da 
Informação, ramo Tecnologia, Sistemas e Gestão da Informação. 20 de Julho. 
Universidade Fernando Pessoa"&amp;". 
[ handle ]")</f>
        <v>Carvalho, M. e Gouveia, L. (2018). Fluxo Informacionais: Interligações de 
Processos de Informação e Conhecimento. Dia do Doutoramento em Ciências da 
Informação, ramo Tecnologia, Sistemas e Gestão da Informação. 20 de Julho. 
Universidade Fernando Pessoa. 
[ handle ]</v>
      </c>
      <c r="C391" s="2">
        <f t="shared" ca="1" si="0"/>
        <v>28</v>
      </c>
      <c r="D391" t="str">
        <f t="shared" ca="1" si="8"/>
        <v xml:space="preserve">Carvalho, M. e Gouveia, L. </v>
      </c>
      <c r="E391" t="str">
        <f t="shared" ca="1" si="1"/>
        <v>2018</v>
      </c>
      <c r="F391" t="str">
        <f t="shared" ca="1" si="2"/>
        <v xml:space="preserve"> Fluxo Informacionais: Interligações de 
Processos de Informação e Conhecimento. </v>
      </c>
      <c r="G391" s="3">
        <f t="shared" ca="1" si="3"/>
        <v>33</v>
      </c>
      <c r="H391" s="2">
        <f t="shared" ca="1" si="4"/>
        <v>114</v>
      </c>
      <c r="I391" t="e">
        <f t="shared" ca="1" si="5"/>
        <v>#VALUE!</v>
      </c>
      <c r="J391" s="3" t="e">
        <f t="shared" ca="1" si="9"/>
        <v>#VALUE!</v>
      </c>
      <c r="K391" t="str">
        <f t="shared" ca="1" si="6"/>
        <v xml:space="preserve">Carvalho, M. e Gouveia, L. </v>
      </c>
      <c r="L391" t="str">
        <f t="shared" ca="1" si="7"/>
        <v xml:space="preserve">Quental, C. </v>
      </c>
    </row>
    <row r="392" spans="1:13" ht="15.75" customHeight="1">
      <c r="A392">
        <f ca="1">IFERROR(__xludf.DUMMYFUNCTION("""COMPUTED_VALUE"""),154)</f>
        <v>154</v>
      </c>
      <c r="B392" t="str">
        <f ca="1">IFERROR(__xludf.DUMMYFUNCTION("""COMPUTED_VALUE"""),"Araújo, A. e Gouveia, L. (2018). Tecnologia de Informação e Educação 
Aplicada ao Ensino Superior: Percepções em uma IES em Belém do Pará. Dia do 
Doutoramento em Ciências da Informação, ramo Tecnologia, Sistemas e Gestão 
da Informação. 20 de Julho. Univ"&amp;"ersidade Fernando Pessoa. 
[ handle ]")</f>
        <v>Araújo, A. e Gouveia, L. (2018). Tecnologia de Informação e Educação 
Aplicada ao Ensino Superior: Percepções em uma IES em Belém do Pará. Dia do 
Doutoramento em Ciências da Informação, ramo Tecnologia, Sistemas e Gestão 
da Informação. 20 de Julho. Universidade Fernando Pessoa. 
[ handle ]</v>
      </c>
      <c r="C392" s="2">
        <f t="shared" ca="1" si="0"/>
        <v>26</v>
      </c>
      <c r="D392" t="str">
        <f t="shared" ca="1" si="8"/>
        <v xml:space="preserve">Araújo, A. e Gouveia, L. </v>
      </c>
      <c r="E392" t="str">
        <f t="shared" ca="1" si="1"/>
        <v>2018</v>
      </c>
      <c r="F392" t="str">
        <f t="shared" ca="1" si="2"/>
        <v xml:space="preserve"> Tecnologia de Informação e Educação 
Aplicada ao Ensino Superior: Percepções em uma IES em Belém do Pará. </v>
      </c>
      <c r="G392" s="3">
        <f t="shared" ca="1" si="3"/>
        <v>31</v>
      </c>
      <c r="H392" s="2">
        <f t="shared" ca="1" si="4"/>
        <v>138</v>
      </c>
      <c r="I392" t="e">
        <f t="shared" ca="1" si="5"/>
        <v>#VALUE!</v>
      </c>
      <c r="J392" s="3" t="e">
        <f t="shared" ca="1" si="9"/>
        <v>#VALUE!</v>
      </c>
      <c r="K392" t="str">
        <f t="shared" ca="1" si="6"/>
        <v xml:space="preserve">Araújo, A. e Gouveia, L. </v>
      </c>
      <c r="L392" t="str">
        <f t="shared" ca="1" si="7"/>
        <v xml:space="preserve">Quental, C. </v>
      </c>
    </row>
    <row r="393" spans="1:13" ht="15.75" customHeight="1">
      <c r="A393">
        <f ca="1">IFERROR(__xludf.DUMMYFUNCTION("""COMPUTED_VALUE"""),153)</f>
        <v>153</v>
      </c>
      <c r="B393" t="str">
        <f ca="1">IFERROR(__xludf.DUMMYFUNCTION("""COMPUTED_VALUE"""),"Correia, A. e Gouveia, L. (2018). Cidades Inteligentes e poder. Dia do 
Doutoramento em Ciências da Informação, ramo Tecnologia, Sistemas e Gestão 
da Informação. 20 de Julho. Universidade Fernando Pessoa. 
[ handle ]")</f>
        <v>Correia, A. e Gouveia, L. (2018). Cidades Inteligentes e poder. Dia do 
Doutoramento em Ciências da Informação, ramo Tecnologia, Sistemas e Gestão 
da Informação. 20 de Julho. Universidade Fernando Pessoa. 
[ handle ]</v>
      </c>
      <c r="C393" s="2">
        <f t="shared" ca="1" si="0"/>
        <v>27</v>
      </c>
      <c r="D393" t="str">
        <f t="shared" ca="1" si="8"/>
        <v xml:space="preserve">Correia, A. e Gouveia, L. </v>
      </c>
      <c r="E393" t="str">
        <f t="shared" ca="1" si="1"/>
        <v>2018</v>
      </c>
      <c r="F393" t="str">
        <f t="shared" ca="1" si="2"/>
        <v xml:space="preserve"> Cidades Inteligentes e poder. </v>
      </c>
      <c r="G393" s="3">
        <f t="shared" ca="1" si="3"/>
        <v>32</v>
      </c>
      <c r="H393" s="2">
        <f t="shared" ca="1" si="4"/>
        <v>63</v>
      </c>
      <c r="I393" t="e">
        <f t="shared" ca="1" si="5"/>
        <v>#VALUE!</v>
      </c>
      <c r="J393" s="3" t="e">
        <f t="shared" ca="1" si="9"/>
        <v>#VALUE!</v>
      </c>
      <c r="K393" t="str">
        <f t="shared" ca="1" si="6"/>
        <v xml:space="preserve">Correia, A. e Gouveia, L. </v>
      </c>
      <c r="L393" t="str">
        <f t="shared" ca="1" si="7"/>
        <v xml:space="preserve">Quental, C. </v>
      </c>
    </row>
    <row r="394" spans="1:13" ht="15.75" customHeight="1">
      <c r="A394">
        <f ca="1">IFERROR(__xludf.DUMMYFUNCTION("""COMPUTED_VALUE"""),152)</f>
        <v>152</v>
      </c>
      <c r="B394" t="str">
        <f ca="1">IFERROR(__xludf.DUMMYFUNCTION("""COMPUTED_VALUE"""),"Pinho, N. e Gouveia, L. (2018). O uso do governo digital pelo controle 
social no combate à corrupção pública no Ceará. Dia do Doutoramento em 
Ciências da Informação, ramo Tecnologia, Sistemas e Gestão da Informação. 
20 de Julho. Universidade Fernando P"&amp;"essoa. 
[ handle ]")</f>
        <v>Pinho, N. e Gouveia, L. (2018). O uso do governo digital pelo controle 
social no combate à corrupção pública no Ceará. Dia do Doutoramento em 
Ciências da Informação, ramo Tecnologia, Sistemas e Gestão da Informação. 
20 de Julho. Universidade Fernando Pessoa. 
[ handle ]</v>
      </c>
      <c r="C394" s="2">
        <f t="shared" ca="1" si="0"/>
        <v>25</v>
      </c>
      <c r="D394" t="str">
        <f t="shared" ca="1" si="8"/>
        <v xml:space="preserve">Pinho, N. e Gouveia, L. </v>
      </c>
      <c r="E394" t="str">
        <f t="shared" ca="1" si="1"/>
        <v>2018</v>
      </c>
      <c r="F394" t="str">
        <f t="shared" ca="1" si="2"/>
        <v xml:space="preserve"> O uso do governo digital pelo controle 
social no combate à corrupção pública no Ceará. </v>
      </c>
      <c r="G394" s="3">
        <f t="shared" ca="1" si="3"/>
        <v>30</v>
      </c>
      <c r="H394" s="2">
        <f t="shared" ca="1" si="4"/>
        <v>119</v>
      </c>
      <c r="I394" t="e">
        <f t="shared" ca="1" si="5"/>
        <v>#VALUE!</v>
      </c>
      <c r="J394" s="3" t="e">
        <f t="shared" ca="1" si="9"/>
        <v>#VALUE!</v>
      </c>
      <c r="K394" t="str">
        <f t="shared" ca="1" si="6"/>
        <v xml:space="preserve">Pinho, N. e Gouveia, L. </v>
      </c>
      <c r="L394" t="str">
        <f t="shared" ca="1" si="7"/>
        <v xml:space="preserve">Quental, C. </v>
      </c>
    </row>
    <row r="395" spans="1:13" ht="15.75" customHeight="1">
      <c r="A395">
        <f ca="1">IFERROR(__xludf.DUMMYFUNCTION("""COMPUTED_VALUE"""),151)</f>
        <v>151</v>
      </c>
      <c r="B395" t="str">
        <f ca="1">IFERROR(__xludf.DUMMYFUNCTION("""COMPUTED_VALUE"""),"Araújo, P.; Gouveia, L. e Toldy, T. (2018). Sistema Esfera Pública Digital: 
uma plataforma digital para gestão da informação da Educação Especial. Dia 
do Doutoramento em Ciências da Informação, ramo Tecnologia, Sistemas e 
Gestão da Informação. 20 de Ju"&amp;"lho. Universidade Fernando Pessoa. 
[ handle ]")</f>
        <v>Araújo, P.; Gouveia, L. e Toldy, T. (2018). Sistema Esfera Pública Digital: 
uma plataforma digital para gestão da informação da Educação Especial. Dia 
do Doutoramento em Ciências da Informação, ramo Tecnologia, Sistemas e 
Gestão da Informação. 20 de Julho. Universidade Fernando Pessoa. 
[ handle ]</v>
      </c>
      <c r="C395" s="2">
        <f t="shared" ca="1" si="0"/>
        <v>37</v>
      </c>
      <c r="D395" t="str">
        <f t="shared" ca="1" si="8"/>
        <v xml:space="preserve">Araújo, P.; Gouveia, L. e Toldy, T. </v>
      </c>
      <c r="E395" t="str">
        <f t="shared" ca="1" si="1"/>
        <v>2018</v>
      </c>
      <c r="F395" t="str">
        <f t="shared" ca="1" si="2"/>
        <v xml:space="preserve"> Sistema Esfera Pública Digital: 
uma plataforma digital para gestão da informação da Educação Especial. </v>
      </c>
      <c r="G395" s="3">
        <f t="shared" ca="1" si="3"/>
        <v>42</v>
      </c>
      <c r="H395" s="2">
        <f t="shared" ca="1" si="4"/>
        <v>147</v>
      </c>
      <c r="I395" t="e">
        <f t="shared" ca="1" si="5"/>
        <v>#VALUE!</v>
      </c>
      <c r="J395" s="3" t="e">
        <f t="shared" ca="1" si="9"/>
        <v>#VALUE!</v>
      </c>
      <c r="K395" t="str">
        <f t="shared" ca="1" si="6"/>
        <v xml:space="preserve">Araújo, P.; Gouveia, L. e Toldy, T. </v>
      </c>
      <c r="L395" t="str">
        <f t="shared" ca="1" si="7"/>
        <v xml:space="preserve">Quental, C. </v>
      </c>
      <c r="M395" t="str">
        <f ca="1">IFERROR(__xludf.DUMMYFUNCTION("""COMPUTED_VALUE""")," Gouveia, L. e Toldy, T. ")</f>
        <v xml:space="preserve"> Gouveia, L. e Toldy, T. </v>
      </c>
    </row>
    <row r="396" spans="1:13" ht="15.75" customHeight="1">
      <c r="A396">
        <f ca="1">IFERROR(__xludf.DUMMYFUNCTION("""COMPUTED_VALUE"""),150)</f>
        <v>150</v>
      </c>
      <c r="B396" t="str">
        <f ca="1">IFERROR(__xludf.DUMMYFUNCTION("""COMPUTED_VALUE"""),"Gouveia, L. (2017). O Digital e as pessoas no contexto ciber. Cidadania, 
Democracia e Governação Eletrónica. Curso de Cibersegurança e Gestão de 
Crises no Ciberespaço. 5ª edição. 3 de Abril. Instituto Nacional de Defesa 
(IDN). Lisboa.
[ handle ]")</f>
        <v>Gouveia, L. (2017). O Digital e as pessoas no contexto ciber. Cidadania, 
Democracia e Governação Eletrónica. Curso de Cibersegurança e Gestão de 
Crises no Ciberespaço. 5ª edição. 3 de Abril. Instituto Nacional de Defesa 
(IDN). Lisboa.
[ handle ]</v>
      </c>
      <c r="C396" s="2">
        <f t="shared" ca="1" si="0"/>
        <v>13</v>
      </c>
      <c r="D396" t="str">
        <f t="shared" ca="1" si="8"/>
        <v xml:space="preserve">Gouveia, L. </v>
      </c>
      <c r="E396" t="str">
        <f t="shared" ca="1" si="1"/>
        <v>2017</v>
      </c>
      <c r="F396" t="str">
        <f t="shared" ca="1" si="2"/>
        <v xml:space="preserve"> O Digital e as pessoas no contexto ciber. </v>
      </c>
      <c r="G396" s="3">
        <f t="shared" ca="1" si="3"/>
        <v>18</v>
      </c>
      <c r="H396" s="2">
        <f t="shared" ca="1" si="4"/>
        <v>61</v>
      </c>
      <c r="I396" t="str">
        <f t="shared" ca="1" si="5"/>
        <v>Cidadania, 
Democracia e Governação Eletrónica. Curso de Cibersegurança e Gestão de 
Crises no Ciberespaço. 5ª edição. 3 de Abril. Instituto Nacional de Defesa 
(IDN).</v>
      </c>
      <c r="J396" s="3">
        <f t="shared" ca="1" si="9"/>
        <v>228</v>
      </c>
      <c r="K396" t="str">
        <f t="shared" ca="1" si="6"/>
        <v xml:space="preserve">Gouveia, L. </v>
      </c>
      <c r="L396" t="str">
        <f t="shared" ca="1" si="7"/>
        <v xml:space="preserve">Quental, C. </v>
      </c>
    </row>
    <row r="397" spans="1:13" ht="15.75" customHeight="1">
      <c r="A397">
        <f ca="1">IFERROR(__xludf.DUMMYFUNCTION("""COMPUTED_VALUE"""),149)</f>
        <v>149</v>
      </c>
      <c r="B397" t="str">
        <f ca="1">IFERROR(__xludf.DUMMYFUNCTION("""COMPUTED_VALUE"""),"Gouveia, L. (2017). Da transmissão à partilha e do desempenho à interação. 
Tecnologias de ensino no “Saber Fazer”. Seminário Tecnologias no Ensino / 
formação Saber Fazer. 9 de Novembro de 2017, Auditório do Citeforma, Lisboa.
[ handle ]")</f>
        <v>Gouveia, L. (2017). Da transmissão à partilha e do desempenho à interação. 
Tecnologias de ensino no “Saber Fazer”. Seminário Tecnologias no Ensino / 
formação Saber Fazer. 9 de Novembro de 2017, Auditório do Citeforma, Lisboa.
[ handle ]</v>
      </c>
      <c r="C397" s="2">
        <f t="shared" ca="1" si="0"/>
        <v>13</v>
      </c>
      <c r="D397" t="str">
        <f t="shared" ca="1" si="8"/>
        <v xml:space="preserve">Gouveia, L. </v>
      </c>
      <c r="E397" t="str">
        <f t="shared" ca="1" si="1"/>
        <v>2017</v>
      </c>
      <c r="F397" t="str">
        <f t="shared" ca="1" si="2"/>
        <v xml:space="preserve"> Da transmissão à partilha e do desempenho à interação. </v>
      </c>
      <c r="G397" s="3">
        <f t="shared" ca="1" si="3"/>
        <v>18</v>
      </c>
      <c r="H397" s="2">
        <f t="shared" ca="1" si="4"/>
        <v>74</v>
      </c>
      <c r="I397" t="e">
        <f t="shared" ca="1" si="5"/>
        <v>#VALUE!</v>
      </c>
      <c r="J397" s="3" t="e">
        <f t="shared" ca="1" si="9"/>
        <v>#VALUE!</v>
      </c>
      <c r="K397" t="str">
        <f t="shared" ca="1" si="6"/>
        <v xml:space="preserve">Gouveia, L. </v>
      </c>
      <c r="L397" t="str">
        <f t="shared" ca="1" si="7"/>
        <v xml:space="preserve">Quental, C. </v>
      </c>
    </row>
    <row r="398" spans="1:13" ht="15.75" customHeight="1">
      <c r="A398">
        <f ca="1">IFERROR(__xludf.DUMMYFUNCTION("""COMPUTED_VALUE"""),148)</f>
        <v>148</v>
      </c>
      <c r="B398" t="str">
        <f ca="1">IFERROR(__xludf.DUMMYFUNCTION("""COMPUTED_VALUE"""),"(2017). Gouveia, L. (2017). O Digital e a Universidade uma reflexão para um 
tempo novo. Aula de Abertura do Mestrado em Comunicação Digital. 7 de 
Novembro de 2017, Universidade Católica Portuguesa, Braga.
[ handle ]")</f>
        <v>(2017). Gouveia, L. (2017). O Digital e a Universidade uma reflexão para um 
tempo novo. Aula de Abertura do Mestrado em Comunicação Digital. 7 de 
Novembro de 2017, Universidade Católica Portuguesa, Braga.
[ handle ]</v>
      </c>
      <c r="C398" s="2">
        <f t="shared" ca="1" si="0"/>
        <v>1</v>
      </c>
      <c r="D398" t="str">
        <f t="shared" ca="1" si="8"/>
        <v/>
      </c>
      <c r="E398" t="str">
        <f t="shared" ca="1" si="1"/>
        <v>2017</v>
      </c>
      <c r="F398" t="str">
        <f t="shared" ca="1" si="2"/>
        <v xml:space="preserve"> Gouveia, L. </v>
      </c>
      <c r="G398" s="3">
        <f t="shared" ca="1" si="3"/>
        <v>6</v>
      </c>
      <c r="H398" s="2">
        <f t="shared" ca="1" si="4"/>
        <v>19</v>
      </c>
      <c r="I398" t="str">
        <f t="shared" ca="1" si="5"/>
        <v>(2017).</v>
      </c>
      <c r="J398" s="3">
        <f t="shared" ca="1" si="9"/>
        <v>26</v>
      </c>
      <c r="K398" t="str">
        <f t="shared" ca="1" si="6"/>
        <v/>
      </c>
      <c r="L398" t="str">
        <f t="shared" ca="1" si="7"/>
        <v xml:space="preserve">Quental, C. </v>
      </c>
    </row>
    <row r="399" spans="1:13" ht="15.75" customHeight="1">
      <c r="A399">
        <f ca="1">IFERROR(__xludf.DUMMYFUNCTION("""COMPUTED_VALUE"""),147)</f>
        <v>147</v>
      </c>
      <c r="B399" t="str">
        <f ca="1">IFERROR(__xludf.DUMMYFUNCTION("""COMPUTED_VALUE"""),"Gouveia, L. (2017). Desafios e certezas para o Capital Humano e Intelectual 
na Administração Pública. Keynote do painel 3, Capacitação para as novas 
tecnologias. Conferência egovernment 2017. A transformação digital do 
Estado e o desenvolvimento da Soc"&amp;"iedade. APDSI. Auditório da Torre do 
Tombo. Lisboa. 4 de Outubro.
[ handle ]")</f>
        <v>Gouveia, L. (2017). Desafios e certezas para o Capital Humano e Intelectual 
na Administração Pública. Keynote do painel 3, Capacitação para as novas 
tecnologias. Conferência egovernment 2017. A transformação digital do 
Estado e o desenvolvimento da Sociedade. APDSI. Auditório da Torre do 
Tombo. Lisboa. 4 de Outubro.
[ handle ]</v>
      </c>
      <c r="C399" s="2">
        <f t="shared" ca="1" si="0"/>
        <v>13</v>
      </c>
      <c r="D399" t="str">
        <f t="shared" ca="1" si="8"/>
        <v xml:space="preserve">Gouveia, L. </v>
      </c>
      <c r="E399" t="str">
        <f t="shared" ca="1" si="1"/>
        <v>2017</v>
      </c>
      <c r="F399" t="str">
        <f t="shared" ca="1" si="2"/>
        <v xml:space="preserve"> Desafios e certezas para o Capital Humano e Intelectual 
na Administração Pública. </v>
      </c>
      <c r="G399" s="3">
        <f t="shared" ca="1" si="3"/>
        <v>18</v>
      </c>
      <c r="H399" s="2">
        <f t="shared" ca="1" si="4"/>
        <v>102</v>
      </c>
      <c r="I399" t="e">
        <f t="shared" ca="1" si="5"/>
        <v>#VALUE!</v>
      </c>
      <c r="J399" s="3" t="e">
        <f t="shared" ca="1" si="9"/>
        <v>#VALUE!</v>
      </c>
      <c r="K399" t="str">
        <f t="shared" ca="1" si="6"/>
        <v xml:space="preserve">Gouveia, L. </v>
      </c>
      <c r="L399" t="str">
        <f t="shared" ca="1" si="7"/>
        <v xml:space="preserve">Quental, C. </v>
      </c>
    </row>
    <row r="400" spans="1:13" ht="15.75" customHeight="1">
      <c r="A400">
        <f ca="1">IFERROR(__xludf.DUMMYFUNCTION("""COMPUTED_VALUE"""),146)</f>
        <v>146</v>
      </c>
      <c r="B400" t="str">
        <f ca="1">IFERROR(__xludf.DUMMYFUNCTION("""COMPUTED_VALUE"""),"Menezes, N. e Gouveia, L. (2017). O recurso a tecnologias de informação e 
comunicação para suporte da atividade em sala de aula: uma proposta de 
modelo. Universidade Fernando Pessoa. Dias da Investigação na UFP. 11 a 14 
de Julho. Universidade Fernando "&amp;"Pessoa.
[ handle ]")</f>
        <v>Menezes, N. e Gouveia, L. (2017). O recurso a tecnologias de informação e 
comunicação para suporte da atividade em sala de aula: uma proposta de 
modelo. Universidade Fernando Pessoa. Dias da Investigação na UFP. 11 a 14 
de Julho. Universidade Fernando Pessoa.
[ handle ]</v>
      </c>
      <c r="C400" s="2">
        <f t="shared" ca="1" si="0"/>
        <v>27</v>
      </c>
      <c r="D400" t="str">
        <f t="shared" ca="1" si="8"/>
        <v xml:space="preserve">Menezes, N. e Gouveia, L. </v>
      </c>
      <c r="E400" t="str">
        <f t="shared" ca="1" si="1"/>
        <v>2017</v>
      </c>
      <c r="F400" t="str">
        <f t="shared" ca="1" si="2"/>
        <v xml:space="preserve"> O recurso a tecnologias de informação e 
comunicação para suporte da atividade em sala de aula: uma proposta de 
modelo. </v>
      </c>
      <c r="G400" s="3">
        <f t="shared" ca="1" si="3"/>
        <v>32</v>
      </c>
      <c r="H400" s="2">
        <f t="shared" ca="1" si="4"/>
        <v>154</v>
      </c>
      <c r="I400" t="e">
        <f t="shared" ca="1" si="5"/>
        <v>#VALUE!</v>
      </c>
      <c r="J400" s="3" t="e">
        <f t="shared" ca="1" si="9"/>
        <v>#VALUE!</v>
      </c>
      <c r="K400" t="str">
        <f t="shared" ca="1" si="6"/>
        <v xml:space="preserve">Menezes, N. e Gouveia, L. </v>
      </c>
      <c r="L400" t="str">
        <f t="shared" ca="1" si="7"/>
        <v xml:space="preserve">Quental, C. </v>
      </c>
    </row>
    <row r="401" spans="1:13" ht="15.75" customHeight="1">
      <c r="A401">
        <f ca="1">IFERROR(__xludf.DUMMYFUNCTION("""COMPUTED_VALUE"""),145)</f>
        <v>145</v>
      </c>
      <c r="B401" t="str">
        <f ca="1">IFERROR(__xludf.DUMMYFUNCTION("""COMPUTED_VALUE"""),"Alvre, P.; Gouveia, L. e Sousa, S. (2017). A study on using interface 
animations in online shopping sites. Dias da Investigação na UFP. 11 a 14 
de Julho. Universidade Fernando Pessoa. Dias da Investigação na UFP. 11 a 
14 de Julho. Universidade Fernando"&amp;" Pessoa. 
[ handle ]")</f>
        <v>Alvre, P.; Gouveia, L. e Sousa, S. (2017). A study on using interface 
animations in online shopping sites. Dias da Investigação na UFP. 11 a 14 
de Julho. Universidade Fernando Pessoa. Dias da Investigação na UFP. 11 a 
14 de Julho. Universidade Fernando Pessoa. 
[ handle ]</v>
      </c>
      <c r="C401" s="2">
        <f t="shared" ca="1" si="0"/>
        <v>36</v>
      </c>
      <c r="D401" t="str">
        <f t="shared" ca="1" si="8"/>
        <v xml:space="preserve">Alvre, P.; Gouveia, L. e Sousa, S. </v>
      </c>
      <c r="E401" t="str">
        <f t="shared" ca="1" si="1"/>
        <v>2017</v>
      </c>
      <c r="F401" t="str">
        <f t="shared" ca="1" si="2"/>
        <v xml:space="preserve"> A study on using interface 
animations in online shopping sites. </v>
      </c>
      <c r="G401" s="3">
        <f t="shared" ca="1" si="3"/>
        <v>41</v>
      </c>
      <c r="H401" s="2">
        <f t="shared" ca="1" si="4"/>
        <v>107</v>
      </c>
      <c r="I401" t="e">
        <f t="shared" ca="1" si="5"/>
        <v>#VALUE!</v>
      </c>
      <c r="J401" s="3" t="e">
        <f t="shared" ca="1" si="9"/>
        <v>#VALUE!</v>
      </c>
      <c r="K401" t="str">
        <f t="shared" ca="1" si="6"/>
        <v xml:space="preserve">Alvre, P.; Gouveia, L. e Sousa, S. </v>
      </c>
      <c r="L401" t="str">
        <f t="shared" ca="1" si="7"/>
        <v xml:space="preserve">Quental, C. </v>
      </c>
      <c r="M401" t="str">
        <f ca="1">IFERROR(__xludf.DUMMYFUNCTION("""COMPUTED_VALUE""")," Gouveia, L. e Sousa, S. ")</f>
        <v xml:space="preserve"> Gouveia, L. e Sousa, S. </v>
      </c>
    </row>
    <row r="402" spans="1:13" ht="15.75" customHeight="1">
      <c r="A402">
        <f ca="1">IFERROR(__xludf.DUMMYFUNCTION("""COMPUTED_VALUE"""),144)</f>
        <v>144</v>
      </c>
      <c r="B402" t="str">
        <f ca="1">IFERROR(__xludf.DUMMYFUNCTION("""COMPUTED_VALUE"""),"Oliveira, M. e Gouveia, L. (2017). Estudo da viabilidade da técnica de 
densidade radiográfica para mensuração de densidade óssea. Dias da 
Investigação na UFP. 11 a 14 de Julho. Universidade Fernando Pessoa.
[ handle ]")</f>
        <v>Oliveira, M. e Gouveia, L. (2017). Estudo da viabilidade da técnica de 
densidade radiográfica para mensuração de densidade óssea. Dias da 
Investigação na UFP. 11 a 14 de Julho. Universidade Fernando Pessoa.
[ handle ]</v>
      </c>
      <c r="C402" s="2">
        <f t="shared" ca="1" si="0"/>
        <v>28</v>
      </c>
      <c r="D402" t="str">
        <f t="shared" ca="1" si="8"/>
        <v xml:space="preserve">Oliveira, M. e Gouveia, L. </v>
      </c>
      <c r="E402" t="str">
        <f t="shared" ca="1" si="1"/>
        <v>2017</v>
      </c>
      <c r="F402" t="str">
        <f t="shared" ca="1" si="2"/>
        <v xml:space="preserve"> Estudo da viabilidade da técnica de 
densidade radiográfica para mensuração de densidade óssea. </v>
      </c>
      <c r="G402" s="3">
        <f t="shared" ca="1" si="3"/>
        <v>33</v>
      </c>
      <c r="H402" s="2">
        <f t="shared" ca="1" si="4"/>
        <v>130</v>
      </c>
      <c r="I402" t="e">
        <f t="shared" ca="1" si="5"/>
        <v>#VALUE!</v>
      </c>
      <c r="J402" s="3" t="e">
        <f t="shared" ca="1" si="9"/>
        <v>#VALUE!</v>
      </c>
      <c r="K402" t="str">
        <f t="shared" ca="1" si="6"/>
        <v xml:space="preserve">Oliveira, M. e Gouveia, L. </v>
      </c>
      <c r="L402" t="str">
        <f t="shared" ca="1" si="7"/>
        <v xml:space="preserve">Quental, C. </v>
      </c>
    </row>
    <row r="403" spans="1:13" ht="15.75" customHeight="1">
      <c r="A403">
        <f ca="1">IFERROR(__xludf.DUMMYFUNCTION("""COMPUTED_VALUE"""),143)</f>
        <v>143</v>
      </c>
      <c r="B403" t="str">
        <f ca="1">IFERROR(__xludf.DUMMYFUNCTION("""COMPUTED_VALUE"""),"Correia, A. e Gouveia, L. (2017). Cidades Digitais: uma perspetiva 
diferenciada dos espaços na cidade. Dias da Investigação na UFP. 11 a 14 de 
Julho. Universidade Fernando Pessoa.
[ handle ]")</f>
        <v>Correia, A. e Gouveia, L. (2017). Cidades Digitais: uma perspetiva 
diferenciada dos espaços na cidade. Dias da Investigação na UFP. 11 a 14 de 
Julho. Universidade Fernando Pessoa.
[ handle ]</v>
      </c>
      <c r="C403" s="2">
        <f t="shared" ca="1" si="0"/>
        <v>27</v>
      </c>
      <c r="D403" t="str">
        <f t="shared" ca="1" si="8"/>
        <v xml:space="preserve">Correia, A. e Gouveia, L. </v>
      </c>
      <c r="E403" t="str">
        <f t="shared" ca="1" si="1"/>
        <v>2017</v>
      </c>
      <c r="F403" t="str">
        <f t="shared" ca="1" si="2"/>
        <v xml:space="preserve"> Cidades Digitais: uma perspetiva 
diferenciada dos espaços na cidade. </v>
      </c>
      <c r="G403" s="3">
        <f t="shared" ca="1" si="3"/>
        <v>32</v>
      </c>
      <c r="H403" s="2">
        <f t="shared" ca="1" si="4"/>
        <v>103</v>
      </c>
      <c r="I403" t="e">
        <f t="shared" ca="1" si="5"/>
        <v>#VALUE!</v>
      </c>
      <c r="J403" s="3" t="e">
        <f t="shared" ca="1" si="9"/>
        <v>#VALUE!</v>
      </c>
      <c r="K403" t="str">
        <f t="shared" ca="1" si="6"/>
        <v xml:space="preserve">Correia, A. e Gouveia, L. </v>
      </c>
      <c r="L403" t="str">
        <f t="shared" ca="1" si="7"/>
        <v xml:space="preserve">Quental, C. </v>
      </c>
    </row>
    <row r="404" spans="1:13" ht="15.75" customHeight="1">
      <c r="A404">
        <f ca="1">IFERROR(__xludf.DUMMYFUNCTION("""COMPUTED_VALUE"""),142)</f>
        <v>142</v>
      </c>
      <c r="B404" t="str">
        <f ca="1">IFERROR(__xludf.DUMMYFUNCTION("""COMPUTED_VALUE"""),"Morgado, R. e Gouveia, L. (2017). A importância da proteção do ciberespaço. 
Dias da Investigação na UFP. 11 a 14 de Julho. Universidade Fernando Pessoa.
[ handle ]")</f>
        <v>Morgado, R. e Gouveia, L. (2017). A importância da proteção do ciberespaço. 
Dias da Investigação na UFP. 11 a 14 de Julho. Universidade Fernando Pessoa.
[ handle ]</v>
      </c>
      <c r="C404" s="2">
        <f t="shared" ca="1" si="0"/>
        <v>27</v>
      </c>
      <c r="D404" t="str">
        <f t="shared" ca="1" si="8"/>
        <v xml:space="preserve">Morgado, R. e Gouveia, L. </v>
      </c>
      <c r="E404" t="str">
        <f t="shared" ca="1" si="1"/>
        <v>2017</v>
      </c>
      <c r="F404" t="str">
        <f t="shared" ca="1" si="2"/>
        <v xml:space="preserve"> A importância da proteção do ciberespaço. </v>
      </c>
      <c r="G404" s="3">
        <f t="shared" ca="1" si="3"/>
        <v>32</v>
      </c>
      <c r="H404" s="2">
        <f t="shared" ca="1" si="4"/>
        <v>75</v>
      </c>
      <c r="I404" t="e">
        <f t="shared" ca="1" si="5"/>
        <v>#VALUE!</v>
      </c>
      <c r="J404" s="3" t="e">
        <f t="shared" ca="1" si="9"/>
        <v>#VALUE!</v>
      </c>
      <c r="K404" t="str">
        <f t="shared" ca="1" si="6"/>
        <v xml:space="preserve">Morgado, R. e Gouveia, L. </v>
      </c>
      <c r="L404" t="str">
        <f t="shared" ca="1" si="7"/>
        <v xml:space="preserve">Quental, C. </v>
      </c>
    </row>
    <row r="405" spans="1:13" ht="15.75" customHeight="1">
      <c r="A405">
        <f ca="1">IFERROR(__xludf.DUMMYFUNCTION("""COMPUTED_VALUE"""),141)</f>
        <v>141</v>
      </c>
      <c r="B405" t="str">
        <f ca="1">IFERROR(__xludf.DUMMYFUNCTION("""COMPUTED_VALUE"""),"Khan, S. e Gouveia, L. (2017). Requirement for a MSL (Minimum Service 
Level) model for cloud providers and users. Dias da Investigação na UFP. 11 
a 14 de Julho. Universidade Fernando Pessoa. 
[ handle ]")</f>
        <v>Khan, S. e Gouveia, L. (2017). Requirement for a MSL (Minimum Service 
Level) model for cloud providers and users. Dias da Investigação na UFP. 11 
a 14 de Julho. Universidade Fernando Pessoa. 
[ handle ]</v>
      </c>
      <c r="C405" s="2">
        <f t="shared" ca="1" si="0"/>
        <v>24</v>
      </c>
      <c r="D405" t="str">
        <f t="shared" ca="1" si="8"/>
        <v xml:space="preserve">Khan, S. e Gouveia, L. </v>
      </c>
      <c r="E405" t="str">
        <f t="shared" ca="1" si="1"/>
        <v>2017</v>
      </c>
      <c r="F405" t="str">
        <f t="shared" ca="1" si="2"/>
        <v xml:space="preserve"> Requirement for a MSL (Minimum Service 
Level) model for cloud providers and users. </v>
      </c>
      <c r="G405" s="3">
        <f t="shared" ca="1" si="3"/>
        <v>29</v>
      </c>
      <c r="H405" s="2">
        <f t="shared" ca="1" si="4"/>
        <v>114</v>
      </c>
      <c r="I405" t="e">
        <f t="shared" ca="1" si="5"/>
        <v>#VALUE!</v>
      </c>
      <c r="J405" s="3" t="e">
        <f t="shared" ca="1" si="9"/>
        <v>#VALUE!</v>
      </c>
      <c r="K405" t="str">
        <f t="shared" ca="1" si="6"/>
        <v xml:space="preserve">Khan, S. e Gouveia, L. </v>
      </c>
      <c r="L405" t="str">
        <f t="shared" ca="1" si="7"/>
        <v xml:space="preserve">Quental, C. </v>
      </c>
    </row>
    <row r="406" spans="1:13" ht="15.75" customHeight="1">
      <c r="A406">
        <f ca="1">IFERROR(__xludf.DUMMYFUNCTION("""COMPUTED_VALUE"""),140)</f>
        <v>140</v>
      </c>
      <c r="B406" t="str">
        <f ca="1">IFERROR(__xludf.DUMMYFUNCTION("""COMPUTED_VALUE"""),"Araújo, P.; Gouveia, L. e Toldy, T. (2017). Gestão de uma construção que 
possui uma dupla estrutura performativa: construtores e usuários como 
autores de uma plataforma digital. Dias da Investigação na UFP. 11 a 14 de 
Julho. Universidade Fernando Pesso"&amp;"a.
[ handle ]")</f>
        <v>Araújo, P.; Gouveia, L. e Toldy, T. (2017). Gestão de uma construção que 
possui uma dupla estrutura performativa: construtores e usuários como 
autores de uma plataforma digital. Dias da Investigação na UFP. 11 a 14 de 
Julho. Universidade Fernando Pessoa.
[ handle ]</v>
      </c>
      <c r="C406" s="2">
        <f t="shared" ca="1" si="0"/>
        <v>37</v>
      </c>
      <c r="D406" t="str">
        <f t="shared" ca="1" si="8"/>
        <v xml:space="preserve">Araújo, P.; Gouveia, L. e Toldy, T. </v>
      </c>
      <c r="E406" t="str">
        <f t="shared" ca="1" si="1"/>
        <v>2017</v>
      </c>
      <c r="F406" t="str">
        <f t="shared" ca="1" si="2"/>
        <v xml:space="preserve"> Gestão de uma construção que 
possui uma dupla estrutura performativa: construtores e usuários como 
autores de uma plataforma digital. </v>
      </c>
      <c r="G406" s="3">
        <f t="shared" ca="1" si="3"/>
        <v>42</v>
      </c>
      <c r="H406" s="2">
        <f t="shared" ca="1" si="4"/>
        <v>179</v>
      </c>
      <c r="I406" t="e">
        <f t="shared" ca="1" si="5"/>
        <v>#VALUE!</v>
      </c>
      <c r="J406" s="3" t="e">
        <f t="shared" ca="1" si="9"/>
        <v>#VALUE!</v>
      </c>
      <c r="K406" t="str">
        <f t="shared" ca="1" si="6"/>
        <v xml:space="preserve">Araújo, P.; Gouveia, L. e Toldy, T. </v>
      </c>
      <c r="L406" t="str">
        <f t="shared" ca="1" si="7"/>
        <v xml:space="preserve">Quental, C. </v>
      </c>
      <c r="M406" t="str">
        <f ca="1">IFERROR(__xludf.DUMMYFUNCTION("""COMPUTED_VALUE""")," Gouveia, L. e Toldy, T. ")</f>
        <v xml:space="preserve"> Gouveia, L. e Toldy, T. </v>
      </c>
    </row>
    <row r="407" spans="1:13" ht="15.75" customHeight="1">
      <c r="A407">
        <f ca="1">IFERROR(__xludf.DUMMYFUNCTION("""COMPUTED_VALUE"""),139)</f>
        <v>139</v>
      </c>
      <c r="B407" t="str">
        <f ca="1">IFERROR(__xludf.DUMMYFUNCTION("""COMPUTED_VALUE"""),"Erdem, M. e Gouveia, L. (2017). The concept of tourism security and 
importance of ICT usage in Portugal. Dias da Investigação na UFP. 11 a 14 
de Julho. Universidade Fernando Pessoa. 
[ handle ]")</f>
        <v>Erdem, M. e Gouveia, L. (2017). The concept of tourism security and 
importance of ICT usage in Portugal. Dias da Investigação na UFP. 11 a 14 
de Julho. Universidade Fernando Pessoa. 
[ handle ]</v>
      </c>
      <c r="C407" s="2">
        <f t="shared" ca="1" si="0"/>
        <v>25</v>
      </c>
      <c r="D407" t="str">
        <f t="shared" ca="1" si="8"/>
        <v xml:space="preserve">Erdem, M. e Gouveia, L. </v>
      </c>
      <c r="E407" t="str">
        <f t="shared" ca="1" si="1"/>
        <v>2017</v>
      </c>
      <c r="F407" t="str">
        <f t="shared" ca="1" si="2"/>
        <v xml:space="preserve"> The concept of tourism security and 
importance of ICT usage in Portugal. </v>
      </c>
      <c r="G407" s="3">
        <f t="shared" ca="1" si="3"/>
        <v>30</v>
      </c>
      <c r="H407" s="2">
        <f t="shared" ca="1" si="4"/>
        <v>105</v>
      </c>
      <c r="I407" t="e">
        <f t="shared" ca="1" si="5"/>
        <v>#VALUE!</v>
      </c>
      <c r="J407" s="3" t="e">
        <f t="shared" ca="1" si="9"/>
        <v>#VALUE!</v>
      </c>
      <c r="K407" t="str">
        <f t="shared" ca="1" si="6"/>
        <v xml:space="preserve">Erdem, M. e Gouveia, L. </v>
      </c>
      <c r="L407" t="str">
        <f t="shared" ca="1" si="7"/>
        <v xml:space="preserve">Quental, C. </v>
      </c>
    </row>
    <row r="408" spans="1:13" ht="15.75" customHeight="1">
      <c r="A408">
        <f ca="1">IFERROR(__xludf.DUMMYFUNCTION("""COMPUTED_VALUE"""),138)</f>
        <v>138</v>
      </c>
      <c r="B408" t="str">
        <f ca="1">IFERROR(__xludf.DUMMYFUNCTION("""COMPUTED_VALUE"""),"Quental, C. e Gouveia, L. (2017). Mediação digital para participação 
pública: experiências de utilização em organizações sindicais. Dias da 
Investigação na UFP. 11 a 14 de Julho. Universidade Fernando Pessoa.
[ handle ]")</f>
        <v>Quental, C. e Gouveia, L. (2017). Mediação digital para participação 
pública: experiências de utilização em organizações sindicais. Dias da 
Investigação na UFP. 11 a 14 de Julho. Universidade Fernando Pessoa.
[ handle ]</v>
      </c>
      <c r="C408" s="2">
        <f t="shared" ca="1" si="0"/>
        <v>27</v>
      </c>
      <c r="D408" t="str">
        <f t="shared" ca="1" si="8"/>
        <v xml:space="preserve">Quental, C. e Gouveia, L. </v>
      </c>
      <c r="E408" t="str">
        <f t="shared" ca="1" si="1"/>
        <v>2017</v>
      </c>
      <c r="F408" t="str">
        <f t="shared" ca="1" si="2"/>
        <v xml:space="preserve"> Mediação digital para participação 
pública: experiências de utilização em organizações sindicais. </v>
      </c>
      <c r="G408" s="3">
        <f t="shared" ca="1" si="3"/>
        <v>32</v>
      </c>
      <c r="H408" s="2">
        <f t="shared" ca="1" si="4"/>
        <v>132</v>
      </c>
      <c r="I408" t="e">
        <f t="shared" ca="1" si="5"/>
        <v>#VALUE!</v>
      </c>
      <c r="J408" s="3" t="e">
        <f t="shared" ca="1" si="9"/>
        <v>#VALUE!</v>
      </c>
      <c r="K408" t="str">
        <f t="shared" ca="1" si="6"/>
        <v xml:space="preserve">Quental, C. e Gouveia, L. </v>
      </c>
      <c r="L408" t="str">
        <f t="shared" ca="1" si="7"/>
        <v xml:space="preserve">Quental, C. </v>
      </c>
    </row>
    <row r="409" spans="1:13" ht="15.75" customHeight="1">
      <c r="A409">
        <f ca="1">IFERROR(__xludf.DUMMYFUNCTION("""COMPUTED_VALUE"""),137)</f>
        <v>137</v>
      </c>
      <c r="B409" t="str">
        <f ca="1">IFERROR(__xludf.DUMMYFUNCTION("""COMPUTED_VALUE"""),"Alfredo, P. e Gouveia, L. (2017). Discussão de um modelo conceptual de 
Governo Eletrónico Local para Angola. Dias da Investigação na UFP. 11 a 14 
de Julho. Universidade Fernando Pessoa.
[ handle ]")</f>
        <v>Alfredo, P. e Gouveia, L. (2017). Discussão de um modelo conceptual de 
Governo Eletrónico Local para Angola. Dias da Investigação na UFP. 11 a 14 
de Julho. Universidade Fernando Pessoa.
[ handle ]</v>
      </c>
      <c r="C409" s="2">
        <f t="shared" ca="1" si="0"/>
        <v>27</v>
      </c>
      <c r="D409" t="str">
        <f t="shared" ca="1" si="8"/>
        <v xml:space="preserve">Alfredo, P. e Gouveia, L. </v>
      </c>
      <c r="E409" t="str">
        <f t="shared" ca="1" si="1"/>
        <v>2017</v>
      </c>
      <c r="F409" t="str">
        <f t="shared" ca="1" si="2"/>
        <v xml:space="preserve"> Discussão de um modelo conceptual de 
Governo Eletrónico Local para Angola. </v>
      </c>
      <c r="G409" s="3">
        <f t="shared" ca="1" si="3"/>
        <v>32</v>
      </c>
      <c r="H409" s="2">
        <f t="shared" ca="1" si="4"/>
        <v>109</v>
      </c>
      <c r="I409" t="e">
        <f t="shared" ca="1" si="5"/>
        <v>#VALUE!</v>
      </c>
      <c r="J409" s="3" t="e">
        <f t="shared" ca="1" si="9"/>
        <v>#VALUE!</v>
      </c>
      <c r="K409" t="str">
        <f t="shared" ca="1" si="6"/>
        <v xml:space="preserve">Alfredo, P. e Gouveia, L. </v>
      </c>
      <c r="L409" t="str">
        <f t="shared" ca="1" si="7"/>
        <v xml:space="preserve">Quental, C. </v>
      </c>
    </row>
    <row r="410" spans="1:13" ht="15.75" customHeight="1">
      <c r="A410">
        <f ca="1">IFERROR(__xludf.DUMMYFUNCTION("""COMPUTED_VALUE"""),136)</f>
        <v>136</v>
      </c>
      <c r="B410" t="str">
        <f ca="1">IFERROR(__xludf.DUMMYFUNCTION("""COMPUTED_VALUE"""),"Santos, F. e Gouveia, L. (2017). Estudo de fatores importantes da gestão do 
conhecimento para desenvolvimento no contexto do ensino superior. Dias da 
Investigação na UFP. 11 a 14 de Julho. Universidade Fernando Pessoa.
[ handle ]")</f>
        <v>Santos, F. e Gouveia, L. (2017). Estudo de fatores importantes da gestão do 
conhecimento para desenvolvimento no contexto do ensino superior. Dias da 
Investigação na UFP. 11 a 14 de Julho. Universidade Fernando Pessoa.
[ handle ]</v>
      </c>
      <c r="C410" s="2">
        <f t="shared" ca="1" si="0"/>
        <v>26</v>
      </c>
      <c r="D410" t="str">
        <f t="shared" ca="1" si="8"/>
        <v xml:space="preserve">Santos, F. e Gouveia, L. </v>
      </c>
      <c r="E410" t="str">
        <f t="shared" ca="1" si="1"/>
        <v>2017</v>
      </c>
      <c r="F410" t="str">
        <f t="shared" ca="1" si="2"/>
        <v xml:space="preserve"> Estudo de fatores importantes da gestão do 
conhecimento para desenvolvimento no contexto do ensino superior. </v>
      </c>
      <c r="G410" s="3">
        <f t="shared" ca="1" si="3"/>
        <v>31</v>
      </c>
      <c r="H410" s="2">
        <f t="shared" ca="1" si="4"/>
        <v>142</v>
      </c>
      <c r="I410" t="e">
        <f t="shared" ca="1" si="5"/>
        <v>#VALUE!</v>
      </c>
      <c r="J410" s="3" t="e">
        <f t="shared" ca="1" si="9"/>
        <v>#VALUE!</v>
      </c>
      <c r="K410" t="str">
        <f t="shared" ca="1" si="6"/>
        <v xml:space="preserve">Santos, F. e Gouveia, L. </v>
      </c>
      <c r="L410" t="str">
        <f t="shared" ca="1" si="7"/>
        <v xml:space="preserve">Quental, C. </v>
      </c>
    </row>
    <row r="411" spans="1:13" ht="15.75" customHeight="1">
      <c r="A411">
        <f ca="1">IFERROR(__xludf.DUMMYFUNCTION("""COMPUTED_VALUE"""),135)</f>
        <v>135</v>
      </c>
      <c r="B411" t="str">
        <f ca="1">IFERROR(__xludf.DUMMYFUNCTION("""COMPUTED_VALUE"""),"Rocha, L. e Gouveia, L. (2017). A economia partilhada e os fatores que a 
influenciam. Dias da Investigação na UFP. 11 a 14 de Julho. Universidade 
Fernando Pessoa. Dias da Investigação na UFP. 11 a 14 de Julho. 
Universidade Fernando Pessoa.
[ handle ]")</f>
        <v>Rocha, L. e Gouveia, L. (2017). A economia partilhada e os fatores que a 
influenciam. Dias da Investigação na UFP. 11 a 14 de Julho. Universidade 
Fernando Pessoa. Dias da Investigação na UFP. 11 a 14 de Julho. 
Universidade Fernando Pessoa.
[ handle ]</v>
      </c>
      <c r="C411" s="2">
        <f t="shared" ca="1" si="0"/>
        <v>25</v>
      </c>
      <c r="D411" t="str">
        <f t="shared" ca="1" si="8"/>
        <v xml:space="preserve">Rocha, L. e Gouveia, L. </v>
      </c>
      <c r="E411" t="str">
        <f t="shared" ca="1" si="1"/>
        <v>2017</v>
      </c>
      <c r="F411" t="str">
        <f t="shared" ca="1" si="2"/>
        <v xml:space="preserve"> A economia partilhada e os fatores que a 
influenciam. </v>
      </c>
      <c r="G411" s="3">
        <f t="shared" ca="1" si="3"/>
        <v>30</v>
      </c>
      <c r="H411" s="2">
        <f t="shared" ca="1" si="4"/>
        <v>86</v>
      </c>
      <c r="I411" t="e">
        <f t="shared" ca="1" si="5"/>
        <v>#VALUE!</v>
      </c>
      <c r="J411" s="3" t="e">
        <f t="shared" ca="1" si="9"/>
        <v>#VALUE!</v>
      </c>
      <c r="K411" t="str">
        <f t="shared" ca="1" si="6"/>
        <v xml:space="preserve">Rocha, L. e Gouveia, L. </v>
      </c>
      <c r="L411" t="str">
        <f t="shared" ca="1" si="7"/>
        <v xml:space="preserve">Quental, C. </v>
      </c>
    </row>
    <row r="412" spans="1:13" ht="15.75" customHeight="1">
      <c r="A412">
        <f ca="1">IFERROR(__xludf.DUMMYFUNCTION("""COMPUTED_VALUE"""),134)</f>
        <v>134</v>
      </c>
      <c r="B412" t="str">
        <f ca="1">IFERROR(__xludf.DUMMYFUNCTION("""COMPUTED_VALUE"""),"Cordeiro, I.; Gouveia, L. e Cardoso, P. (2017). A atração dos consumidores 
para o comércio tradicional num contexto digital: requisitos e expetativas. 
Dias da Investigação na UFP. 11 a 14 de Julho. Universidade Fernando Pessoa.
[ handle ]")</f>
        <v>Cordeiro, I.; Gouveia, L. e Cardoso, P. (2017). A atração dos consumidores 
para o comércio tradicional num contexto digital: requisitos e expetativas. 
Dias da Investigação na UFP. 11 a 14 de Julho. Universidade Fernando Pessoa.
[ handle ]</v>
      </c>
      <c r="C412" s="2">
        <f t="shared" ca="1" si="0"/>
        <v>41</v>
      </c>
      <c r="D412" t="str">
        <f t="shared" ca="1" si="8"/>
        <v xml:space="preserve">Cordeiro, I.; Gouveia, L. e Cardoso, P. </v>
      </c>
      <c r="E412" t="str">
        <f t="shared" ca="1" si="1"/>
        <v>2017</v>
      </c>
      <c r="F412" t="str">
        <f t="shared" ca="1" si="2"/>
        <v xml:space="preserve"> A atração dos consumidores 
para o comércio tradicional num contexto digital: requisitos e expetativas. </v>
      </c>
      <c r="G412" s="3">
        <f t="shared" ca="1" si="3"/>
        <v>46</v>
      </c>
      <c r="H412" s="2">
        <f t="shared" ca="1" si="4"/>
        <v>151</v>
      </c>
      <c r="I412" t="e">
        <f t="shared" ca="1" si="5"/>
        <v>#VALUE!</v>
      </c>
      <c r="J412" s="3" t="e">
        <f t="shared" ca="1" si="9"/>
        <v>#VALUE!</v>
      </c>
      <c r="K412" t="str">
        <f t="shared" ca="1" si="6"/>
        <v xml:space="preserve">Cordeiro, I.; Gouveia, L. e Cardoso, P. </v>
      </c>
      <c r="L412" t="str">
        <f t="shared" ca="1" si="7"/>
        <v xml:space="preserve">Quental, C. </v>
      </c>
      <c r="M412" t="str">
        <f ca="1">IFERROR(__xludf.DUMMYFUNCTION("""COMPUTED_VALUE""")," Gouveia, L. e Cardoso, P. ")</f>
        <v xml:space="preserve"> Gouveia, L. e Cardoso, P. </v>
      </c>
    </row>
    <row r="413" spans="1:13" ht="15.75" customHeight="1">
      <c r="A413">
        <f ca="1">IFERROR(__xludf.DUMMYFUNCTION("""COMPUTED_VALUE"""),133)</f>
        <v>133</v>
      </c>
      <c r="B413" t="str">
        <f ca="1">IFERROR(__xludf.DUMMYFUNCTION("""COMPUTED_VALUE"""),"Ramada, O. e Gouveia, L. (2017). Proposta de uma abordagem para a 
(re)qualificação dinâmica do capital intelectual. Dias da Investigação na 
UFP. 11 a 14 de Julho. Universidade Fernando Pessoa.
[ handle ]")</f>
        <v>Ramada, O. e Gouveia, L. (2017). Proposta de uma abordagem para a 
(re)qualificação dinâmica do capital intelectual. Dias da Investigação na 
UFP. 11 a 14 de Julho. Universidade Fernando Pessoa.
[ handle ]</v>
      </c>
      <c r="C413" s="2">
        <f t="shared" ca="1" si="0"/>
        <v>26</v>
      </c>
      <c r="D413" t="str">
        <f t="shared" ca="1" si="8"/>
        <v xml:space="preserve">Ramada, O. e Gouveia, L. </v>
      </c>
      <c r="E413" t="str">
        <f t="shared" ca="1" si="1"/>
        <v>2017</v>
      </c>
      <c r="F413" t="str">
        <f t="shared" ca="1" si="2"/>
        <v xml:space="preserve"> Proposta de uma abordagem para a 
(re)qualificação dinâmica do capital intelectual. </v>
      </c>
      <c r="G413" s="3">
        <f t="shared" ca="1" si="3"/>
        <v>31</v>
      </c>
      <c r="H413" s="2">
        <f t="shared" ca="1" si="4"/>
        <v>116</v>
      </c>
      <c r="I413" t="e">
        <f t="shared" ca="1" si="5"/>
        <v>#VALUE!</v>
      </c>
      <c r="J413" s="3" t="e">
        <f t="shared" ca="1" si="9"/>
        <v>#VALUE!</v>
      </c>
      <c r="K413" t="str">
        <f t="shared" ca="1" si="6"/>
        <v xml:space="preserve">Ramada, O. e Gouveia, L. </v>
      </c>
      <c r="L413" t="str">
        <f t="shared" ca="1" si="7"/>
        <v xml:space="preserve">Quental, C. </v>
      </c>
    </row>
    <row r="414" spans="1:13" ht="15.75" customHeight="1">
      <c r="A414">
        <f ca="1">IFERROR(__xludf.DUMMYFUNCTION("""COMPUTED_VALUE"""),132)</f>
        <v>132</v>
      </c>
      <c r="B414" t="str">
        <f ca="1">IFERROR(__xludf.DUMMYFUNCTION("""COMPUTED_VALUE"""),"Biltes, N. e Gouveia, L. (2017). Comportamento organizacional: proposta de 
um questionário para estudo do impacto dos incentivos comunitários às 
empresas. O caso das microempresas. Dias da Investigação na UFP. 11 a 14 de 
Julho. Universidade Fernando Pe"&amp;"ssoa.
[ handle ]")</f>
        <v>Biltes, N. e Gouveia, L. (2017). Comportamento organizacional: proposta de 
um questionário para estudo do impacto dos incentivos comunitários às 
empresas. O caso das microempresas. Dias da Investigação na UFP. 11 a 14 de 
Julho. Universidade Fernando Pessoa.
[ handle ]</v>
      </c>
      <c r="C414" s="2">
        <f t="shared" ca="1" si="0"/>
        <v>26</v>
      </c>
      <c r="D414" t="str">
        <f t="shared" ca="1" si="8"/>
        <v xml:space="preserve">Biltes, N. e Gouveia, L. </v>
      </c>
      <c r="E414" t="str">
        <f t="shared" ca="1" si="1"/>
        <v>2017</v>
      </c>
      <c r="F414" t="str">
        <f t="shared" ca="1" si="2"/>
        <v xml:space="preserve"> Comportamento organizacional: proposta de 
um questionário para estudo do impacto dos incentivos comunitários às 
empresas. </v>
      </c>
      <c r="G414" s="3">
        <f t="shared" ca="1" si="3"/>
        <v>31</v>
      </c>
      <c r="H414" s="2">
        <f t="shared" ca="1" si="4"/>
        <v>156</v>
      </c>
      <c r="I414" t="e">
        <f t="shared" ca="1" si="5"/>
        <v>#VALUE!</v>
      </c>
      <c r="J414" s="3" t="e">
        <f t="shared" ca="1" si="9"/>
        <v>#VALUE!</v>
      </c>
      <c r="K414" t="str">
        <f t="shared" ca="1" si="6"/>
        <v xml:space="preserve">Biltes, N. e Gouveia, L. </v>
      </c>
      <c r="L414" t="str">
        <f t="shared" ca="1" si="7"/>
        <v xml:space="preserve">Quental, C. </v>
      </c>
    </row>
    <row r="415" spans="1:13" ht="15.75" customHeight="1">
      <c r="A415">
        <f ca="1">IFERROR(__xludf.DUMMYFUNCTION("""COMPUTED_VALUE"""),131)</f>
        <v>131</v>
      </c>
      <c r="B415" t="str">
        <f ca="1">IFERROR(__xludf.DUMMYFUNCTION("""COMPUTED_VALUE"""),"Silva, C. e Gouveia, L. (2017). Transparência, ‘e-government’ e segurança 
da informação: uma contribuição para a sua discussão no contexto do poder 
público. Dias da Investigação na UFP. 11 a 14 de Julho. Universidade 
Fernando Pessoa.
[ handle ]")</f>
        <v>Silva, C. e Gouveia, L. (2017). Transparência, ‘e-government’ e segurança 
da informação: uma contribuição para a sua discussão no contexto do poder 
público. Dias da Investigação na UFP. 11 a 14 de Julho. Universidade 
Fernando Pessoa.
[ handle ]</v>
      </c>
      <c r="C415" s="2">
        <f t="shared" ca="1" si="0"/>
        <v>25</v>
      </c>
      <c r="D415" t="str">
        <f t="shared" ca="1" si="8"/>
        <v xml:space="preserve">Silva, C. e Gouveia, L. </v>
      </c>
      <c r="E415" t="str">
        <f t="shared" ca="1" si="1"/>
        <v>2017</v>
      </c>
      <c r="F415" t="str">
        <f t="shared" ca="1" si="2"/>
        <v xml:space="preserve"> Transparência, ‘e-government’ e segurança 
da informação: uma contribuição para a sua discussão no contexto do poder 
público. </v>
      </c>
      <c r="G415" s="3">
        <f t="shared" ca="1" si="3"/>
        <v>30</v>
      </c>
      <c r="H415" s="2">
        <f t="shared" ca="1" si="4"/>
        <v>158</v>
      </c>
      <c r="I415" t="e">
        <f t="shared" ca="1" si="5"/>
        <v>#VALUE!</v>
      </c>
      <c r="J415" s="3" t="e">
        <f t="shared" ca="1" si="9"/>
        <v>#VALUE!</v>
      </c>
      <c r="K415" t="str">
        <f t="shared" ca="1" si="6"/>
        <v xml:space="preserve">Silva, C. e Gouveia, L. </v>
      </c>
      <c r="L415" t="str">
        <f t="shared" ca="1" si="7"/>
        <v xml:space="preserve">Quental, C. </v>
      </c>
    </row>
    <row r="416" spans="1:13" ht="15.75" customHeight="1">
      <c r="A416">
        <f ca="1">IFERROR(__xludf.DUMMYFUNCTION("""COMPUTED_VALUE"""),130)</f>
        <v>130</v>
      </c>
      <c r="B416" t="str">
        <f ca="1">IFERROR(__xludf.DUMMYFUNCTION("""COMPUTED_VALUE"""),"Salimo, G. e Gouveia, L. (2017). Dados preliminares sobre o nível de 
utilização e importâncias das TIC no ensino superior em Moçambique para o 
grupo alunos. Dias da Investigação na UFP. 11 a 14 de Julho. Universidade 
Fernando Pessoa.
[ handle ]")</f>
        <v>Salimo, G. e Gouveia, L. (2017). Dados preliminares sobre o nível de 
utilização e importâncias das TIC no ensino superior em Moçambique para o 
grupo alunos. Dias da Investigação na UFP. 11 a 14 de Julho. Universidade 
Fernando Pessoa.
[ handle ]</v>
      </c>
      <c r="C416" s="2">
        <f t="shared" ca="1" si="0"/>
        <v>26</v>
      </c>
      <c r="D416" t="str">
        <f t="shared" ca="1" si="8"/>
        <v xml:space="preserve">Salimo, G. e Gouveia, L. </v>
      </c>
      <c r="E416" t="str">
        <f t="shared" ca="1" si="1"/>
        <v>2017</v>
      </c>
      <c r="F416" t="str">
        <f t="shared" ca="1" si="2"/>
        <v xml:space="preserve"> Dados preliminares sobre o nível de 
utilização e importâncias das TIC no ensino superior em Moçambique para o 
grupo alunos. </v>
      </c>
      <c r="G416" s="3">
        <f t="shared" ca="1" si="3"/>
        <v>31</v>
      </c>
      <c r="H416" s="2">
        <f t="shared" ca="1" si="4"/>
        <v>158</v>
      </c>
      <c r="I416" t="e">
        <f t="shared" ca="1" si="5"/>
        <v>#VALUE!</v>
      </c>
      <c r="J416" s="3" t="e">
        <f t="shared" ca="1" si="9"/>
        <v>#VALUE!</v>
      </c>
      <c r="K416" t="str">
        <f t="shared" ca="1" si="6"/>
        <v xml:space="preserve">Salimo, G. e Gouveia, L. </v>
      </c>
      <c r="L416" t="str">
        <f t="shared" ca="1" si="7"/>
        <v xml:space="preserve">Quental, C. </v>
      </c>
    </row>
    <row r="417" spans="1:13" ht="15.75" customHeight="1">
      <c r="A417">
        <f ca="1">IFERROR(__xludf.DUMMYFUNCTION("""COMPUTED_VALUE"""),129)</f>
        <v>129</v>
      </c>
      <c r="B417" t="str">
        <f ca="1">IFERROR(__xludf.DUMMYFUNCTION("""COMPUTED_VALUE"""),"Nogueira, D. e Gouveia, L. (2017). Estudo preliminar sobre competências nas 
redes digitais como estratégia de fortalecimento da Rede Nacional de 
Escolas de Governo do Brasil. Dias da Investigação na UFP. 11 a 14 de 
Julho. Universidade Fernando Pessoa.
"&amp;"[ handle ]")</f>
        <v>Nogueira, D. e Gouveia, L. (2017). Estudo preliminar sobre competências nas 
redes digitais como estratégia de fortalecimento da Rede Nacional de 
Escolas de Governo do Brasil. Dias da Investigação na UFP. 11 a 14 de 
Julho. Universidade Fernando Pessoa.
[ handle ]</v>
      </c>
      <c r="C417" s="2">
        <f t="shared" ca="1" si="0"/>
        <v>28</v>
      </c>
      <c r="D417" t="str">
        <f t="shared" ca="1" si="8"/>
        <v xml:space="preserve">Nogueira, D. e Gouveia, L. </v>
      </c>
      <c r="E417" t="str">
        <f t="shared" ca="1" si="1"/>
        <v>2017</v>
      </c>
      <c r="F417" t="str">
        <f t="shared" ca="1" si="2"/>
        <v xml:space="preserve"> Estudo preliminar sobre competências nas 
redes digitais como estratégia de fortalecimento da Rede Nacional de 
Escolas de Governo do Brasil. </v>
      </c>
      <c r="G417" s="3">
        <f t="shared" ca="1" si="3"/>
        <v>33</v>
      </c>
      <c r="H417" s="2">
        <f t="shared" ca="1" si="4"/>
        <v>176</v>
      </c>
      <c r="I417" t="e">
        <f t="shared" ca="1" si="5"/>
        <v>#VALUE!</v>
      </c>
      <c r="J417" s="3" t="e">
        <f t="shared" ca="1" si="9"/>
        <v>#VALUE!</v>
      </c>
      <c r="K417" t="str">
        <f t="shared" ca="1" si="6"/>
        <v xml:space="preserve">Nogueira, D. e Gouveia, L. </v>
      </c>
      <c r="L417" t="str">
        <f t="shared" ca="1" si="7"/>
        <v xml:space="preserve">Quental, C. </v>
      </c>
    </row>
    <row r="418" spans="1:13" ht="15.75" customHeight="1">
      <c r="A418">
        <f ca="1">IFERROR(__xludf.DUMMYFUNCTION("""COMPUTED_VALUE"""),128)</f>
        <v>128</v>
      </c>
      <c r="B418" t="str">
        <f ca="1">IFERROR(__xludf.DUMMYFUNCTION("""COMPUTED_VALUE"""),"Albuquerque, R. e Gouveia, L. (2017). Uso de modelos matemáticos 
interpretados em plataforma digital como estratégia para o ensino e 
aprendizagem da matemática. Dias da Investigação na UFP. 11 a 14 de Julho. 
Universidade Fernando Pessoa.
[ handle ]")</f>
        <v>Albuquerque, R. e Gouveia, L. (2017). Uso de modelos matemáticos 
interpretados em plataforma digital como estratégia para o ensino e 
aprendizagem da matemática. Dias da Investigação na UFP. 11 a 14 de Julho. 
Universidade Fernando Pessoa.
[ handle ]</v>
      </c>
      <c r="C418" s="2">
        <f t="shared" ca="1" si="0"/>
        <v>31</v>
      </c>
      <c r="D418" t="str">
        <f t="shared" ca="1" si="8"/>
        <v xml:space="preserve">Albuquerque, R. e Gouveia, L. </v>
      </c>
      <c r="E418" t="str">
        <f t="shared" ca="1" si="1"/>
        <v>2017</v>
      </c>
      <c r="F418" t="str">
        <f t="shared" ca="1" si="2"/>
        <v xml:space="preserve"> Uso de modelos matemáticos 
interpretados em plataforma digital como estratégia para o ensino e 
aprendizagem da matemática. </v>
      </c>
      <c r="G418" s="3">
        <f t="shared" ca="1" si="3"/>
        <v>36</v>
      </c>
      <c r="H418" s="2">
        <f t="shared" ca="1" si="4"/>
        <v>162</v>
      </c>
      <c r="I418" t="e">
        <f t="shared" ca="1" si="5"/>
        <v>#VALUE!</v>
      </c>
      <c r="J418" s="3" t="e">
        <f t="shared" ca="1" si="9"/>
        <v>#VALUE!</v>
      </c>
      <c r="K418" t="str">
        <f t="shared" ca="1" si="6"/>
        <v xml:space="preserve">Albuquerque, R. e Gouveia, L. </v>
      </c>
      <c r="L418" t="str">
        <f t="shared" ca="1" si="7"/>
        <v xml:space="preserve">Quental, C. </v>
      </c>
    </row>
    <row r="419" spans="1:13" ht="15.75" customHeight="1">
      <c r="A419">
        <f ca="1">IFERROR(__xludf.DUMMYFUNCTION("""COMPUTED_VALUE"""),127)</f>
        <v>127</v>
      </c>
      <c r="B419" t="str">
        <f ca="1">IFERROR(__xludf.DUMMYFUNCTION("""COMPUTED_VALUE"""),"Robalo, A. e Gouveia, L. (2017). A introdução das TIC em sala de aula no 
ensino primário: formação de professores na província do Huambo para o 
projeto «Meu Kamba. Dias da Investigação na UFP. 11 a 14 de Julho. 
Universidade Fernando Pessoa.
[ handle ]")</f>
        <v>Robalo, A. e Gouveia, L. (2017). A introdução das TIC em sala de aula no 
ensino primário: formação de professores na província do Huambo para o 
projeto «Meu Kamba. Dias da Investigação na UFP. 11 a 14 de Julho. 
Universidade Fernando Pessoa.
[ handle ]</v>
      </c>
      <c r="C419" s="2">
        <f t="shared" ca="1" si="0"/>
        <v>26</v>
      </c>
      <c r="D419" t="str">
        <f t="shared" ca="1" si="8"/>
        <v xml:space="preserve">Robalo, A. e Gouveia, L. </v>
      </c>
      <c r="E419" t="str">
        <f t="shared" ca="1" si="1"/>
        <v>2017</v>
      </c>
      <c r="F419" t="str">
        <f t="shared" ca="1" si="2"/>
        <v xml:space="preserve"> A introdução das TIC em sala de aula no 
ensino primário: formação de professores na província do Huambo para o 
projeto «Meu Kamba. </v>
      </c>
      <c r="G419" s="3">
        <f t="shared" ca="1" si="3"/>
        <v>31</v>
      </c>
      <c r="H419" s="2">
        <f t="shared" ca="1" si="4"/>
        <v>165</v>
      </c>
      <c r="I419" t="e">
        <f t="shared" ca="1" si="5"/>
        <v>#VALUE!</v>
      </c>
      <c r="J419" s="3" t="e">
        <f t="shared" ca="1" si="9"/>
        <v>#VALUE!</v>
      </c>
      <c r="K419" t="str">
        <f t="shared" ca="1" si="6"/>
        <v xml:space="preserve">Robalo, A. e Gouveia, L. </v>
      </c>
      <c r="L419" t="str">
        <f t="shared" ca="1" si="7"/>
        <v xml:space="preserve">Quental, C. </v>
      </c>
    </row>
    <row r="420" spans="1:13" ht="15.75" customHeight="1">
      <c r="A420">
        <f ca="1">IFERROR(__xludf.DUMMYFUNCTION("""COMPUTED_VALUE"""),126)</f>
        <v>126</v>
      </c>
      <c r="B420" t="str">
        <f ca="1">IFERROR(__xludf.DUMMYFUNCTION("""COMPUTED_VALUE"""),"Araújo, A. e Gouveia, L. (2017). O digital nas instituições de ensino 
superior: um diagnóstico sobre a perceção dos gestores e da comunidade 
académica do CESUPA. Dias da Investigação na UFP. 11 a 14 de Julho. 
Universidade Fernando Pessoa.
[ handle ]")</f>
        <v>Araújo, A. e Gouveia, L. (2017). O digital nas instituições de ensino 
superior: um diagnóstico sobre a perceção dos gestores e da comunidade 
académica do CESUPA. Dias da Investigação na UFP. 11 a 14 de Julho. 
Universidade Fernando Pessoa.
[ handle ]</v>
      </c>
      <c r="C420" s="2">
        <f t="shared" ca="1" si="0"/>
        <v>26</v>
      </c>
      <c r="D420" t="str">
        <f t="shared" ca="1" si="8"/>
        <v xml:space="preserve">Araújo, A. e Gouveia, L. </v>
      </c>
      <c r="E420" t="str">
        <f t="shared" ca="1" si="1"/>
        <v>2017</v>
      </c>
      <c r="F420" t="str">
        <f t="shared" ca="1" si="2"/>
        <v xml:space="preserve"> O digital nas instituições de ensino 
superior: um diagnóstico sobre a perceção dos gestores e da comunidade 
académica do CESUPA. </v>
      </c>
      <c r="G420" s="3">
        <f t="shared" ca="1" si="3"/>
        <v>31</v>
      </c>
      <c r="H420" s="2">
        <f t="shared" ca="1" si="4"/>
        <v>163</v>
      </c>
      <c r="I420" t="e">
        <f t="shared" ca="1" si="5"/>
        <v>#VALUE!</v>
      </c>
      <c r="J420" s="3" t="e">
        <f t="shared" ca="1" si="9"/>
        <v>#VALUE!</v>
      </c>
      <c r="K420" t="str">
        <f t="shared" ca="1" si="6"/>
        <v xml:space="preserve">Araújo, A. e Gouveia, L. </v>
      </c>
      <c r="L420" t="str">
        <f t="shared" ca="1" si="7"/>
        <v xml:space="preserve">Quental, C. </v>
      </c>
    </row>
    <row r="421" spans="1:13" ht="15.75" customHeight="1">
      <c r="A421">
        <f ca="1">IFERROR(__xludf.DUMMYFUNCTION("""COMPUTED_VALUE"""),125)</f>
        <v>125</v>
      </c>
      <c r="B421" t="str">
        <f ca="1">IFERROR(__xludf.DUMMYFUNCTION("""COMPUTED_VALUE"""),"Lourenço, M.; Rurato, P. e Gouveia, L. (2017). Reaprendizagem do professor 
do ensino superior face ao triângulo educação, tecnologia e aprendizagem 
EaD. Dias da Investigação na UFP. 11 a 14 de Julho. Universidade Fernando 
Pessoa.
[ handle ]")</f>
        <v>Lourenço, M.; Rurato, P. e Gouveia, L. (2017). Reaprendizagem do professor 
do ensino superior face ao triângulo educação, tecnologia e aprendizagem 
EaD. Dias da Investigação na UFP. 11 a 14 de Julho. Universidade Fernando 
Pessoa.
[ handle ]</v>
      </c>
      <c r="C421" s="2">
        <f t="shared" ca="1" si="0"/>
        <v>40</v>
      </c>
      <c r="D421" t="str">
        <f t="shared" ca="1" si="8"/>
        <v xml:space="preserve">Lourenço, M.; Rurato, P. e Gouveia, L. </v>
      </c>
      <c r="E421" t="str">
        <f t="shared" ca="1" si="1"/>
        <v>2017</v>
      </c>
      <c r="F421" t="str">
        <f t="shared" ca="1" si="2"/>
        <v xml:space="preserve"> Reaprendizagem do professor 
do ensino superior face ao triângulo educação, tecnologia e aprendizagem 
EaD. </v>
      </c>
      <c r="G421" s="3">
        <f t="shared" ca="1" si="3"/>
        <v>45</v>
      </c>
      <c r="H421" s="2">
        <f t="shared" ca="1" si="4"/>
        <v>154</v>
      </c>
      <c r="I421" t="e">
        <f t="shared" ca="1" si="5"/>
        <v>#VALUE!</v>
      </c>
      <c r="J421" s="3" t="e">
        <f t="shared" ca="1" si="9"/>
        <v>#VALUE!</v>
      </c>
      <c r="K421" t="str">
        <f t="shared" ca="1" si="6"/>
        <v xml:space="preserve">Lourenço, M.; Rurato, P. e Gouveia, L. </v>
      </c>
      <c r="L421" t="str">
        <f t="shared" ca="1" si="7"/>
        <v xml:space="preserve">Quental, C. </v>
      </c>
      <c r="M421" t="str">
        <f ca="1">IFERROR(__xludf.DUMMYFUNCTION("""COMPUTED_VALUE""")," Rurato, P. e Gouveia, L. ")</f>
        <v xml:space="preserve"> Rurato, P. e Gouveia, L. </v>
      </c>
    </row>
    <row r="422" spans="1:13" ht="15.75" customHeight="1">
      <c r="A422">
        <f ca="1">IFERROR(__xludf.DUMMYFUNCTION("""COMPUTED_VALUE"""),124)</f>
        <v>124</v>
      </c>
      <c r="B422" t="str">
        <f ca="1">IFERROR(__xludf.DUMMYFUNCTION("""COMPUTED_VALUE"""),"Cavalcante, A. e Gouveia, L. (2017). A influência do digital para a imagem 
do turismo no nordeste brasileiro. Dias da Investigação na UFP. 11 a 14 de 
Julho. Universidade Fernando Pessoa.
[ handle ]")</f>
        <v>Cavalcante, A. e Gouveia, L. (2017). A influência do digital para a imagem 
do turismo no nordeste brasileiro. Dias da Investigação na UFP. 11 a 14 de 
Julho. Universidade Fernando Pessoa.
[ handle ]</v>
      </c>
      <c r="C422" s="2">
        <f t="shared" ca="1" si="0"/>
        <v>30</v>
      </c>
      <c r="D422" t="str">
        <f t="shared" ca="1" si="8"/>
        <v xml:space="preserve">Cavalcante, A. e Gouveia, L. </v>
      </c>
      <c r="E422" t="str">
        <f t="shared" ca="1" si="1"/>
        <v>2017</v>
      </c>
      <c r="F422" t="str">
        <f t="shared" ca="1" si="2"/>
        <v xml:space="preserve"> A influência do digital para a imagem 
do turismo no nordeste brasileiro. </v>
      </c>
      <c r="G422" s="3">
        <f t="shared" ca="1" si="3"/>
        <v>35</v>
      </c>
      <c r="H422" s="2">
        <f t="shared" ca="1" si="4"/>
        <v>110</v>
      </c>
      <c r="I422" t="e">
        <f t="shared" ca="1" si="5"/>
        <v>#VALUE!</v>
      </c>
      <c r="J422" s="3" t="e">
        <f t="shared" ca="1" si="9"/>
        <v>#VALUE!</v>
      </c>
      <c r="K422" t="str">
        <f t="shared" ca="1" si="6"/>
        <v xml:space="preserve">Cavalcante, A. e Gouveia, L. </v>
      </c>
      <c r="L422" t="str">
        <f t="shared" ca="1" si="7"/>
        <v xml:space="preserve">Quental, C. </v>
      </c>
    </row>
    <row r="423" spans="1:13" ht="15.75" customHeight="1">
      <c r="A423">
        <f ca="1">IFERROR(__xludf.DUMMYFUNCTION("""COMPUTED_VALUE"""),123)</f>
        <v>123</v>
      </c>
      <c r="B423" t="str">
        <f ca="1">IFERROR(__xludf.DUMMYFUNCTION("""COMPUTED_VALUE"""),"Gouveia, L. (2017). *Cultura Digital: usar e explorar dados e informação em 
2017.* I Encontro Formativo. Diretores, Pedagogos, Professores, Secretários 
e Técnicos. Auditório da Prefeitura. Betim, Minas Gerais, Brasil. 17 de 
Maio.
[ handle ]")</f>
        <v>Gouveia, L. (2017). *Cultura Digital: usar e explorar dados e informação em 
2017.* I Encontro Formativo. Diretores, Pedagogos, Professores, Secretários 
e Técnicos. Auditório da Prefeitura. Betim, Minas Gerais, Brasil. 17 de 
Maio.
[ handle ]</v>
      </c>
      <c r="C423" s="2">
        <f t="shared" ca="1" si="0"/>
        <v>13</v>
      </c>
      <c r="D423" t="str">
        <f t="shared" ca="1" si="8"/>
        <v xml:space="preserve">Gouveia, L. </v>
      </c>
      <c r="E423" t="str">
        <f t="shared" ca="1" si="1"/>
        <v>2017</v>
      </c>
      <c r="F423" t="str">
        <f t="shared" ca="1" si="2"/>
        <v xml:space="preserve"> *Cultura Digital: usar e explorar dados e informação em 
2017.*</v>
      </c>
      <c r="G423" s="3">
        <f t="shared" ca="1" si="3"/>
        <v>18</v>
      </c>
      <c r="H423" s="2">
        <f t="shared" ca="1" si="4"/>
        <v>82</v>
      </c>
      <c r="I423" t="e">
        <f t="shared" ca="1" si="5"/>
        <v>#VALUE!</v>
      </c>
      <c r="J423" s="3" t="e">
        <f t="shared" ca="1" si="9"/>
        <v>#VALUE!</v>
      </c>
      <c r="K423" t="str">
        <f t="shared" ca="1" si="6"/>
        <v xml:space="preserve">Gouveia, L. </v>
      </c>
      <c r="L423" t="str">
        <f t="shared" ca="1" si="7"/>
        <v xml:space="preserve">Quental, C. </v>
      </c>
    </row>
    <row r="424" spans="1:13" ht="15.75" customHeight="1">
      <c r="A424">
        <f ca="1">IFERROR(__xludf.DUMMYFUNCTION("""COMPUTED_VALUE"""),122)</f>
        <v>122</v>
      </c>
      <c r="B424" t="str">
        <f ca="1">IFERROR(__xludf.DUMMYFUNCTION("""COMPUTED_VALUE"""),"Gouveia, L. (2017). *A linguagem R: um ambiente para explorar dados e 
aprender com eles*. Hello World Conference. 3 de Maio. Universidade 
Fernando Pessoa.
[ handle ]")</f>
        <v>Gouveia, L. (2017). *A linguagem R: um ambiente para explorar dados e 
aprender com eles*. Hello World Conference. 3 de Maio. Universidade 
Fernando Pessoa.
[ handle ]</v>
      </c>
      <c r="C424" s="2">
        <f t="shared" ca="1" si="0"/>
        <v>13</v>
      </c>
      <c r="D424" t="str">
        <f t="shared" ca="1" si="8"/>
        <v xml:space="preserve">Gouveia, L. </v>
      </c>
      <c r="E424" t="str">
        <f t="shared" ca="1" si="1"/>
        <v>2017</v>
      </c>
      <c r="F424" t="str">
        <f t="shared" ca="1" si="2"/>
        <v xml:space="preserve"> *A linguagem R: um ambiente para explorar dados e 
aprender com eles*. </v>
      </c>
      <c r="G424" s="3">
        <f t="shared" ca="1" si="3"/>
        <v>18</v>
      </c>
      <c r="H424" s="2">
        <f t="shared" ca="1" si="4"/>
        <v>90</v>
      </c>
      <c r="I424" t="e">
        <f t="shared" ca="1" si="5"/>
        <v>#VALUE!</v>
      </c>
      <c r="J424" s="3" t="e">
        <f t="shared" ca="1" si="9"/>
        <v>#VALUE!</v>
      </c>
      <c r="K424" t="str">
        <f t="shared" ca="1" si="6"/>
        <v xml:space="preserve">Gouveia, L. </v>
      </c>
      <c r="L424" t="str">
        <f t="shared" ca="1" si="7"/>
        <v xml:space="preserve">Quental, C. </v>
      </c>
    </row>
    <row r="425" spans="1:13" ht="15.75" customHeight="1">
      <c r="A425">
        <f ca="1">IFERROR(__xludf.DUMMYFUNCTION("""COMPUTED_VALUE"""),121)</f>
        <v>121</v>
      </c>
      <c r="B425" t="str">
        <f ca="1">IFERROR(__xludf.DUMMYFUNCTION("""COMPUTED_VALUE"""),"Gouveia, L. (2017). Digital para que te quero... Turismo e Património 
Cultural: Inovação e Tecnologia. Estado da Arte. Casa das Artes. Porto. 30 
de Março. PPorto.pt e VerdeNovo.  
[ handle ]")</f>
        <v>Gouveia, L. (2017). Digital para que te quero... Turismo e Património 
Cultural: Inovação e Tecnologia. Estado da Arte. Casa das Artes. Porto. 30 
de Março. PPorto.pt e VerdeNovo.  
[ handle ]</v>
      </c>
      <c r="C425" s="2">
        <f t="shared" ca="1" si="0"/>
        <v>13</v>
      </c>
      <c r="D425" t="str">
        <f t="shared" ca="1" si="8"/>
        <v xml:space="preserve">Gouveia, L. </v>
      </c>
      <c r="E425" t="str">
        <f t="shared" ca="1" si="1"/>
        <v>2017</v>
      </c>
      <c r="F425" t="str">
        <f t="shared" ca="1" si="2"/>
        <v xml:space="preserve"> Digital para que te quero..</v>
      </c>
      <c r="G425" s="3">
        <f t="shared" ca="1" si="3"/>
        <v>18</v>
      </c>
      <c r="H425" s="2">
        <f t="shared" ca="1" si="4"/>
        <v>46</v>
      </c>
      <c r="I425" t="e">
        <f t="shared" ca="1" si="5"/>
        <v>#VALUE!</v>
      </c>
      <c r="J425" s="3" t="e">
        <f t="shared" ca="1" si="9"/>
        <v>#VALUE!</v>
      </c>
      <c r="K425" t="str">
        <f t="shared" ca="1" si="6"/>
        <v xml:space="preserve">Gouveia, L. </v>
      </c>
      <c r="L425" t="str">
        <f t="shared" ca="1" si="7"/>
        <v xml:space="preserve">Quental, C. </v>
      </c>
    </row>
    <row r="426" spans="1:13" ht="15.75" customHeight="1">
      <c r="A426">
        <f ca="1">IFERROR(__xludf.DUMMYFUNCTION("""COMPUTED_VALUE"""),120)</f>
        <v>120</v>
      </c>
      <c r="B426" t="str">
        <f ca="1">IFERROR(__xludf.DUMMYFUNCTION("""COMPUTED_VALUE"""),"Gouveia, L. (2017).  O Digital e as Pessoas como Nova Tecnologia. Painel 
Cidadania, Democracia e Governação Eletrónica. Curso de Cibersegurança e 
Gestão de Crises do Ciberespaço. (4ª edição). IDN, Instituto de Defesa 
Nacional. 20 de Março. Lisboa. 
[ h"&amp;"andle ]")</f>
        <v>Gouveia, L. (2017).  O Digital e as Pessoas como Nova Tecnologia. Painel 
Cidadania, Democracia e Governação Eletrónica. Curso de Cibersegurança e 
Gestão de Crises do Ciberespaço. (4ª edição). IDN, Instituto de Defesa 
Nacional. 20 de Março. Lisboa. 
[ handle ]</v>
      </c>
      <c r="C426" s="2">
        <f t="shared" ca="1" si="0"/>
        <v>13</v>
      </c>
      <c r="D426" t="str">
        <f t="shared" ca="1" si="8"/>
        <v xml:space="preserve">Gouveia, L. </v>
      </c>
      <c r="E426" t="str">
        <f t="shared" ca="1" si="1"/>
        <v>2017</v>
      </c>
      <c r="F426" t="str">
        <f t="shared" ca="1" si="2"/>
        <v xml:space="preserve">  O Digital e as Pessoas como Nova Tecnologia. </v>
      </c>
      <c r="G426" s="3">
        <f t="shared" ca="1" si="3"/>
        <v>18</v>
      </c>
      <c r="H426" s="2">
        <f t="shared" ca="1" si="4"/>
        <v>65</v>
      </c>
      <c r="I426" t="str">
        <f t="shared" ca="1" si="5"/>
        <v>Painel 
Cidadania, Democracia e Governação Eletrónica. Curso de Cibersegurança e 
Gestão de Crises do Ciberespaço. (4ª edição).</v>
      </c>
      <c r="J426" s="3">
        <f t="shared" ca="1" si="9"/>
        <v>192</v>
      </c>
      <c r="K426" t="str">
        <f t="shared" ca="1" si="6"/>
        <v xml:space="preserve">Gouveia, L. </v>
      </c>
      <c r="L426" t="str">
        <f t="shared" ca="1" si="7"/>
        <v xml:space="preserve">Quental, C. </v>
      </c>
    </row>
    <row r="427" spans="1:13" ht="15.75" customHeight="1">
      <c r="A427">
        <f ca="1">IFERROR(__xludf.DUMMYFUNCTION("""COMPUTED_VALUE"""),119)</f>
        <v>119</v>
      </c>
      <c r="B427" t="str">
        <f ca="1">IFERROR(__xludf.DUMMYFUNCTION("""COMPUTED_VALUE"""),"Gouveia, L.  (2017). *Cooperar no contexto do digital das redes e do 
território.* Workshop Cooperar para Ganhar. Rede Colaborativa +Turismo 
+Sabor. ACISAT e ADRAT. 13 de Março. Hotel Casino. Chaves.  
[ handle ]")</f>
        <v>Gouveia, L.  (2017). *Cooperar no contexto do digital das redes e do 
território.* Workshop Cooperar para Ganhar. Rede Colaborativa +Turismo 
+Sabor. ACISAT e ADRAT. 13 de Março. Hotel Casino. Chaves.  
[ handle ]</v>
      </c>
      <c r="C427" s="2">
        <f t="shared" ca="1" si="0"/>
        <v>14</v>
      </c>
      <c r="D427" t="str">
        <f t="shared" ca="1" si="8"/>
        <v xml:space="preserve">Gouveia, L.  </v>
      </c>
      <c r="E427" t="str">
        <f t="shared" ca="1" si="1"/>
        <v>2017</v>
      </c>
      <c r="F427" t="str">
        <f t="shared" ca="1" si="2"/>
        <v xml:space="preserve"> *Cooperar no contexto do digital das redes e do 
território.*</v>
      </c>
      <c r="G427" s="3">
        <f t="shared" ca="1" si="3"/>
        <v>19</v>
      </c>
      <c r="H427" s="2">
        <f t="shared" ca="1" si="4"/>
        <v>81</v>
      </c>
      <c r="I427" t="e">
        <f t="shared" ca="1" si="5"/>
        <v>#VALUE!</v>
      </c>
      <c r="J427" s="3" t="e">
        <f t="shared" ca="1" si="9"/>
        <v>#VALUE!</v>
      </c>
      <c r="K427" t="str">
        <f t="shared" ca="1" si="6"/>
        <v xml:space="preserve">Gouveia, L.  </v>
      </c>
      <c r="L427" t="str">
        <f t="shared" ca="1" si="7"/>
        <v xml:space="preserve">Quental, C. </v>
      </c>
    </row>
    <row r="428" spans="1:13" ht="15.75" customHeight="1">
      <c r="A428">
        <f ca="1">IFERROR(__xludf.DUMMYFUNCTION("""COMPUTED_VALUE"""),118)</f>
        <v>118</v>
      </c>
      <c r="B428" t="str">
        <f ca="1">IFERROR(__xludf.DUMMYFUNCTION("""COMPUTED_VALUE"""),"Gouveia, L. (2016).  R: a alternativa ao SPSS e ao NVivo em software livre. 
*TRS Talk. University Fernando Pessoa. 7 Dezembro. 
[ handle ]")</f>
        <v>Gouveia, L. (2016).  R: a alternativa ao SPSS e ao NVivo em software livre. 
*TRS Talk. University Fernando Pessoa. 7 Dezembro. 
[ handle ]</v>
      </c>
      <c r="C428" s="2">
        <f t="shared" ca="1" si="0"/>
        <v>13</v>
      </c>
      <c r="D428" t="str">
        <f t="shared" ca="1" si="8"/>
        <v xml:space="preserve">Gouveia, L. </v>
      </c>
      <c r="E428" t="str">
        <f t="shared" ca="1" si="1"/>
        <v>2016</v>
      </c>
      <c r="F428" t="str">
        <f t="shared" ca="1" si="2"/>
        <v xml:space="preserve">  R: a alternativa ao SPSS e ao NVivo em software livre. </v>
      </c>
      <c r="G428" s="3">
        <f t="shared" ca="1" si="3"/>
        <v>18</v>
      </c>
      <c r="H428" s="2">
        <f t="shared" ca="1" si="4"/>
        <v>75</v>
      </c>
      <c r="I428" t="e">
        <f t="shared" ca="1" si="5"/>
        <v>#VALUE!</v>
      </c>
      <c r="J428" s="3" t="e">
        <f t="shared" ca="1" si="9"/>
        <v>#VALUE!</v>
      </c>
      <c r="K428" t="str">
        <f t="shared" ca="1" si="6"/>
        <v xml:space="preserve">Gouveia, L. </v>
      </c>
      <c r="L428" t="str">
        <f t="shared" ca="1" si="7"/>
        <v xml:space="preserve">Quental, C. </v>
      </c>
    </row>
    <row r="429" spans="1:13" ht="15.75" customHeight="1">
      <c r="A429">
        <f ca="1">IFERROR(__xludf.DUMMYFUNCTION("""COMPUTED_VALUE"""),117)</f>
        <v>117</v>
      </c>
      <c r="B429" t="str">
        <f ca="1">IFERROR(__xludf.DUMMYFUNCTION("""COMPUTED_VALUE"""),"Gouveia, L. (2016).  Holacracy as an alternative to organisations 
governance. *TRS Talk. Fernando Pessoa Hall. University Fernando Pessoa. 16 
November. 
[ handle ]")</f>
        <v>Gouveia, L. (2016).  Holacracy as an alternative to organisations 
governance. *TRS Talk. Fernando Pessoa Hall. University Fernando Pessoa. 16 
November. 
[ handle ]</v>
      </c>
      <c r="C429" s="2">
        <f t="shared" ca="1" si="0"/>
        <v>13</v>
      </c>
      <c r="D429" t="str">
        <f t="shared" ca="1" si="8"/>
        <v xml:space="preserve">Gouveia, L. </v>
      </c>
      <c r="E429" t="str">
        <f t="shared" ca="1" si="1"/>
        <v>2016</v>
      </c>
      <c r="F429" t="str">
        <f t="shared" ca="1" si="2"/>
        <v xml:space="preserve">  Holacracy as an alternative to organisations 
governance. </v>
      </c>
      <c r="G429" s="3">
        <f t="shared" ca="1" si="3"/>
        <v>18</v>
      </c>
      <c r="H429" s="2">
        <f t="shared" ca="1" si="4"/>
        <v>78</v>
      </c>
      <c r="I429" t="e">
        <f t="shared" ca="1" si="5"/>
        <v>#VALUE!</v>
      </c>
      <c r="J429" s="3" t="e">
        <f t="shared" ca="1" si="9"/>
        <v>#VALUE!</v>
      </c>
      <c r="K429" t="str">
        <f t="shared" ca="1" si="6"/>
        <v xml:space="preserve">Gouveia, L. </v>
      </c>
      <c r="L429" t="str">
        <f t="shared" ca="1" si="7"/>
        <v xml:space="preserve">Quental, C. </v>
      </c>
    </row>
    <row r="430" spans="1:13" ht="15.75" customHeight="1">
      <c r="A430">
        <f ca="1">IFERROR(__xludf.DUMMYFUNCTION("""COMPUTED_VALUE"""),116)</f>
        <v>116</v>
      </c>
      <c r="B430" t="str">
        <f ca="1">IFERROR(__xludf.DUMMYFUNCTION("""COMPUTED_VALUE"""),"Gouveia, L. (2016).  O digital, a sustentabilidade e a viagem do open 
source ao open data. II Jornadas de Sistemas Open Source. Associação 
Portuguesa de Bibliotecários, Arquivistas e Documentalistas (BAD). 
Universidade de Aveiro. 17 de Outubro. 
[ apre"&amp;"sentação ]")</f>
        <v>Gouveia, L. (2016).  O digital, a sustentabilidade e a viagem do open 
source ao open data. II Jornadas de Sistemas Open Source. Associação 
Portuguesa de Bibliotecários, Arquivistas e Documentalistas (BAD). 
Universidade de Aveiro. 17 de Outubro. 
[ apresentação ]</v>
      </c>
      <c r="C430" s="2">
        <f t="shared" ca="1" si="0"/>
        <v>13</v>
      </c>
      <c r="D430" t="str">
        <f t="shared" ca="1" si="8"/>
        <v xml:space="preserve">Gouveia, L. </v>
      </c>
      <c r="E430" t="str">
        <f t="shared" ca="1" si="1"/>
        <v>2016</v>
      </c>
      <c r="F430" t="str">
        <f t="shared" ca="1" si="2"/>
        <v xml:space="preserve">  O digital, a sustentabilidade e a viagem do open 
source ao open data. </v>
      </c>
      <c r="G430" s="3">
        <f t="shared" ca="1" si="3"/>
        <v>18</v>
      </c>
      <c r="H430" s="2">
        <f t="shared" ca="1" si="4"/>
        <v>91</v>
      </c>
      <c r="I430" t="str">
        <f t="shared" ca="1" si="5"/>
        <v>II Jornadas de Sistemas Open Source. Associação 
Portuguesa de Bibliotecários, Arquivistas e Documentalistas (BAD).</v>
      </c>
      <c r="J430" s="3">
        <f t="shared" ca="1" si="9"/>
        <v>206</v>
      </c>
      <c r="K430" t="str">
        <f t="shared" ca="1" si="6"/>
        <v xml:space="preserve">Gouveia, L. </v>
      </c>
      <c r="L430" t="str">
        <f t="shared" ca="1" si="7"/>
        <v xml:space="preserve">Quental, C. </v>
      </c>
    </row>
    <row r="431" spans="1:13" ht="15.75" customHeight="1">
      <c r="A431">
        <f ca="1">IFERROR(__xludf.DUMMYFUNCTION("""COMPUTED_VALUE"""),115)</f>
        <v>115</v>
      </c>
      <c r="B431" t="str">
        <f ca="1">IFERROR(__xludf.DUMMYFUNCTION("""COMPUTED_VALUE"""),"Gouveia, L. (2016). Desafios da segurança da informação: da sua cultura e 
aplicação à confidencialidade. Ciclo de Conferências Entre Arquivos. Minas 
de Sal Gema. 9 de Junho. Dia Nacional de Arquivos. Loulé.
[ handle ]")</f>
        <v>Gouveia, L. (2016). Desafios da segurança da informação: da sua cultura e 
aplicação à confidencialidade. Ciclo de Conferências Entre Arquivos. Minas 
de Sal Gema. 9 de Junho. Dia Nacional de Arquivos. Loulé.
[ handle ]</v>
      </c>
      <c r="C431" s="2">
        <f t="shared" ca="1" si="0"/>
        <v>13</v>
      </c>
      <c r="D431" t="str">
        <f t="shared" ca="1" si="8"/>
        <v xml:space="preserve">Gouveia, L. </v>
      </c>
      <c r="E431" t="str">
        <f t="shared" ca="1" si="1"/>
        <v>2016</v>
      </c>
      <c r="F431" t="str">
        <f t="shared" ca="1" si="2"/>
        <v xml:space="preserve"> Desafios da segurança da informação: da sua cultura e 
aplicação à confidencialidade. </v>
      </c>
      <c r="G431" s="3">
        <f t="shared" ca="1" si="3"/>
        <v>18</v>
      </c>
      <c r="H431" s="2">
        <f t="shared" ca="1" si="4"/>
        <v>105</v>
      </c>
      <c r="I431" t="e">
        <f t="shared" ca="1" si="5"/>
        <v>#VALUE!</v>
      </c>
      <c r="J431" s="3" t="e">
        <f t="shared" ca="1" si="9"/>
        <v>#VALUE!</v>
      </c>
      <c r="K431" t="str">
        <f t="shared" ca="1" si="6"/>
        <v xml:space="preserve">Gouveia, L. </v>
      </c>
      <c r="L431" t="str">
        <f t="shared" ca="1" si="7"/>
        <v xml:space="preserve">Quental, C. </v>
      </c>
    </row>
    <row r="432" spans="1:13" ht="15.75" customHeight="1">
      <c r="A432">
        <f ca="1">IFERROR(__xludf.DUMMYFUNCTION("""COMPUTED_VALUE"""),114)</f>
        <v>114</v>
      </c>
      <c r="B432" t="str">
        <f ca="1">IFERROR(__xludf.DUMMYFUNCTION("""COMPUTED_VALUE"""),"Gouveia, L. (2016). Uma discussão do impacte do digital (dos computadores 
aos fluxos de informação em rede). Aula Aberta. Pós Graduação em Jornalismo 
Especializado, UFP/LUSA. Auditório A1 da Universidade Fernando Pessoa. 23 
de Abril.
[ handle ]")</f>
        <v>Gouveia, L. (2016). Uma discussão do impacte do digital (dos computadores 
aos fluxos de informação em rede). Aula Aberta. Pós Graduação em Jornalismo 
Especializado, UFP/LUSA. Auditório A1 da Universidade Fernando Pessoa. 23 
de Abril.
[ handle ]</v>
      </c>
      <c r="C432" s="2">
        <f t="shared" ca="1" si="0"/>
        <v>13</v>
      </c>
      <c r="D432" t="str">
        <f t="shared" ca="1" si="8"/>
        <v xml:space="preserve">Gouveia, L. </v>
      </c>
      <c r="E432" t="str">
        <f t="shared" ca="1" si="1"/>
        <v>2016</v>
      </c>
      <c r="F432" t="str">
        <f t="shared" ca="1" si="2"/>
        <v xml:space="preserve"> Uma discussão do impacte do digital (dos computadores 
aos fluxos de informação em rede). </v>
      </c>
      <c r="G432" s="3">
        <f t="shared" ca="1" si="3"/>
        <v>18</v>
      </c>
      <c r="H432" s="2">
        <f t="shared" ca="1" si="4"/>
        <v>109</v>
      </c>
      <c r="I432" t="e">
        <f t="shared" ca="1" si="5"/>
        <v>#VALUE!</v>
      </c>
      <c r="J432" s="3" t="e">
        <f t="shared" ca="1" si="9"/>
        <v>#VALUE!</v>
      </c>
      <c r="K432" t="str">
        <f t="shared" ca="1" si="6"/>
        <v xml:space="preserve">Gouveia, L. </v>
      </c>
      <c r="L432" t="str">
        <f t="shared" ca="1" si="7"/>
        <v xml:space="preserve">Quental, C. </v>
      </c>
    </row>
    <row r="433" spans="1:13" ht="15.75" customHeight="1">
      <c r="A433">
        <f ca="1">IFERROR(__xludf.DUMMYFUNCTION("""COMPUTED_VALUE"""),113)</f>
        <v>113</v>
      </c>
      <c r="B433" t="str">
        <f ca="1">IFERROR(__xludf.DUMMYFUNCTION("""COMPUTED_VALUE"""),"Lourenço, M.; Rurato, P. e Gouveia, L. (2016). Educação, tecnologia, 
aprendizagem – exaltação à negação: a busca da relevância. Dias de 
Investigação na UFP. 9 a 11 de Março. Universidade Fernando Pessoa. Porto.
[ handle ]")</f>
        <v>Lourenço, M.; Rurato, P. e Gouveia, L. (2016). Educação, tecnologia, 
aprendizagem – exaltação à negação: a busca da relevância. Dias de 
Investigação na UFP. 9 a 11 de Março. Universidade Fernando Pessoa. Porto.
[ handle ]</v>
      </c>
      <c r="C433" s="2">
        <f t="shared" ca="1" si="0"/>
        <v>40</v>
      </c>
      <c r="D433" t="str">
        <f t="shared" ca="1" si="8"/>
        <v xml:space="preserve">Lourenço, M.; Rurato, P. e Gouveia, L. </v>
      </c>
      <c r="E433" t="str">
        <f t="shared" ca="1" si="1"/>
        <v>2016</v>
      </c>
      <c r="F433" t="str">
        <f t="shared" ca="1" si="2"/>
        <v xml:space="preserve"> Educação, tecnologia, 
aprendizagem – exaltação à negação: a busca da relevância. </v>
      </c>
      <c r="G433" s="3">
        <f t="shared" ca="1" si="3"/>
        <v>45</v>
      </c>
      <c r="H433" s="2">
        <f t="shared" ca="1" si="4"/>
        <v>128</v>
      </c>
      <c r="I433" t="e">
        <f t="shared" ca="1" si="5"/>
        <v>#VALUE!</v>
      </c>
      <c r="J433" s="3" t="e">
        <f t="shared" ca="1" si="9"/>
        <v>#VALUE!</v>
      </c>
      <c r="K433" t="str">
        <f t="shared" ca="1" si="6"/>
        <v xml:space="preserve">Lourenço, M.; Rurato, P. e Gouveia, L. </v>
      </c>
      <c r="L433" t="str">
        <f t="shared" ca="1" si="7"/>
        <v xml:space="preserve">Quental, C. </v>
      </c>
      <c r="M433" t="str">
        <f ca="1">IFERROR(__xludf.DUMMYFUNCTION("""COMPUTED_VALUE""")," Rurato, P. e Gouveia, L. ")</f>
        <v xml:space="preserve"> Rurato, P. e Gouveia, L. </v>
      </c>
    </row>
    <row r="434" spans="1:13" ht="15.75" customHeight="1">
      <c r="A434">
        <f ca="1">IFERROR(__xludf.DUMMYFUNCTION("""COMPUTED_VALUE"""),112)</f>
        <v>112</v>
      </c>
      <c r="B434" t="str">
        <f ca="1">IFERROR(__xludf.DUMMYFUNCTION("""COMPUTED_VALUE"""),"Araújo, P.; Gouveia, L. e Toldy, T. (2016). Esfera Pública Digital. Dias de 
Investigação na UFP. 9 a 11 de Março. Universidade Fernando Pessoa. Porto.
[ handle ]")</f>
        <v>Araújo, P.; Gouveia, L. e Toldy, T. (2016). Esfera Pública Digital. Dias de 
Investigação na UFP. 9 a 11 de Março. Universidade Fernando Pessoa. Porto.
[ handle ]</v>
      </c>
      <c r="C434" s="2">
        <f t="shared" ca="1" si="0"/>
        <v>37</v>
      </c>
      <c r="D434" t="str">
        <f t="shared" ca="1" si="8"/>
        <v xml:space="preserve">Araújo, P.; Gouveia, L. e Toldy, T. </v>
      </c>
      <c r="E434" t="str">
        <f t="shared" ca="1" si="1"/>
        <v>2016</v>
      </c>
      <c r="F434" t="str">
        <f t="shared" ca="1" si="2"/>
        <v xml:space="preserve"> Esfera Pública Digital. </v>
      </c>
      <c r="G434" s="3">
        <f t="shared" ca="1" si="3"/>
        <v>42</v>
      </c>
      <c r="H434" s="2">
        <f t="shared" ca="1" si="4"/>
        <v>67</v>
      </c>
      <c r="I434" t="e">
        <f t="shared" ca="1" si="5"/>
        <v>#VALUE!</v>
      </c>
      <c r="J434" s="3" t="e">
        <f t="shared" ca="1" si="9"/>
        <v>#VALUE!</v>
      </c>
      <c r="K434" t="str">
        <f t="shared" ca="1" si="6"/>
        <v xml:space="preserve">Araújo, P.; Gouveia, L. e Toldy, T. </v>
      </c>
      <c r="L434" t="str">
        <f t="shared" ca="1" si="7"/>
        <v xml:space="preserve">Quental, C. </v>
      </c>
      <c r="M434" t="str">
        <f ca="1">IFERROR(__xludf.DUMMYFUNCTION("""COMPUTED_VALUE""")," Gouveia, L. e Toldy, T. ")</f>
        <v xml:space="preserve"> Gouveia, L. e Toldy, T. </v>
      </c>
    </row>
    <row r="435" spans="1:13" ht="15.75" customHeight="1">
      <c r="A435">
        <f ca="1">IFERROR(__xludf.DUMMYFUNCTION("""COMPUTED_VALUE"""),111)</f>
        <v>111</v>
      </c>
      <c r="B435" t="str">
        <f ca="1">IFERROR(__xludf.DUMMYFUNCTION("""COMPUTED_VALUE"""),"Lopes, S.; Gouveia, L. e Reis, P. (2016). O modelo de ensino da flipped 
classroom (sala de aula invertida) no âmbito do ensino superior. Dias de 
Investigação na UFP. 9 a 11 de Março. Universidade Fernando Pessoa. Porto.
[ handle ]")</f>
        <v>Lopes, S.; Gouveia, L. e Reis, P. (2016). O modelo de ensino da flipped 
classroom (sala de aula invertida) no âmbito do ensino superior. Dias de 
Investigação na UFP. 9 a 11 de Março. Universidade Fernando Pessoa. Porto.
[ handle ]</v>
      </c>
      <c r="C435" s="2">
        <f t="shared" ca="1" si="0"/>
        <v>35</v>
      </c>
      <c r="D435" t="str">
        <f t="shared" ca="1" si="8"/>
        <v xml:space="preserve">Lopes, S.; Gouveia, L. e Reis, P. </v>
      </c>
      <c r="E435" t="str">
        <f t="shared" ca="1" si="1"/>
        <v>2016</v>
      </c>
      <c r="F435" t="str">
        <f t="shared" ca="1" si="2"/>
        <v xml:space="preserve"> O modelo de ensino da flipped 
classroom (sala de aula invertida) no âmbito do ensino superior. </v>
      </c>
      <c r="G435" s="3">
        <f t="shared" ca="1" si="3"/>
        <v>40</v>
      </c>
      <c r="H435" s="2">
        <f t="shared" ca="1" si="4"/>
        <v>137</v>
      </c>
      <c r="I435" t="e">
        <f t="shared" ca="1" si="5"/>
        <v>#VALUE!</v>
      </c>
      <c r="J435" s="3" t="e">
        <f t="shared" ca="1" si="9"/>
        <v>#VALUE!</v>
      </c>
      <c r="K435" t="str">
        <f t="shared" ca="1" si="6"/>
        <v xml:space="preserve">Lopes, S.; Gouveia, L. e Reis, P. </v>
      </c>
      <c r="L435" t="str">
        <f t="shared" ca="1" si="7"/>
        <v xml:space="preserve">Quental, C. </v>
      </c>
      <c r="M435" t="str">
        <f ca="1">IFERROR(__xludf.DUMMYFUNCTION("""COMPUTED_VALUE""")," Gouveia, L. e Reis, P. ")</f>
        <v xml:space="preserve"> Gouveia, L. e Reis, P. </v>
      </c>
    </row>
    <row r="436" spans="1:13" ht="15.75" customHeight="1">
      <c r="A436">
        <f ca="1">IFERROR(__xludf.DUMMYFUNCTION("""COMPUTED_VALUE"""),110)</f>
        <v>110</v>
      </c>
      <c r="B436" t="str">
        <f ca="1">IFERROR(__xludf.DUMMYFUNCTION("""COMPUTED_VALUE"""),"Araújo, A. e Gouveia, L. (2016). As TICs aplicadas no ensino superior: um 
estudo de caso no contexto de uma IES particular na cidade de Belém do 
Pará. Dias de Investigação na UFP. 9 a 11 de Março. Universidade Fernando 
Pessoa. Porto.
[ handle ]")</f>
        <v>Araújo, A. e Gouveia, L. (2016). As TICs aplicadas no ensino superior: um 
estudo de caso no contexto de uma IES particular na cidade de Belém do 
Pará. Dias de Investigação na UFP. 9 a 11 de Março. Universidade Fernando 
Pessoa. Porto.
[ handle ]</v>
      </c>
      <c r="C436" s="2">
        <f t="shared" ca="1" si="0"/>
        <v>26</v>
      </c>
      <c r="D436" t="str">
        <f t="shared" ca="1" si="8"/>
        <v xml:space="preserve">Araújo, A. e Gouveia, L. </v>
      </c>
      <c r="E436" t="str">
        <f t="shared" ca="1" si="1"/>
        <v>2016</v>
      </c>
      <c r="F436" t="str">
        <f t="shared" ca="1" si="2"/>
        <v xml:space="preserve"> As TICs aplicadas no ensino superior: um 
estudo de caso no contexto de uma IES particular na cidade de Belém do 
Pará. </v>
      </c>
      <c r="G436" s="3">
        <f t="shared" ca="1" si="3"/>
        <v>31</v>
      </c>
      <c r="H436" s="2">
        <f t="shared" ca="1" si="4"/>
        <v>152</v>
      </c>
      <c r="I436" t="e">
        <f t="shared" ca="1" si="5"/>
        <v>#VALUE!</v>
      </c>
      <c r="J436" s="3" t="e">
        <f t="shared" ca="1" si="9"/>
        <v>#VALUE!</v>
      </c>
      <c r="K436" t="str">
        <f t="shared" ca="1" si="6"/>
        <v xml:space="preserve">Araújo, A. e Gouveia, L. </v>
      </c>
      <c r="L436" t="str">
        <f t="shared" ca="1" si="7"/>
        <v xml:space="preserve">Quental, C. </v>
      </c>
    </row>
    <row r="437" spans="1:13" ht="15.75" customHeight="1">
      <c r="A437">
        <f ca="1">IFERROR(__xludf.DUMMYFUNCTION("""COMPUTED_VALUE"""),109)</f>
        <v>109</v>
      </c>
      <c r="B437" t="str">
        <f ca="1">IFERROR(__xludf.DUMMYFUNCTION("""COMPUTED_VALUE"""),"Morgado, R. e Gouveia, L. (2016). O recurso e a contribuição potencial da 
inteligência artificial para a cibersegurança em ambientes digitais. Dias 
de Investigação na UFP. 9 a 11 de Março. Universidade Fernando Pessoa. 
Porto.
[ handle ]")</f>
        <v>Morgado, R. e Gouveia, L. (2016). O recurso e a contribuição potencial da 
inteligência artificial para a cibersegurança em ambientes digitais. Dias 
de Investigação na UFP. 9 a 11 de Março. Universidade Fernando Pessoa. 
Porto.
[ handle ]</v>
      </c>
      <c r="C437" s="2">
        <f t="shared" ca="1" si="0"/>
        <v>27</v>
      </c>
      <c r="D437" t="str">
        <f t="shared" ca="1" si="8"/>
        <v xml:space="preserve">Morgado, R. e Gouveia, L. </v>
      </c>
      <c r="E437" t="str">
        <f t="shared" ca="1" si="1"/>
        <v>2016</v>
      </c>
      <c r="F437" t="str">
        <f t="shared" ca="1" si="2"/>
        <v xml:space="preserve"> O recurso e a contribuição potencial da 
inteligência artificial para a cibersegurança em ambientes digitais. </v>
      </c>
      <c r="G437" s="3">
        <f t="shared" ca="1" si="3"/>
        <v>32</v>
      </c>
      <c r="H437" s="2">
        <f t="shared" ca="1" si="4"/>
        <v>143</v>
      </c>
      <c r="I437" t="e">
        <f t="shared" ca="1" si="5"/>
        <v>#VALUE!</v>
      </c>
      <c r="J437" s="3" t="e">
        <f t="shared" ca="1" si="9"/>
        <v>#VALUE!</v>
      </c>
      <c r="K437" t="str">
        <f t="shared" ca="1" si="6"/>
        <v xml:space="preserve">Morgado, R. e Gouveia, L. </v>
      </c>
      <c r="L437" t="str">
        <f t="shared" ca="1" si="7"/>
        <v xml:space="preserve">Quental, C. </v>
      </c>
    </row>
    <row r="438" spans="1:13" ht="15.75" customHeight="1">
      <c r="A438">
        <f ca="1">IFERROR(__xludf.DUMMYFUNCTION("""COMPUTED_VALUE"""),108)</f>
        <v>108</v>
      </c>
      <c r="B438" t="str">
        <f ca="1">IFERROR(__xludf.DUMMYFUNCTION("""COMPUTED_VALUE"""),"Correia, A. e Gouveia, L. (2016). Região Norte NUT II – como valor 
acrescentado no desenvolvimento digital da região. Dias de Investigação na 
UFP. 9 a 11 de Março. Universidade Fernando Pessoa. Porto.
[ handle ]")</f>
        <v>Correia, A. e Gouveia, L. (2016). Região Norte NUT II – como valor 
acrescentado no desenvolvimento digital da região. Dias de Investigação na 
UFP. 9 a 11 de Março. Universidade Fernando Pessoa. Porto.
[ handle ]</v>
      </c>
      <c r="C438" s="2">
        <f t="shared" ca="1" si="0"/>
        <v>27</v>
      </c>
      <c r="D438" t="str">
        <f t="shared" ca="1" si="8"/>
        <v xml:space="preserve">Correia, A. e Gouveia, L. </v>
      </c>
      <c r="E438" t="str">
        <f t="shared" ca="1" si="1"/>
        <v>2016</v>
      </c>
      <c r="F438" t="str">
        <f t="shared" ca="1" si="2"/>
        <v xml:space="preserve"> Região Norte NUT II – como valor 
acrescentado no desenvolvimento digital da região. </v>
      </c>
      <c r="G438" s="3">
        <f t="shared" ca="1" si="3"/>
        <v>32</v>
      </c>
      <c r="H438" s="2">
        <f t="shared" ca="1" si="4"/>
        <v>118</v>
      </c>
      <c r="I438" t="e">
        <f t="shared" ca="1" si="5"/>
        <v>#VALUE!</v>
      </c>
      <c r="J438" s="3" t="e">
        <f t="shared" ca="1" si="9"/>
        <v>#VALUE!</v>
      </c>
      <c r="K438" t="str">
        <f t="shared" ca="1" si="6"/>
        <v xml:space="preserve">Correia, A. e Gouveia, L. </v>
      </c>
      <c r="L438" t="str">
        <f t="shared" ca="1" si="7"/>
        <v xml:space="preserve">Quental, C. </v>
      </c>
    </row>
    <row r="439" spans="1:13" ht="15.75" customHeight="1">
      <c r="A439">
        <f ca="1">IFERROR(__xludf.DUMMYFUNCTION("""COMPUTED_VALUE"""),107)</f>
        <v>107</v>
      </c>
      <c r="B439" t="str">
        <f ca="1">IFERROR(__xludf.DUMMYFUNCTION("""COMPUTED_VALUE"""),"Menezes, N. e Gouveia, L. (2016). O recurso a tecnologias de informação e 
comunicação para suporte da atividade em sala de aula de professores e 
formadores. Dias de Investigação na UFP. 9 a 11 de Março. Universidade 
Fernando Pessoa. Porto.
[ handle ]")</f>
        <v>Menezes, N. e Gouveia, L. (2016). O recurso a tecnologias de informação e 
comunicação para suporte da atividade em sala de aula de professores e 
formadores. Dias de Investigação na UFP. 9 a 11 de Março. Universidade 
Fernando Pessoa. Porto.
[ handle ]</v>
      </c>
      <c r="C439" s="2">
        <f t="shared" ca="1" si="0"/>
        <v>27</v>
      </c>
      <c r="D439" t="str">
        <f t="shared" ca="1" si="8"/>
        <v xml:space="preserve">Menezes, N. e Gouveia, L. </v>
      </c>
      <c r="E439" t="str">
        <f t="shared" ca="1" si="1"/>
        <v>2016</v>
      </c>
      <c r="F439" t="str">
        <f t="shared" ca="1" si="2"/>
        <v xml:space="preserve"> O recurso a tecnologias de informação e 
comunicação para suporte da atividade em sala de aula de professores e 
formadores. </v>
      </c>
      <c r="G439" s="3">
        <f t="shared" ca="1" si="3"/>
        <v>32</v>
      </c>
      <c r="H439" s="2">
        <f t="shared" ca="1" si="4"/>
        <v>158</v>
      </c>
      <c r="I439" t="e">
        <f t="shared" ca="1" si="5"/>
        <v>#VALUE!</v>
      </c>
      <c r="J439" s="3" t="e">
        <f t="shared" ca="1" si="9"/>
        <v>#VALUE!</v>
      </c>
      <c r="K439" t="str">
        <f t="shared" ca="1" si="6"/>
        <v xml:space="preserve">Menezes, N. e Gouveia, L. </v>
      </c>
      <c r="L439" t="str">
        <f t="shared" ca="1" si="7"/>
        <v xml:space="preserve">Quental, C. </v>
      </c>
    </row>
    <row r="440" spans="1:13" ht="15.75" customHeight="1">
      <c r="A440">
        <f ca="1">IFERROR(__xludf.DUMMYFUNCTION("""COMPUTED_VALUE"""),106)</f>
        <v>106</v>
      </c>
      <c r="B440" t="str">
        <f ca="1">IFERROR(__xludf.DUMMYFUNCTION("""COMPUTED_VALUE"""),"Robalo, A. e Gouveia, L. (2016). A promoção da cultura digital nos 
professores do 1º e 2º ciclo do ensino secundário, Município do Huambo: A 
Mediateca como agente na promoção da Cultura Digital. Apresentação de 
resultados do projecto de doutoramento. 8"&amp;" de Março. *TRS. Universidade 
Fernando Pessoa. Porto.
[ handle ]")</f>
        <v>Robalo, A. e Gouveia, L. (2016). A promoção da cultura digital nos 
professores do 1º e 2º ciclo do ensino secundário, Município do Huambo: A 
Mediateca como agente na promoção da Cultura Digital. Apresentação de 
resultados do projecto de doutoramento. 8 de Março. *TRS. Universidade 
Fernando Pessoa. Porto.
[ handle ]</v>
      </c>
      <c r="C440" s="2">
        <f t="shared" ca="1" si="0"/>
        <v>26</v>
      </c>
      <c r="D440" t="str">
        <f t="shared" ca="1" si="8"/>
        <v xml:space="preserve">Robalo, A. e Gouveia, L. </v>
      </c>
      <c r="E440" t="str">
        <f t="shared" ca="1" si="1"/>
        <v>2016</v>
      </c>
      <c r="F440" t="str">
        <f t="shared" ca="1" si="2"/>
        <v xml:space="preserve"> A promoção da cultura digital nos 
professores do 1º e 2º ciclo do ensino secundário, Município do Huambo: A 
Mediateca como agente na promoção da Cultura Digital. </v>
      </c>
      <c r="G440" s="3">
        <f t="shared" ca="1" si="3"/>
        <v>31</v>
      </c>
      <c r="H440" s="2">
        <f t="shared" ca="1" si="4"/>
        <v>196</v>
      </c>
      <c r="I440" t="e">
        <f t="shared" ca="1" si="5"/>
        <v>#VALUE!</v>
      </c>
      <c r="J440" s="3" t="e">
        <f t="shared" ca="1" si="9"/>
        <v>#VALUE!</v>
      </c>
      <c r="K440" t="str">
        <f t="shared" ca="1" si="6"/>
        <v xml:space="preserve">Robalo, A. e Gouveia, L. </v>
      </c>
      <c r="L440" t="str">
        <f t="shared" ca="1" si="7"/>
        <v xml:space="preserve">Quental, C. </v>
      </c>
    </row>
    <row r="441" spans="1:13" ht="15.75" customHeight="1">
      <c r="A441">
        <f ca="1">IFERROR(__xludf.DUMMYFUNCTION("""COMPUTED_VALUE"""),105)</f>
        <v>105</v>
      </c>
      <c r="B441" t="str">
        <f ca="1">IFERROR(__xludf.DUMMYFUNCTION("""COMPUTED_VALUE"""),"Peres, P. e Gouveia, L. (2015). *Planeamento e Gestão da Mudança nos 
Processos de Implementação de Sistemas dee/b-learning*. Dias da 
Investigação UFP. 11-13 Março. Universidade Fernando Pessoa. Porto.")</f>
        <v>Peres, P. e Gouveia, L. (2015). *Planeamento e Gestão da Mudança nos 
Processos de Implementação de Sistemas dee/b-learning*. Dias da 
Investigação UFP. 11-13 Março. Universidade Fernando Pessoa. Porto.</v>
      </c>
      <c r="C441" s="2">
        <f t="shared" ca="1" si="0"/>
        <v>25</v>
      </c>
      <c r="D441" t="str">
        <f t="shared" ca="1" si="8"/>
        <v xml:space="preserve">Peres, P. e Gouveia, L. </v>
      </c>
      <c r="E441" t="str">
        <f t="shared" ca="1" si="1"/>
        <v>2015</v>
      </c>
      <c r="F441" t="str">
        <f t="shared" ca="1" si="2"/>
        <v xml:space="preserve"> *Planeamento e Gestão da Mudança nos 
Processos de Implementação de Sistemas dee/b-learning*. </v>
      </c>
      <c r="G441" s="3">
        <f t="shared" ca="1" si="3"/>
        <v>30</v>
      </c>
      <c r="H441" s="2">
        <f t="shared" ca="1" si="4"/>
        <v>125</v>
      </c>
      <c r="I441" t="e">
        <f t="shared" ca="1" si="5"/>
        <v>#VALUE!</v>
      </c>
      <c r="J441" s="3" t="e">
        <f t="shared" ca="1" si="9"/>
        <v>#VALUE!</v>
      </c>
      <c r="K441" t="str">
        <f t="shared" ca="1" si="6"/>
        <v xml:space="preserve">Peres, P. e Gouveia, L. </v>
      </c>
      <c r="L441" t="str">
        <f t="shared" ca="1" si="7"/>
        <v xml:space="preserve">Quental, C. </v>
      </c>
    </row>
    <row r="442" spans="1:13" ht="15.75" customHeight="1">
      <c r="A442">
        <f ca="1">IFERROR(__xludf.DUMMYFUNCTION("""COMPUTED_VALUE"""),104)</f>
        <v>104</v>
      </c>
      <c r="B442" t="str">
        <f ca="1">IFERROR(__xludf.DUMMYFUNCTION("""COMPUTED_VALUE"""),"Leal, J. e Gouveia, L. (2015). MOOC: qual o papel na reconceptualização da 
Universidade? Dias da Investigação UFP. 11-13 Março. Universidade Fernando 
Pessoa. Porto.")</f>
        <v>Leal, J. e Gouveia, L. (2015). MOOC: qual o papel na reconceptualização da 
Universidade? Dias da Investigação UFP. 11-13 Março. Universidade Fernando 
Pessoa. Porto.</v>
      </c>
      <c r="C442" s="2">
        <f t="shared" ca="1" si="0"/>
        <v>24</v>
      </c>
      <c r="D442" t="str">
        <f t="shared" ca="1" si="8"/>
        <v xml:space="preserve">Leal, J. e Gouveia, L. </v>
      </c>
      <c r="E442" t="str">
        <f t="shared" ca="1" si="1"/>
        <v>2015</v>
      </c>
      <c r="F442" t="str">
        <f t="shared" ca="1" si="2"/>
        <v xml:space="preserve"> MOOC: qual o papel na reconceptualização da 
Universidade? Dias da Investigação UFP. </v>
      </c>
      <c r="G442" s="3">
        <f t="shared" ca="1" si="3"/>
        <v>29</v>
      </c>
      <c r="H442" s="2">
        <f t="shared" ca="1" si="4"/>
        <v>115</v>
      </c>
      <c r="I442" t="e">
        <f t="shared" ca="1" si="5"/>
        <v>#VALUE!</v>
      </c>
      <c r="J442" s="3" t="e">
        <f t="shared" ca="1" si="9"/>
        <v>#VALUE!</v>
      </c>
      <c r="K442" t="str">
        <f t="shared" ca="1" si="6"/>
        <v xml:space="preserve">Leal, J. e Gouveia, L. </v>
      </c>
      <c r="L442" t="str">
        <f t="shared" ca="1" si="7"/>
        <v xml:space="preserve">Quental, C. </v>
      </c>
    </row>
    <row r="443" spans="1:13" ht="15.75" customHeight="1">
      <c r="A443">
        <f ca="1">IFERROR(__xludf.DUMMYFUNCTION("""COMPUTED_VALUE"""),103)</f>
        <v>103</v>
      </c>
      <c r="B443" t="str">
        <f ca="1">IFERROR(__xludf.DUMMYFUNCTION("""COMPUTED_VALUE"""),"Robalo, A. e Gouveia, L. (2015). O contributo da Mediateca do Huambo na 
promoção de competências TIC para professores. Dias da Investigação UFP. 
11-13 Março. Universidade Fernando Pessoa. Porto.")</f>
        <v>Robalo, A. e Gouveia, L. (2015). O contributo da Mediateca do Huambo na 
promoção de competências TIC para professores. Dias da Investigação UFP. 
11-13 Março. Universidade Fernando Pessoa. Porto.</v>
      </c>
      <c r="C443" s="2">
        <f t="shared" ca="1" si="0"/>
        <v>26</v>
      </c>
      <c r="D443" t="str">
        <f t="shared" ca="1" si="8"/>
        <v xml:space="preserve">Robalo, A. e Gouveia, L. </v>
      </c>
      <c r="E443" t="str">
        <f t="shared" ca="1" si="1"/>
        <v>2015</v>
      </c>
      <c r="F443" t="str">
        <f t="shared" ca="1" si="2"/>
        <v xml:space="preserve"> O contributo da Mediateca do Huambo na 
promoção de competências TIC para professores. </v>
      </c>
      <c r="G443" s="3">
        <f t="shared" ca="1" si="3"/>
        <v>31</v>
      </c>
      <c r="H443" s="2">
        <f t="shared" ca="1" si="4"/>
        <v>119</v>
      </c>
      <c r="I443" t="e">
        <f t="shared" ca="1" si="5"/>
        <v>#VALUE!</v>
      </c>
      <c r="J443" s="3" t="e">
        <f t="shared" ca="1" si="9"/>
        <v>#VALUE!</v>
      </c>
      <c r="K443" t="str">
        <f t="shared" ca="1" si="6"/>
        <v xml:space="preserve">Robalo, A. e Gouveia, L. </v>
      </c>
      <c r="L443" t="str">
        <f t="shared" ca="1" si="7"/>
        <v xml:space="preserve">Quental, C. </v>
      </c>
    </row>
    <row r="444" spans="1:13" ht="15.75" customHeight="1">
      <c r="A444">
        <f ca="1">IFERROR(__xludf.DUMMYFUNCTION("""COMPUTED_VALUE"""),102)</f>
        <v>102</v>
      </c>
      <c r="B444" t="str">
        <f ca="1">IFERROR(__xludf.DUMMYFUNCTION("""COMPUTED_VALUE"""),"Martins, O. e Gouveia, L. (2015). Bibliotecas académicas, lugar ou ponto de 
acesso? Dias da Investigação UFP. 11-13 Março. Universidade Fernando 
Pessoa. Porto.")</f>
        <v>Martins, O. e Gouveia, L. (2015). Bibliotecas académicas, lugar ou ponto de 
acesso? Dias da Investigação UFP. 11-13 Março. Universidade Fernando 
Pessoa. Porto.</v>
      </c>
      <c r="C444" s="2">
        <f t="shared" ca="1" si="0"/>
        <v>27</v>
      </c>
      <c r="D444" t="str">
        <f t="shared" ca="1" si="8"/>
        <v xml:space="preserve">Martins, O. e Gouveia, L. </v>
      </c>
      <c r="E444" t="str">
        <f t="shared" ca="1" si="1"/>
        <v>2015</v>
      </c>
      <c r="F444" t="str">
        <f t="shared" ca="1" si="2"/>
        <v xml:space="preserve"> Bibliotecas académicas, lugar ou ponto de 
acesso? Dias da Investigação UFP. </v>
      </c>
      <c r="G444" s="3">
        <f t="shared" ca="1" si="3"/>
        <v>32</v>
      </c>
      <c r="H444" s="2">
        <f t="shared" ca="1" si="4"/>
        <v>110</v>
      </c>
      <c r="I444" t="e">
        <f t="shared" ca="1" si="5"/>
        <v>#VALUE!</v>
      </c>
      <c r="J444" s="3" t="e">
        <f t="shared" ca="1" si="9"/>
        <v>#VALUE!</v>
      </c>
      <c r="K444" t="str">
        <f t="shared" ca="1" si="6"/>
        <v xml:space="preserve">Martins, O. e Gouveia, L. </v>
      </c>
      <c r="L444" t="str">
        <f t="shared" ca="1" si="7"/>
        <v xml:space="preserve">Quental, C. </v>
      </c>
    </row>
    <row r="445" spans="1:13" ht="15.75" customHeight="1">
      <c r="A445">
        <f ca="1">IFERROR(__xludf.DUMMYFUNCTION("""COMPUTED_VALUE"""),101)</f>
        <v>101</v>
      </c>
      <c r="B445" t="str">
        <f ca="1">IFERROR(__xludf.DUMMYFUNCTION("""COMPUTED_VALUE"""),"Alfredo, P. e Gouveia, L. (2015). Contribuições para a discussão de um 
modelo de governo electrónico local para Angola. Dias da Investigação UFP. 
11-13 Março. Universidade Fernando Pessoa. Porto.")</f>
        <v>Alfredo, P. e Gouveia, L. (2015). Contribuições para a discussão de um 
modelo de governo electrónico local para Angola. Dias da Investigação UFP. 
11-13 Março. Universidade Fernando Pessoa. Porto.</v>
      </c>
      <c r="C445" s="2">
        <f t="shared" ca="1" si="0"/>
        <v>27</v>
      </c>
      <c r="D445" t="str">
        <f t="shared" ca="1" si="8"/>
        <v xml:space="preserve">Alfredo, P. e Gouveia, L. </v>
      </c>
      <c r="E445" t="str">
        <f t="shared" ca="1" si="1"/>
        <v>2015</v>
      </c>
      <c r="F445" t="str">
        <f t="shared" ca="1" si="2"/>
        <v xml:space="preserve"> Contribuições para a discussão de um 
modelo de governo electrónico local para Angola. </v>
      </c>
      <c r="G445" s="3">
        <f t="shared" ca="1" si="3"/>
        <v>32</v>
      </c>
      <c r="H445" s="2">
        <f t="shared" ca="1" si="4"/>
        <v>120</v>
      </c>
      <c r="I445" t="e">
        <f t="shared" ca="1" si="5"/>
        <v>#VALUE!</v>
      </c>
      <c r="J445" s="3" t="e">
        <f t="shared" ca="1" si="9"/>
        <v>#VALUE!</v>
      </c>
      <c r="K445" t="str">
        <f t="shared" ca="1" si="6"/>
        <v xml:space="preserve">Alfredo, P. e Gouveia, L. </v>
      </c>
      <c r="L445" t="str">
        <f t="shared" ca="1" si="7"/>
        <v xml:space="preserve">Quental, C. </v>
      </c>
    </row>
    <row r="446" spans="1:13" ht="15.75" customHeight="1">
      <c r="A446">
        <f ca="1">IFERROR(__xludf.DUMMYFUNCTION("""COMPUTED_VALUE"""),100)</f>
        <v>100</v>
      </c>
      <c r="B446" t="str">
        <f ca="1">IFERROR(__xludf.DUMMYFUNCTION("""COMPUTED_VALUE"""),"Abrantes, S. e Gouveia, L. (2015). Um estudo empírico sobre a adopção de 
meios digitais para suporte à aprendizagem colaborativa. Dias da 
Investigação UFP. 11-13 Março. Universidade Fernando Pessoa. Porto.")</f>
        <v>Abrantes, S. e Gouveia, L. (2015). Um estudo empírico sobre a adopção de 
meios digitais para suporte à aprendizagem colaborativa. Dias da 
Investigação UFP. 11-13 Março. Universidade Fernando Pessoa. Porto.</v>
      </c>
      <c r="C446" s="2">
        <f t="shared" ca="1" si="0"/>
        <v>28</v>
      </c>
      <c r="D446" t="str">
        <f t="shared" ca="1" si="8"/>
        <v xml:space="preserve">Abrantes, S. e Gouveia, L. </v>
      </c>
      <c r="E446" t="str">
        <f t="shared" ca="1" si="1"/>
        <v>2015</v>
      </c>
      <c r="F446" t="str">
        <f t="shared" ca="1" si="2"/>
        <v xml:space="preserve"> Um estudo empírico sobre a adopção de 
meios digitais para suporte à aprendizagem colaborativa. </v>
      </c>
      <c r="G446" s="3">
        <f t="shared" ca="1" si="3"/>
        <v>33</v>
      </c>
      <c r="H446" s="2">
        <f t="shared" ca="1" si="4"/>
        <v>130</v>
      </c>
      <c r="I446" t="e">
        <f t="shared" ca="1" si="5"/>
        <v>#VALUE!</v>
      </c>
      <c r="J446" s="3" t="e">
        <f t="shared" ca="1" si="9"/>
        <v>#VALUE!</v>
      </c>
      <c r="K446" t="str">
        <f t="shared" ca="1" si="6"/>
        <v xml:space="preserve">Abrantes, S. e Gouveia, L. </v>
      </c>
      <c r="L446" t="str">
        <f t="shared" ca="1" si="7"/>
        <v xml:space="preserve">Quental, C. </v>
      </c>
    </row>
    <row r="447" spans="1:13" ht="15.75" customHeight="1">
      <c r="A447">
        <f ca="1">IFERROR(__xludf.DUMMYFUNCTION("""COMPUTED_VALUE"""),99)</f>
        <v>99</v>
      </c>
      <c r="B447" t="str">
        <f ca="1">IFERROR(__xludf.DUMMYFUNCTION("""COMPUTED_VALUE"""),"Silva, P. and Gouveia, L. (2015). The impact of digital in learning spaces: 
an analysis on the perspective of teachers in higher education. Research 
Days at UFP. 11th to 13th March. University Fernando Pessoa. Porto.")</f>
        <v>Silva, P. and Gouveia, L. (2015). The impact of digital in learning spaces: 
an analysis on the perspective of teachers in higher education. Research 
Days at UFP. 11th to 13th March. University Fernando Pessoa. Porto.</v>
      </c>
      <c r="C447" s="2">
        <f t="shared" ca="1" si="0"/>
        <v>27</v>
      </c>
      <c r="D447" t="str">
        <f t="shared" ca="1" si="8"/>
        <v xml:space="preserve">Silva, P. and Gouveia, L. </v>
      </c>
      <c r="E447" t="str">
        <f t="shared" ca="1" si="1"/>
        <v>2015</v>
      </c>
      <c r="F447" t="str">
        <f t="shared" ca="1" si="2"/>
        <v xml:space="preserve"> The impact of digital in learning spaces: 
an analysis on the perspective of teachers in higher education. </v>
      </c>
      <c r="G447" s="3">
        <f t="shared" ca="1" si="3"/>
        <v>32</v>
      </c>
      <c r="H447" s="2">
        <f t="shared" ca="1" si="4"/>
        <v>140</v>
      </c>
      <c r="I447" t="e">
        <f t="shared" ca="1" si="5"/>
        <v>#VALUE!</v>
      </c>
      <c r="J447" s="3" t="e">
        <f t="shared" ca="1" si="9"/>
        <v>#VALUE!</v>
      </c>
      <c r="K447" t="str">
        <f t="shared" ca="1" si="6"/>
        <v xml:space="preserve">Silva, P. ; Gouveia, L. </v>
      </c>
      <c r="L447" t="str">
        <f t="shared" ca="1" si="7"/>
        <v xml:space="preserve">Quental, C. </v>
      </c>
      <c r="M447" t="str">
        <f ca="1">IFERROR(__xludf.DUMMYFUNCTION("""COMPUTED_VALUE""")," Gouveia, L. ")</f>
        <v xml:space="preserve"> Gouveia, L. </v>
      </c>
    </row>
    <row r="448" spans="1:13" ht="15.75" customHeight="1">
      <c r="A448">
        <f ca="1">IFERROR(__xludf.DUMMYFUNCTION("""COMPUTED_VALUE"""),98)</f>
        <v>98</v>
      </c>
      <c r="B448" t="str">
        <f ca="1">IFERROR(__xludf.DUMMYFUNCTION("""COMPUTED_VALUE"""),"Ferreira, A. e Gouveia, L. (2015). O ensino e os novos sistemas de 
computação. Dias da Investigação UFP. 11-13 Março. Universidade Fernando 
Pessoa. Porto.")</f>
        <v>Ferreira, A. e Gouveia, L. (2015). O ensino e os novos sistemas de 
computação. Dias da Investigação UFP. 11-13 Março. Universidade Fernando 
Pessoa. Porto.</v>
      </c>
      <c r="C448" s="2">
        <f t="shared" ca="1" si="0"/>
        <v>28</v>
      </c>
      <c r="D448" t="str">
        <f t="shared" ca="1" si="8"/>
        <v xml:space="preserve">Ferreira, A. e Gouveia, L. </v>
      </c>
      <c r="E448" t="str">
        <f t="shared" ca="1" si="1"/>
        <v>2015</v>
      </c>
      <c r="F448" t="str">
        <f t="shared" ca="1" si="2"/>
        <v xml:space="preserve"> O ensino e os novos sistemas de 
computação. </v>
      </c>
      <c r="G448" s="3">
        <f t="shared" ca="1" si="3"/>
        <v>33</v>
      </c>
      <c r="H448" s="2">
        <f t="shared" ca="1" si="4"/>
        <v>79</v>
      </c>
      <c r="I448" t="e">
        <f t="shared" ca="1" si="5"/>
        <v>#VALUE!</v>
      </c>
      <c r="J448" s="3" t="e">
        <f t="shared" ca="1" si="9"/>
        <v>#VALUE!</v>
      </c>
      <c r="K448" t="str">
        <f t="shared" ca="1" si="6"/>
        <v xml:space="preserve">Ferreira, A. e Gouveia, L. </v>
      </c>
      <c r="L448" t="str">
        <f t="shared" ca="1" si="7"/>
        <v xml:space="preserve">Quental, C. </v>
      </c>
    </row>
    <row r="449" spans="1:12" ht="15.75" customHeight="1">
      <c r="A449">
        <f ca="1">IFERROR(__xludf.DUMMYFUNCTION("""COMPUTED_VALUE"""),97)</f>
        <v>97</v>
      </c>
      <c r="B449" t="str">
        <f ca="1">IFERROR(__xludf.DUMMYFUNCTION("""COMPUTED_VALUE"""),"Gouveia, L. (2015). Cidades Inteligentes: a exploração do digital para um 
territóriio melhor. Jornadas de Gestão. Cidades Inteligentes e Inclusivas. 
Universidade Lusófona, 14 de Abril. Porto.
[ handle ]")</f>
        <v>Gouveia, L. (2015). Cidades Inteligentes: a exploração do digital para um 
territóriio melhor. Jornadas de Gestão. Cidades Inteligentes e Inclusivas. 
Universidade Lusófona, 14 de Abril. Porto.
[ handle ]</v>
      </c>
      <c r="C449" s="2">
        <f t="shared" ca="1" si="0"/>
        <v>13</v>
      </c>
      <c r="D449" t="str">
        <f t="shared" ca="1" si="8"/>
        <v xml:space="preserve">Gouveia, L. </v>
      </c>
      <c r="E449" t="str">
        <f t="shared" ca="1" si="1"/>
        <v>2015</v>
      </c>
      <c r="F449" t="str">
        <f t="shared" ca="1" si="2"/>
        <v xml:space="preserve"> Cidades Inteligentes: a exploração do digital para um 
territóriio melhor. </v>
      </c>
      <c r="G449" s="3">
        <f t="shared" ca="1" si="3"/>
        <v>18</v>
      </c>
      <c r="H449" s="2">
        <f t="shared" ca="1" si="4"/>
        <v>94</v>
      </c>
      <c r="I449" t="e">
        <f t="shared" ca="1" si="5"/>
        <v>#VALUE!</v>
      </c>
      <c r="J449" s="3" t="e">
        <f t="shared" ca="1" si="9"/>
        <v>#VALUE!</v>
      </c>
      <c r="K449" t="str">
        <f t="shared" ca="1" si="6"/>
        <v xml:space="preserve">Gouveia, L. </v>
      </c>
      <c r="L449" t="str">
        <f t="shared" ca="1" si="7"/>
        <v xml:space="preserve">Quental, C. </v>
      </c>
    </row>
    <row r="450" spans="1:12" ht="15.75" customHeight="1">
      <c r="A450">
        <f ca="1">IFERROR(__xludf.DUMMYFUNCTION("""COMPUTED_VALUE"""),96)</f>
        <v>96</v>
      </c>
      <c r="B450" t="str">
        <f ca="1">IFERROR(__xludf.DUMMYFUNCTION("""COMPUTED_VALUE"""),"Gouveia, L. (2014). Desafios e oportunidades da Sociedade em Rede para o 
ensino e a aprendizagem. Palestra na pós-graduação em Educação em Turismo, 
Hotelaria e Restauração. ESEIG Escola Superior de Estudos Industriais e de 
Gestão do Instituto Politécni"&amp;"co do Porto. 11 de Julho. Vila do Conde.
[ handle ]")</f>
        <v>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
[ handle ]</v>
      </c>
      <c r="C450" s="2">
        <f t="shared" ca="1" si="0"/>
        <v>13</v>
      </c>
      <c r="D450" t="str">
        <f t="shared" ca="1" si="8"/>
        <v xml:space="preserve">Gouveia, L. </v>
      </c>
      <c r="E450" t="str">
        <f t="shared" ca="1" si="1"/>
        <v>2014</v>
      </c>
      <c r="F450" t="str">
        <f t="shared" ca="1" si="2"/>
        <v xml:space="preserve"> Desafios e oportunidades da Sociedade em Rede para o 
ensino e a aprendizagem. </v>
      </c>
      <c r="G450" s="3">
        <f t="shared" ca="1" si="3"/>
        <v>18</v>
      </c>
      <c r="H450" s="2">
        <f t="shared" ca="1" si="4"/>
        <v>98</v>
      </c>
      <c r="I450" t="e">
        <f t="shared" ca="1" si="5"/>
        <v>#VALUE!</v>
      </c>
      <c r="J450" s="3" t="e">
        <f t="shared" ca="1" si="9"/>
        <v>#VALUE!</v>
      </c>
      <c r="K450" t="str">
        <f t="shared" ca="1" si="6"/>
        <v xml:space="preserve">Gouveia, L. </v>
      </c>
      <c r="L450" t="str">
        <f t="shared" ca="1" si="7"/>
        <v xml:space="preserve">Quental, C. </v>
      </c>
    </row>
    <row r="451" spans="1:12" ht="15.75" customHeight="1">
      <c r="A451">
        <f ca="1">IFERROR(__xludf.DUMMYFUNCTION("""COMPUTED_VALUE"""),95)</f>
        <v>95</v>
      </c>
      <c r="B451" t="str">
        <f ca="1">IFERROR(__xludf.DUMMYFUNCTION("""COMPUTED_VALUE"""),"Gouveia, L. (2014). Segurança Informática: contexto, conceitos e desafios. 
Rotary Club Vizela. 18 de Junho. Vizela.
[ apresentação ]")</f>
        <v>Gouveia, L. (2014). Segurança Informática: contexto, conceitos e desafios. 
Rotary Club Vizela. 18 de Junho. Vizela.
[ apresentação ]</v>
      </c>
      <c r="C451" s="2">
        <f t="shared" ca="1" si="0"/>
        <v>13</v>
      </c>
      <c r="D451" t="str">
        <f t="shared" ca="1" si="8"/>
        <v xml:space="preserve">Gouveia, L. </v>
      </c>
      <c r="E451" t="str">
        <f t="shared" ca="1" si="1"/>
        <v>2014</v>
      </c>
      <c r="F451" t="str">
        <f t="shared" ca="1" si="2"/>
        <v xml:space="preserve"> Segurança Informática: contexto, conceitos e desafios. </v>
      </c>
      <c r="G451" s="3">
        <f t="shared" ca="1" si="3"/>
        <v>18</v>
      </c>
      <c r="H451" s="2">
        <f t="shared" ca="1" si="4"/>
        <v>74</v>
      </c>
      <c r="I451" t="e">
        <f t="shared" ca="1" si="5"/>
        <v>#VALUE!</v>
      </c>
      <c r="J451" s="3" t="e">
        <f t="shared" ca="1" si="9"/>
        <v>#VALUE!</v>
      </c>
      <c r="K451" t="str">
        <f t="shared" ca="1" si="6"/>
        <v xml:space="preserve">Gouveia, L. </v>
      </c>
      <c r="L451" t="str">
        <f t="shared" ca="1" si="7"/>
        <v xml:space="preserve">Quental, C. </v>
      </c>
    </row>
    <row r="452" spans="1:12" ht="15.75" customHeight="1">
      <c r="A452">
        <f ca="1">IFERROR(__xludf.DUMMYFUNCTION("""COMPUTED_VALUE"""),94)</f>
        <v>94</v>
      </c>
      <c r="B452" t="str">
        <f ca="1">IFERROR(__xludf.DUMMYFUNCTION("""COMPUTED_VALUE"""),"Gouveia, L. (2014). Do local ao global: a tecnologia digital ao serviço do 
conhecimento. Do Artesanal ao Digital. O contributo das Universidades. 
Universidade Fernando Pessoa. Ponte de Lima, 5 de Abril.
[ apresentação ]")</f>
        <v>Gouveia, L. (2014). Do local ao global: a tecnologia digital ao serviço do 
conhecimento. Do Artesanal ao Digital. O contributo das Universidades. 
Universidade Fernando Pessoa. Ponte de Lima, 5 de Abril.
[ apresentação ]</v>
      </c>
      <c r="C452" s="2">
        <f t="shared" ca="1" si="0"/>
        <v>13</v>
      </c>
      <c r="D452" t="str">
        <f t="shared" ca="1" si="8"/>
        <v xml:space="preserve">Gouveia, L. </v>
      </c>
      <c r="E452" t="str">
        <f t="shared" ca="1" si="1"/>
        <v>2014</v>
      </c>
      <c r="F452" t="str">
        <f t="shared" ca="1" si="2"/>
        <v xml:space="preserve"> Do local ao global: a tecnologia digital ao serviço do 
conhecimento. </v>
      </c>
      <c r="G452" s="3">
        <f t="shared" ca="1" si="3"/>
        <v>18</v>
      </c>
      <c r="H452" s="2">
        <f t="shared" ca="1" si="4"/>
        <v>89</v>
      </c>
      <c r="I452" t="e">
        <f t="shared" ca="1" si="5"/>
        <v>#VALUE!</v>
      </c>
      <c r="J452" s="3" t="e">
        <f t="shared" ca="1" si="9"/>
        <v>#VALUE!</v>
      </c>
      <c r="K452" t="str">
        <f t="shared" ca="1" si="6"/>
        <v xml:space="preserve">Gouveia, L. </v>
      </c>
      <c r="L452" t="str">
        <f t="shared" ca="1" si="7"/>
        <v xml:space="preserve">Quental, C. </v>
      </c>
    </row>
    <row r="453" spans="1:12" ht="15.75" customHeight="1">
      <c r="A453">
        <f ca="1">IFERROR(__xludf.DUMMYFUNCTION("""COMPUTED_VALUE"""),93)</f>
        <v>93</v>
      </c>
      <c r="B453" t="str">
        <f ca="1">IFERROR(__xludf.DUMMYFUNCTION("""COMPUTED_VALUE"""),"Gouveia, L. (2013). *Sociedade da Informação. Uma quase teologia da 
revolução*. Mestrado em Sistemas de Informação. Universidade do Minho, 
Guimarães. 20 de Dezembro.
[ presentation ]")</f>
        <v>Gouveia, L. (2013). *Sociedade da Informação. Uma quase teologia da 
revolução*. Mestrado em Sistemas de Informação. Universidade do Minho, 
Guimarães. 20 de Dezembro.
[ presentation ]</v>
      </c>
      <c r="C453" s="2">
        <f t="shared" ca="1" si="0"/>
        <v>13</v>
      </c>
      <c r="D453" t="str">
        <f t="shared" ca="1" si="8"/>
        <v xml:space="preserve">Gouveia, L. </v>
      </c>
      <c r="E453" t="str">
        <f t="shared" ca="1" si="1"/>
        <v>2013</v>
      </c>
      <c r="F453" t="str">
        <f t="shared" ca="1" si="2"/>
        <v xml:space="preserve"> *Sociedade da Informação. </v>
      </c>
      <c r="G453" s="3">
        <f t="shared" ca="1" si="3"/>
        <v>18</v>
      </c>
      <c r="H453" s="2">
        <f t="shared" ca="1" si="4"/>
        <v>45</v>
      </c>
      <c r="I453" t="e">
        <f t="shared" ca="1" si="5"/>
        <v>#VALUE!</v>
      </c>
      <c r="J453" s="3" t="e">
        <f t="shared" ca="1" si="9"/>
        <v>#VALUE!</v>
      </c>
      <c r="K453" t="str">
        <f t="shared" ca="1" si="6"/>
        <v xml:space="preserve">Gouveia, L. </v>
      </c>
      <c r="L453" t="str">
        <f t="shared" ca="1" si="7"/>
        <v xml:space="preserve">Quental, C. </v>
      </c>
    </row>
    <row r="454" spans="1:12" ht="15.75" customHeight="1">
      <c r="A454">
        <f ca="1">IFERROR(__xludf.DUMMYFUNCTION("""COMPUTED_VALUE"""),92)</f>
        <v>92</v>
      </c>
      <c r="B454" t="str">
        <f ca="1">IFERROR(__xludf.DUMMYFUNCTION("""COMPUTED_VALUE"""),"Gouveia, L. (2013). *Some issues on Bibliometrics: the way I would like to 
be helped as a University Professor*. Eramus Librarian Week. University 
Fernando Pessoa. 4th December. 
[ presentation ]")</f>
        <v>Gouveia, L. (2013). *Some issues on Bibliometrics: the way I would like to 
be helped as a University Professor*. Eramus Librarian Week. University 
Fernando Pessoa. 4th December. 
[ presentation ]</v>
      </c>
      <c r="C454" s="2">
        <f t="shared" ca="1" si="0"/>
        <v>13</v>
      </c>
      <c r="D454" t="str">
        <f t="shared" ca="1" si="8"/>
        <v xml:space="preserve">Gouveia, L. </v>
      </c>
      <c r="E454" t="str">
        <f t="shared" ca="1" si="1"/>
        <v>2013</v>
      </c>
      <c r="F454" t="str">
        <f t="shared" ca="1" si="2"/>
        <v xml:space="preserve"> *Some issues on Bibliometrics: the way I would like to 
be helped as a University Professor*. </v>
      </c>
      <c r="G454" s="3">
        <f t="shared" ca="1" si="3"/>
        <v>18</v>
      </c>
      <c r="H454" s="2">
        <f t="shared" ca="1" si="4"/>
        <v>113</v>
      </c>
      <c r="I454" t="e">
        <f t="shared" ca="1" si="5"/>
        <v>#VALUE!</v>
      </c>
      <c r="J454" s="3" t="e">
        <f t="shared" ca="1" si="9"/>
        <v>#VALUE!</v>
      </c>
      <c r="K454" t="str">
        <f t="shared" ca="1" si="6"/>
        <v xml:space="preserve">Gouveia, L. </v>
      </c>
      <c r="L454" t="str">
        <f t="shared" ca="1" si="7"/>
        <v xml:space="preserve">Quental, C. </v>
      </c>
    </row>
    <row r="455" spans="1:12" ht="15.75" customHeight="1">
      <c r="A455">
        <f ca="1">IFERROR(__xludf.DUMMYFUNCTION("""COMPUTED_VALUE"""),91)</f>
        <v>91</v>
      </c>
      <c r="B455" t="str">
        <f ca="1">IFERROR(__xludf.DUMMYFUNCTION("""COMPUTED_VALUE"""),"Gouveia, L. (2013). Encontro sobre Investigação, Desenvolvimento e 
Inovação. Apresentação no Encontro sobre Investigação, Desenvolvimento e 
Inovação. Bureau Veritas e Qtel. Pavilhão do Conhecimento, Lisboa, 7 de 
Outubro.
[ apresentação ]")</f>
        <v>Gouveia, L. (2013). Encontro sobre Investigação, Desenvolvimento e 
Inovação. Apresentação no Encontro sobre Investigação, Desenvolvimento e 
Inovação. Bureau Veritas e Qtel. Pavilhão do Conhecimento, Lisboa, 7 de 
Outubro.
[ apresentação ]</v>
      </c>
      <c r="C455" s="2">
        <f t="shared" ca="1" si="0"/>
        <v>13</v>
      </c>
      <c r="D455" t="str">
        <f t="shared" ca="1" si="8"/>
        <v xml:space="preserve">Gouveia, L. </v>
      </c>
      <c r="E455" t="str">
        <f t="shared" ca="1" si="1"/>
        <v>2013</v>
      </c>
      <c r="F455" t="str">
        <f t="shared" ca="1" si="2"/>
        <v xml:space="preserve"> Encontro sobre Investigação, Desenvolvimento e 
Inovação. </v>
      </c>
      <c r="G455" s="3">
        <f t="shared" ca="1" si="3"/>
        <v>18</v>
      </c>
      <c r="H455" s="2">
        <f t="shared" ca="1" si="4"/>
        <v>77</v>
      </c>
      <c r="I455" t="e">
        <f t="shared" ca="1" si="5"/>
        <v>#VALUE!</v>
      </c>
      <c r="J455" s="3" t="e">
        <f t="shared" ca="1" si="9"/>
        <v>#VALUE!</v>
      </c>
      <c r="K455" t="str">
        <f t="shared" ca="1" si="6"/>
        <v xml:space="preserve">Gouveia, L. </v>
      </c>
      <c r="L455" t="str">
        <f t="shared" ca="1" si="7"/>
        <v xml:space="preserve">Quental, C. </v>
      </c>
    </row>
    <row r="456" spans="1:12" ht="15.75" customHeight="1">
      <c r="A456">
        <f ca="1">IFERROR(__xludf.DUMMYFUNCTION("""COMPUTED_VALUE"""),90)</f>
        <v>90</v>
      </c>
      <c r="B456" t="str">
        <f ca="1">IFERROR(__xludf.DUMMYFUNCTION("""COMPUTED_VALUE"""),"Gouveia, L. (2013). Mobilidade Digital. Debate do tema Mobilidade. Debate 
no âmbito da candidatura independente ao município de Vila Nova de Gaia. 25 
de Julho. Vila Nova de Gaia.
[ apresentação ]")</f>
        <v>Gouveia, L. (2013). Mobilidade Digital. Debate do tema Mobilidade. Debate 
no âmbito da candidatura independente ao município de Vila Nova de Gaia. 25 
de Julho. Vila Nova de Gaia.
[ apresentação ]</v>
      </c>
      <c r="C456" s="2">
        <f t="shared" ca="1" si="0"/>
        <v>13</v>
      </c>
      <c r="D456" t="str">
        <f t="shared" ca="1" si="8"/>
        <v xml:space="preserve">Gouveia, L. </v>
      </c>
      <c r="E456" t="str">
        <f t="shared" ca="1" si="1"/>
        <v>2013</v>
      </c>
      <c r="F456" t="str">
        <f t="shared" ca="1" si="2"/>
        <v xml:space="preserve"> Mobilidade Digital. </v>
      </c>
      <c r="G456" s="3">
        <f t="shared" ca="1" si="3"/>
        <v>18</v>
      </c>
      <c r="H456" s="2">
        <f t="shared" ca="1" si="4"/>
        <v>39</v>
      </c>
      <c r="I456" t="e">
        <f t="shared" ca="1" si="5"/>
        <v>#VALUE!</v>
      </c>
      <c r="J456" s="3" t="e">
        <f t="shared" ca="1" si="9"/>
        <v>#VALUE!</v>
      </c>
      <c r="K456" t="str">
        <f t="shared" ca="1" si="6"/>
        <v xml:space="preserve">Gouveia, L. </v>
      </c>
      <c r="L456" t="str">
        <f t="shared" ca="1" si="7"/>
        <v xml:space="preserve">Quental, C. </v>
      </c>
    </row>
    <row r="457" spans="1:12" ht="15.75" customHeight="1">
      <c r="A457">
        <f ca="1">IFERROR(__xludf.DUMMYFUNCTION("""COMPUTED_VALUE"""),89)</f>
        <v>89</v>
      </c>
      <c r="B457" t="str">
        <f ca="1">IFERROR(__xludf.DUMMYFUNCTION("""COMPUTED_VALUE"""),"Gouveia, L. (2013). Reunião de trabalho e integração de atividade. Grupo 
*TRS. 24 de Julho. Instituto Politécnico de Viseu, Viseu.
[ apresentação ]")</f>
        <v>Gouveia, L. (2013). Reunião de trabalho e integração de atividade. Grupo 
*TRS. 24 de Julho. Instituto Politécnico de Viseu, Viseu.
[ apresentação ]</v>
      </c>
      <c r="C457" s="2">
        <f t="shared" ca="1" si="0"/>
        <v>13</v>
      </c>
      <c r="D457" t="str">
        <f t="shared" ca="1" si="8"/>
        <v xml:space="preserve">Gouveia, L. </v>
      </c>
      <c r="E457" t="str">
        <f t="shared" ca="1" si="1"/>
        <v>2013</v>
      </c>
      <c r="F457" t="str">
        <f t="shared" ca="1" si="2"/>
        <v xml:space="preserve"> Reunião de trabalho e integração de atividade. </v>
      </c>
      <c r="G457" s="3">
        <f t="shared" ca="1" si="3"/>
        <v>18</v>
      </c>
      <c r="H457" s="2">
        <f t="shared" ca="1" si="4"/>
        <v>66</v>
      </c>
      <c r="I457" t="e">
        <f t="shared" ca="1" si="5"/>
        <v>#VALUE!</v>
      </c>
      <c r="J457" s="3" t="e">
        <f t="shared" ca="1" si="9"/>
        <v>#VALUE!</v>
      </c>
      <c r="K457" t="str">
        <f t="shared" ca="1" si="6"/>
        <v xml:space="preserve">Gouveia, L. </v>
      </c>
      <c r="L457" t="str">
        <f t="shared" ca="1" si="7"/>
        <v xml:space="preserve">Quental, C. </v>
      </c>
    </row>
    <row r="458" spans="1:12" ht="15.75" customHeight="1">
      <c r="A458">
        <f ca="1">IFERROR(__xludf.DUMMYFUNCTION("""COMPUTED_VALUE"""),88)</f>
        <v>88</v>
      </c>
      <c r="B458" t="str">
        <f ca="1">IFERROR(__xludf.DUMMYFUNCTION("""COMPUTED_VALUE"""),"Gouveia, L. (2013). *Redes e Território*. Seminário, Mestrado de 
Administração Pública. Instituto Politécnico da Guarda. 17 de Maio.
[ apresentação ]")</f>
        <v>Gouveia, L. (2013). *Redes e Território*. Seminário, Mestrado de 
Administração Pública. Instituto Politécnico da Guarda. 17 de Maio.
[ apresentação ]</v>
      </c>
      <c r="C458" s="2">
        <f t="shared" ca="1" si="0"/>
        <v>13</v>
      </c>
      <c r="D458" t="str">
        <f t="shared" ca="1" si="8"/>
        <v xml:space="preserve">Gouveia, L. </v>
      </c>
      <c r="E458" t="str">
        <f t="shared" ca="1" si="1"/>
        <v>2013</v>
      </c>
      <c r="F458" t="str">
        <f t="shared" ca="1" si="2"/>
        <v xml:space="preserve"> *Redes e Território*. </v>
      </c>
      <c r="G458" s="3">
        <f t="shared" ca="1" si="3"/>
        <v>18</v>
      </c>
      <c r="H458" s="2">
        <f t="shared" ca="1" si="4"/>
        <v>41</v>
      </c>
      <c r="I458" t="e">
        <f t="shared" ca="1" si="5"/>
        <v>#VALUE!</v>
      </c>
      <c r="J458" s="3" t="e">
        <f t="shared" ca="1" si="9"/>
        <v>#VALUE!</v>
      </c>
      <c r="K458" t="str">
        <f t="shared" ca="1" si="6"/>
        <v xml:space="preserve">Gouveia, L. </v>
      </c>
      <c r="L458" t="str">
        <f t="shared" ca="1" si="7"/>
        <v xml:space="preserve">Quental, C. </v>
      </c>
    </row>
    <row r="459" spans="1:12" ht="15.75" customHeight="1">
      <c r="A459">
        <f ca="1">IFERROR(__xludf.DUMMYFUNCTION("""COMPUTED_VALUE"""),87)</f>
        <v>87</v>
      </c>
      <c r="B459" t="str">
        <f ca="1">IFERROR(__xludf.DUMMYFUNCTION("""COMPUTED_VALUE"""),"Gouveia, L. e Neves, J. (2013). *Grupo *TRS: T – Tecnologia, R – Redes, S – 
Sociedade. Enquadramento e apresentação*. Universidade Fernando Pessoa. 13 
de Maio.
[ apresentação ]")</f>
        <v>Gouveia, L. e Neves, J. (2013). *Grupo *TRS: T – Tecnologia, R – Redes, S – 
Sociedade. Enquadramento e apresentação*. Universidade Fernando Pessoa. 13 
de Maio.
[ apresentação ]</v>
      </c>
      <c r="C459" s="2">
        <f t="shared" ca="1" si="0"/>
        <v>25</v>
      </c>
      <c r="D459" t="str">
        <f t="shared" ca="1" si="8"/>
        <v xml:space="preserve">Gouveia, L. e Neves, J. </v>
      </c>
      <c r="E459" t="str">
        <f t="shared" ca="1" si="1"/>
        <v>2013</v>
      </c>
      <c r="F459" t="str">
        <f t="shared" ca="1" si="2"/>
        <v xml:space="preserve"> *Grupo *TRS: T – Tecnologia, R – Redes, S – 
Sociedade. </v>
      </c>
      <c r="G459" s="3">
        <f t="shared" ca="1" si="3"/>
        <v>30</v>
      </c>
      <c r="H459" s="2">
        <f t="shared" ca="1" si="4"/>
        <v>87</v>
      </c>
      <c r="I459" t="e">
        <f t="shared" ca="1" si="5"/>
        <v>#VALUE!</v>
      </c>
      <c r="J459" s="3" t="e">
        <f t="shared" ca="1" si="9"/>
        <v>#VALUE!</v>
      </c>
      <c r="K459" t="str">
        <f t="shared" ca="1" si="6"/>
        <v xml:space="preserve">Gouveia, L. e Neves, J. </v>
      </c>
      <c r="L459" t="str">
        <f t="shared" ca="1" si="7"/>
        <v xml:space="preserve">Quental, C. </v>
      </c>
    </row>
    <row r="460" spans="1:12" ht="15.75" customHeight="1">
      <c r="A460">
        <f ca="1">IFERROR(__xludf.DUMMYFUNCTION("""COMPUTED_VALUE"""),86)</f>
        <v>86</v>
      </c>
      <c r="B460" t="str">
        <f ca="1">IFERROR(__xludf.DUMMYFUNCTION("""COMPUTED_VALUE"""),"Gouveia, L. (2013). *The Library, the digital and the quest for open 
access.* UFP's Erasmus Staff Week for Librarians. Workshop. Universidade 
Fernando Pessoa. 20th March.
[ slideshare ]")</f>
        <v>Gouveia, L. (2013). *The Library, the digital and the quest for open 
access.* UFP's Erasmus Staff Week for Librarians. Workshop. Universidade 
Fernando Pessoa. 20th March.
[ slideshare ]</v>
      </c>
      <c r="C460" s="2">
        <f t="shared" ca="1" si="0"/>
        <v>13</v>
      </c>
      <c r="D460" t="str">
        <f t="shared" ca="1" si="8"/>
        <v xml:space="preserve">Gouveia, L. </v>
      </c>
      <c r="E460" t="str">
        <f t="shared" ca="1" si="1"/>
        <v>2013</v>
      </c>
      <c r="F460" t="str">
        <f t="shared" ca="1" si="2"/>
        <v xml:space="preserve"> *The Library, the digital and the quest for open 
access.*</v>
      </c>
      <c r="G460" s="3">
        <f t="shared" ca="1" si="3"/>
        <v>18</v>
      </c>
      <c r="H460" s="2">
        <f t="shared" ca="1" si="4"/>
        <v>77</v>
      </c>
      <c r="I460" t="e">
        <f t="shared" ca="1" si="5"/>
        <v>#VALUE!</v>
      </c>
      <c r="J460" s="3" t="e">
        <f t="shared" ca="1" si="9"/>
        <v>#VALUE!</v>
      </c>
      <c r="K460" t="str">
        <f t="shared" ca="1" si="6"/>
        <v xml:space="preserve">Gouveia, L. </v>
      </c>
      <c r="L460" t="str">
        <f t="shared" ca="1" si="7"/>
        <v xml:space="preserve">Quental, C. </v>
      </c>
    </row>
    <row r="461" spans="1:12" ht="15.75" customHeight="1">
      <c r="A461">
        <f ca="1">IFERROR(__xludf.DUMMYFUNCTION("""COMPUTED_VALUE"""),85)</f>
        <v>85</v>
      </c>
      <c r="B461" t="str">
        <f ca="1">IFERROR(__xludf.DUMMYFUNCTION("""COMPUTED_VALUE"""),"Gouveia, L. (2012). Tudo mudou e o trabalho também. trabalhar no Séc. XXI. 
IGNITE Portugal, Desemprego e trabalhador. Galarias de Paris. Porto. 14 de 
Novembro.
[ slideshare ]")</f>
        <v>Gouveia, L. (2012). Tudo mudou e o trabalho também. trabalhar no Séc. XXI. 
IGNITE Portugal, Desemprego e trabalhador. Galarias de Paris. Porto. 14 de 
Novembro.
[ slideshare ]</v>
      </c>
      <c r="C461" s="2">
        <f t="shared" ca="1" si="0"/>
        <v>13</v>
      </c>
      <c r="D461" t="str">
        <f t="shared" ca="1" si="8"/>
        <v xml:space="preserve">Gouveia, L. </v>
      </c>
      <c r="E461" t="str">
        <f t="shared" ca="1" si="1"/>
        <v>2012</v>
      </c>
      <c r="F461" t="str">
        <f t="shared" ca="1" si="2"/>
        <v xml:space="preserve"> Tudo mudou e o trabalho também. </v>
      </c>
      <c r="G461" s="3">
        <f t="shared" ca="1" si="3"/>
        <v>18</v>
      </c>
      <c r="H461" s="2">
        <f t="shared" ca="1" si="4"/>
        <v>51</v>
      </c>
      <c r="I461" t="e">
        <f t="shared" ca="1" si="5"/>
        <v>#VALUE!</v>
      </c>
      <c r="J461" s="3" t="e">
        <f t="shared" ca="1" si="9"/>
        <v>#VALUE!</v>
      </c>
      <c r="K461" t="str">
        <f t="shared" ca="1" si="6"/>
        <v xml:space="preserve">Gouveia, L. </v>
      </c>
      <c r="L461" t="str">
        <f t="shared" ca="1" si="7"/>
        <v xml:space="preserve">Quental, C. </v>
      </c>
    </row>
    <row r="462" spans="1:12" ht="15.75" customHeight="1">
      <c r="A462">
        <f ca="1">IFERROR(__xludf.DUMMYFUNCTION("""COMPUTED_VALUE"""),84)</f>
        <v>84</v>
      </c>
      <c r="B462" t="str">
        <f ca="1">IFERROR(__xludf.DUMMYFUNCTION("""COMPUTED_VALUE"""),"Gouveia, L. (2012). Apresentação da 14ª Tomada de Posição do GAN. Cultura e 
Arte na SI - Indústrias Criativas. APDSI - GAN. Guimarães: auditório da 
Plataforma das Artes. 29 de Setembro.
[ slideshare ]")</f>
        <v>Gouveia, L. (2012). Apresentação da 14ª Tomada de Posição do GAN. Cultura e 
Arte na SI - Indústrias Criativas. APDSI - GAN. Guimarães: auditório da 
Plataforma das Artes. 29 de Setembro.
[ slideshare ]</v>
      </c>
      <c r="C462" s="2">
        <f t="shared" ca="1" si="0"/>
        <v>13</v>
      </c>
      <c r="D462" t="str">
        <f t="shared" ca="1" si="8"/>
        <v xml:space="preserve">Gouveia, L. </v>
      </c>
      <c r="E462" t="str">
        <f t="shared" ca="1" si="1"/>
        <v>2012</v>
      </c>
      <c r="F462" t="str">
        <f t="shared" ca="1" si="2"/>
        <v xml:space="preserve"> Apresentação da 14ª Tomada de Posição do GAN. </v>
      </c>
      <c r="G462" s="3">
        <f t="shared" ca="1" si="3"/>
        <v>18</v>
      </c>
      <c r="H462" s="2">
        <f t="shared" ca="1" si="4"/>
        <v>65</v>
      </c>
      <c r="I462" t="e">
        <f t="shared" ca="1" si="5"/>
        <v>#VALUE!</v>
      </c>
      <c r="J462" s="3" t="e">
        <f t="shared" ca="1" si="9"/>
        <v>#VALUE!</v>
      </c>
      <c r="K462" t="str">
        <f t="shared" ca="1" si="6"/>
        <v xml:space="preserve">Gouveia, L. </v>
      </c>
      <c r="L462" t="str">
        <f t="shared" ca="1" si="7"/>
        <v xml:space="preserve">Quental, C. </v>
      </c>
    </row>
    <row r="463" spans="1:12" ht="15.75" customHeight="1">
      <c r="A463">
        <f ca="1">IFERROR(__xludf.DUMMYFUNCTION("""COMPUTED_VALUE"""),83)</f>
        <v>83</v>
      </c>
      <c r="B463" t="str">
        <f ca="1">IFERROR(__xludf.DUMMYFUNCTION("""COMPUTED_VALUE"""),"Gouveia, L. (2012). O uso de dispositivos móveis no ensino superior 
tradicional: do fluxo de informação à organização de espaços. Workshop 2 
anos do e-learning Lab da UL. Salão Nobre da Reitoria da Universidade de 
Lisboa. Universidade de Lisboa, 3 de J"&amp;"unho.
[ slideshare ]")</f>
        <v>Gouveia, L. (2012). O uso de dispositivos móveis no ensino superior 
tradicional: do fluxo de informação à organização de espaços. Workshop 2 
anos do e-learning Lab da UL. Salão Nobre da Reitoria da Universidade de 
Lisboa. Universidade de Lisboa, 3 de Junho.
[ slideshare ]</v>
      </c>
      <c r="C463" s="2">
        <f t="shared" ca="1" si="0"/>
        <v>13</v>
      </c>
      <c r="D463" t="str">
        <f t="shared" ca="1" si="8"/>
        <v xml:space="preserve">Gouveia, L. </v>
      </c>
      <c r="E463" t="str">
        <f t="shared" ca="1" si="1"/>
        <v>2012</v>
      </c>
      <c r="F463" t="str">
        <f t="shared" ca="1" si="2"/>
        <v xml:space="preserve"> O uso de dispositivos móveis no ensino superior 
tradicional: do fluxo de informação à organização de espaços. </v>
      </c>
      <c r="G463" s="3">
        <f t="shared" ca="1" si="3"/>
        <v>18</v>
      </c>
      <c r="H463" s="2">
        <f t="shared" ca="1" si="4"/>
        <v>130</v>
      </c>
      <c r="I463" t="e">
        <f t="shared" ca="1" si="5"/>
        <v>#VALUE!</v>
      </c>
      <c r="J463" s="3" t="e">
        <f t="shared" ca="1" si="9"/>
        <v>#VALUE!</v>
      </c>
      <c r="K463" t="str">
        <f t="shared" ca="1" si="6"/>
        <v xml:space="preserve">Gouveia, L. </v>
      </c>
      <c r="L463" t="str">
        <f t="shared" ca="1" si="7"/>
        <v xml:space="preserve">Quental, C. </v>
      </c>
    </row>
    <row r="464" spans="1:12" ht="15.75" customHeight="1">
      <c r="A464">
        <f ca="1">IFERROR(__xludf.DUMMYFUNCTION("""COMPUTED_VALUE"""),82)</f>
        <v>82</v>
      </c>
      <c r="B464" t="str">
        <f ca="1">IFERROR(__xludf.DUMMYFUNCTION("""COMPUTED_VALUE"""),"Gouveia, L. (2012). Educação Sustentável e Redes de Aprendizagem. Social 
Media Day. Mashable. Convento Corpus Christi. Vila Nova de Gaia, Portugal.
[ slideshare ]")</f>
        <v>Gouveia, L. (2012). Educação Sustentável e Redes de Aprendizagem. Social 
Media Day. Mashable. Convento Corpus Christi. Vila Nova de Gaia, Portugal.
[ slideshare ]</v>
      </c>
      <c r="C464" s="2">
        <f t="shared" ca="1" si="0"/>
        <v>13</v>
      </c>
      <c r="D464" t="str">
        <f t="shared" ca="1" si="8"/>
        <v xml:space="preserve">Gouveia, L. </v>
      </c>
      <c r="E464" t="str">
        <f t="shared" ca="1" si="1"/>
        <v>2012</v>
      </c>
      <c r="F464" t="str">
        <f t="shared" ca="1" si="2"/>
        <v xml:space="preserve"> Educação Sustentável e Redes de Aprendizagem. </v>
      </c>
      <c r="G464" s="3">
        <f t="shared" ca="1" si="3"/>
        <v>18</v>
      </c>
      <c r="H464" s="2">
        <f t="shared" ca="1" si="4"/>
        <v>65</v>
      </c>
      <c r="I464" t="e">
        <f t="shared" ca="1" si="5"/>
        <v>#VALUE!</v>
      </c>
      <c r="J464" s="3" t="e">
        <f t="shared" ca="1" si="9"/>
        <v>#VALUE!</v>
      </c>
      <c r="K464" t="str">
        <f t="shared" ca="1" si="6"/>
        <v xml:space="preserve">Gouveia, L. </v>
      </c>
      <c r="L464" t="str">
        <f t="shared" ca="1" si="7"/>
        <v xml:space="preserve">Quental, C. </v>
      </c>
    </row>
    <row r="465" spans="1:12" ht="15.75" customHeight="1">
      <c r="A465">
        <f ca="1">IFERROR(__xludf.DUMMYFUNCTION("""COMPUTED_VALUE"""),81)</f>
        <v>81</v>
      </c>
      <c r="B465" t="str">
        <f ca="1">IFERROR(__xludf.DUMMYFUNCTION("""COMPUTED_VALUE"""),"Gouveia, L. (2012). A Universidade e a Sociedade do Conhecimento 
(manifesto). 21º IGNITE Portugal. Galerias de Paris. 11 de Abril. Porto.
apresentação [ slideshare ] video [ youtube ]")</f>
        <v>Gouveia, L. (2012). A Universidade e a Sociedade do Conhecimento 
(manifesto). 21º IGNITE Portugal. Galerias de Paris. 11 de Abril. Porto.
apresentação [ slideshare ] video [ youtube ]</v>
      </c>
      <c r="C465" s="2">
        <f t="shared" ca="1" si="0"/>
        <v>13</v>
      </c>
      <c r="D465" t="str">
        <f t="shared" ca="1" si="8"/>
        <v xml:space="preserve">Gouveia, L. </v>
      </c>
      <c r="E465" t="str">
        <f t="shared" ca="1" si="1"/>
        <v>2012</v>
      </c>
      <c r="F465" t="str">
        <f t="shared" ca="1" si="2"/>
        <v xml:space="preserve"> A Universidade e a Sociedade do Conhecimento 
(manifesto). </v>
      </c>
      <c r="G465" s="3">
        <f t="shared" ca="1" si="3"/>
        <v>18</v>
      </c>
      <c r="H465" s="2">
        <f t="shared" ca="1" si="4"/>
        <v>78</v>
      </c>
      <c r="I465" t="e">
        <f t="shared" ca="1" si="5"/>
        <v>#VALUE!</v>
      </c>
      <c r="J465" s="3" t="e">
        <f t="shared" ca="1" si="9"/>
        <v>#VALUE!</v>
      </c>
      <c r="K465" t="str">
        <f t="shared" ca="1" si="6"/>
        <v xml:space="preserve">Gouveia, L. </v>
      </c>
      <c r="L465" t="str">
        <f t="shared" ca="1" si="7"/>
        <v xml:space="preserve">Quental, C. </v>
      </c>
    </row>
    <row r="466" spans="1:12" ht="15.75" customHeight="1">
      <c r="A466">
        <f ca="1">IFERROR(__xludf.DUMMYFUNCTION("""COMPUTED_VALUE"""),80)</f>
        <v>80</v>
      </c>
      <c r="B466" t="str">
        <f ca="1">IFERROR(__xludf.DUMMYFUNCTION("""COMPUTED_VALUE"""),"Gouveia, L. (2012). Participar na e descobrir informação: o digital e o 
papel da biblioteca. II Encontro Bibliotecas Escolares. Biblioteca 
Municipal de Barcelos. 9 de Março. Barcelos.
apresentação [ slideshare ]")</f>
        <v>Gouveia, L. (2012). Participar na e descobrir informação: o digital e o 
papel da biblioteca. II Encontro Bibliotecas Escolares. Biblioteca 
Municipal de Barcelos. 9 de Março. Barcelos.
apresentação [ slideshare ]</v>
      </c>
      <c r="C466" s="2">
        <f t="shared" ca="1" si="0"/>
        <v>13</v>
      </c>
      <c r="D466" t="str">
        <f t="shared" ca="1" si="8"/>
        <v xml:space="preserve">Gouveia, L. </v>
      </c>
      <c r="E466" t="str">
        <f t="shared" ca="1" si="1"/>
        <v>2012</v>
      </c>
      <c r="F466" t="str">
        <f t="shared" ca="1" si="2"/>
        <v xml:space="preserve"> Participar na e descobrir informação: o digital e o 
papel da biblioteca. </v>
      </c>
      <c r="G466" s="3">
        <f t="shared" ca="1" si="3"/>
        <v>18</v>
      </c>
      <c r="H466" s="2">
        <f t="shared" ca="1" si="4"/>
        <v>93</v>
      </c>
      <c r="I466" t="e">
        <f t="shared" ca="1" si="5"/>
        <v>#VALUE!</v>
      </c>
      <c r="J466" s="3" t="e">
        <f t="shared" ca="1" si="9"/>
        <v>#VALUE!</v>
      </c>
      <c r="K466" t="str">
        <f t="shared" ca="1" si="6"/>
        <v xml:space="preserve">Gouveia, L. </v>
      </c>
      <c r="L466" t="str">
        <f t="shared" ca="1" si="7"/>
        <v xml:space="preserve">Quental, C. </v>
      </c>
    </row>
    <row r="467" spans="1:12" ht="15.75" customHeight="1">
      <c r="A467">
        <f ca="1">IFERROR(__xludf.DUMMYFUNCTION("""COMPUTED_VALUE"""),79)</f>
        <v>79</v>
      </c>
      <c r="B467" t="str">
        <f ca="1">IFERROR(__xludf.DUMMYFUNCTION("""COMPUTED_VALUE"""),"Gouveia, L. (2011). As oportunidades e desafios do digital para o 
território: do e-government ao e-governance. Sistemas de Informação na 
Administração Pública. Mestrado em Gestão, do ramo de Administração 
Pública. Escola Superior de Gestão. Instituto P"&amp;"olitécnico da Guarda. 
Guarda, 14 de Outubro.
apresentação [ slideshare ]")</f>
        <v>Gouveia, L. (2011). As oportunidades e desafios do digital para o 
território: do e-government ao e-governance. Sistemas de Informação na 
Administração Pública. Mestrado em Gestão, do ramo de Administração 
Pública. Escola Superior de Gestão. Instituto Politécnico da Guarda. 
Guarda, 14 de Outubro.
apresentação [ slideshare ]</v>
      </c>
      <c r="C467" s="2">
        <f t="shared" ca="1" si="0"/>
        <v>13</v>
      </c>
      <c r="D467" t="str">
        <f t="shared" ca="1" si="8"/>
        <v xml:space="preserve">Gouveia, L. </v>
      </c>
      <c r="E467" t="str">
        <f t="shared" ca="1" si="1"/>
        <v>2011</v>
      </c>
      <c r="F467" t="str">
        <f t="shared" ca="1" si="2"/>
        <v xml:space="preserve"> As oportunidades e desafios do digital para o 
território: do e-government ao e-governance. </v>
      </c>
      <c r="G467" s="3">
        <f t="shared" ca="1" si="3"/>
        <v>18</v>
      </c>
      <c r="H467" s="2">
        <f t="shared" ca="1" si="4"/>
        <v>111</v>
      </c>
      <c r="I467" t="e">
        <f t="shared" ca="1" si="5"/>
        <v>#VALUE!</v>
      </c>
      <c r="J467" s="3" t="e">
        <f t="shared" ca="1" si="9"/>
        <v>#VALUE!</v>
      </c>
      <c r="K467" t="str">
        <f t="shared" ca="1" si="6"/>
        <v xml:space="preserve">Gouveia, L. </v>
      </c>
      <c r="L467" t="str">
        <f t="shared" ca="1" si="7"/>
        <v xml:space="preserve">Quental, C. </v>
      </c>
    </row>
    <row r="468" spans="1:12" ht="15.75" customHeight="1">
      <c r="A468">
        <f ca="1">IFERROR(__xludf.DUMMYFUNCTION("""COMPUTED_VALUE"""),78)</f>
        <v>78</v>
      </c>
      <c r="B468" t="str">
        <f ca="1">IFERROR(__xludf.DUMMYFUNCTION("""COMPUTED_VALUE"""),"Gouveia, L. (2011). Participação no Dia Mundial de Redes. Exponor. 30 de 
Junho.")</f>
        <v>Gouveia, L. (2011). Participação no Dia Mundial de Redes. Exponor. 30 de 
Junho.</v>
      </c>
      <c r="C468" s="2">
        <f t="shared" ca="1" si="0"/>
        <v>13</v>
      </c>
      <c r="D468" t="str">
        <f t="shared" ca="1" si="8"/>
        <v xml:space="preserve">Gouveia, L. </v>
      </c>
      <c r="E468" t="str">
        <f t="shared" ca="1" si="1"/>
        <v>2011</v>
      </c>
      <c r="F468" t="str">
        <f t="shared" ca="1" si="2"/>
        <v xml:space="preserve"> Participação no Dia Mundial de Redes. </v>
      </c>
      <c r="G468" s="3">
        <f t="shared" ca="1" si="3"/>
        <v>18</v>
      </c>
      <c r="H468" s="2">
        <f t="shared" ca="1" si="4"/>
        <v>57</v>
      </c>
      <c r="I468" t="e">
        <f t="shared" ca="1" si="5"/>
        <v>#VALUE!</v>
      </c>
      <c r="J468" s="3" t="e">
        <f t="shared" ca="1" si="9"/>
        <v>#VALUE!</v>
      </c>
      <c r="K468" t="str">
        <f t="shared" ca="1" si="6"/>
        <v xml:space="preserve">Gouveia, L. </v>
      </c>
      <c r="L468" t="str">
        <f t="shared" ca="1" si="7"/>
        <v xml:space="preserve">Quental, C. </v>
      </c>
    </row>
    <row r="469" spans="1:12" ht="15.75" customHeight="1">
      <c r="A469">
        <f ca="1">IFERROR(__xludf.DUMMYFUNCTION("""COMPUTED_VALUE"""),77)</f>
        <v>77</v>
      </c>
      <c r="B469" t="str">
        <f ca="1">IFERROR(__xludf.DUMMYFUNCTION("""COMPUTED_VALUE"""),"Gouveia, L. (2011). A Governação Digital na Autarquia e o tempo das redes. 
Palestra de Negócio e Governo Electrónico na Pós-Graduação em Informação 
Empresarial. Escola Superior de Estudos Industriais e de Gestão 
(Politécnico do Porto). Vila do Conde. 5"&amp;" de Março.
apresentação [ slideshare ]")</f>
        <v>Gouveia, L. (2011). A Governação Digital na Autarquia e o tempo das redes. 
Palestra de Negócio e Governo Electrónico na Pós-Graduação em Informação 
Empresarial. Escola Superior de Estudos Industriais e de Gestão 
(Politécnico do Porto). Vila do Conde. 5 de Março.
apresentação [ slideshare ]</v>
      </c>
      <c r="C469" s="2">
        <f t="shared" ca="1" si="0"/>
        <v>13</v>
      </c>
      <c r="D469" t="str">
        <f t="shared" ca="1" si="8"/>
        <v xml:space="preserve">Gouveia, L. </v>
      </c>
      <c r="E469" t="str">
        <f t="shared" ca="1" si="1"/>
        <v>2011</v>
      </c>
      <c r="F469" t="str">
        <f t="shared" ca="1" si="2"/>
        <v xml:space="preserve"> A Governação Digital na Autarquia e o tempo das redes. </v>
      </c>
      <c r="G469" s="3">
        <f t="shared" ca="1" si="3"/>
        <v>18</v>
      </c>
      <c r="H469" s="2">
        <f t="shared" ca="1" si="4"/>
        <v>74</v>
      </c>
      <c r="I469" t="str">
        <f t="shared" ca="1" si="5"/>
        <v xml:space="preserve">
Palestra de Negócio e Governo Electrónico na Pós-Graduação em Informação 
Empresarial. Escola Superior de Estudos Industriais e de Gestão 
(Politécnico do Porto).</v>
      </c>
      <c r="J469" s="3">
        <f t="shared" ca="1" si="9"/>
        <v>237</v>
      </c>
      <c r="K469" t="str">
        <f t="shared" ca="1" si="6"/>
        <v xml:space="preserve">Gouveia, L. </v>
      </c>
      <c r="L469" t="str">
        <f t="shared" ca="1" si="7"/>
        <v xml:space="preserve">Quental, C. </v>
      </c>
    </row>
    <row r="470" spans="1:12" ht="15.75" customHeight="1">
      <c r="A470">
        <f ca="1">IFERROR(__xludf.DUMMYFUNCTION("""COMPUTED_VALUE"""),76)</f>
        <v>76</v>
      </c>
      <c r="B470" t="str">
        <f ca="1">IFERROR(__xludf.DUMMYFUNCTION("""COMPUTED_VALUE"""),"Gouveia, L. (2010). Gerir conhecimento, com o território e com as pessoas. 
Palestra convidada no Seminário Emprego e Formação na Administração Local. 
Universidade do Minho, Braga, 3 de Dezembro.
apresentação [ slideshare ]")</f>
        <v>Gouveia, L. (2010). Gerir conhecimento, com o território e com as pessoas. 
Palestra convidada no Seminário Emprego e Formação na Administração Local. 
Universidade do Minho, Braga, 3 de Dezembro.
apresentação [ slideshare ]</v>
      </c>
      <c r="C470" s="2">
        <f t="shared" ca="1" si="0"/>
        <v>13</v>
      </c>
      <c r="D470" t="str">
        <f t="shared" ca="1" si="8"/>
        <v xml:space="preserve">Gouveia, L. </v>
      </c>
      <c r="E470" t="str">
        <f t="shared" ca="1" si="1"/>
        <v>2010</v>
      </c>
      <c r="F470" t="str">
        <f t="shared" ca="1" si="2"/>
        <v xml:space="preserve"> Gerir conhecimento, com o território e com as pessoas. </v>
      </c>
      <c r="G470" s="3">
        <f t="shared" ca="1" si="3"/>
        <v>18</v>
      </c>
      <c r="H470" s="2">
        <f t="shared" ca="1" si="4"/>
        <v>74</v>
      </c>
      <c r="I470" t="e">
        <f t="shared" ca="1" si="5"/>
        <v>#VALUE!</v>
      </c>
      <c r="J470" s="3" t="e">
        <f t="shared" ca="1" si="9"/>
        <v>#VALUE!</v>
      </c>
      <c r="K470" t="str">
        <f t="shared" ca="1" si="6"/>
        <v xml:space="preserve">Gouveia, L. </v>
      </c>
      <c r="L470" t="str">
        <f t="shared" ca="1" si="7"/>
        <v xml:space="preserve">Quental, C. </v>
      </c>
    </row>
    <row r="471" spans="1:12" ht="15.75" customHeight="1">
      <c r="A471">
        <f ca="1">IFERROR(__xludf.DUMMYFUNCTION("""COMPUTED_VALUE"""),75)</f>
        <v>75</v>
      </c>
      <c r="B471" t="str">
        <f ca="1">IFERROR(__xludf.DUMMYFUNCTION("""COMPUTED_VALUE"""),"Gouveia, L. (2010). *Dinamizar, aproximar e projectar o território com o 
digital*. Conferência Cidades pela Retoma. 20-21 de Outubro. Clube 
Literário do Porto. Porto, 21 de Outubro.
apresentação [ slideshare ]")</f>
        <v>Gouveia, L. (2010). *Dinamizar, aproximar e projectar o território com o 
digital*. Conferência Cidades pela Retoma. 20-21 de Outubro. Clube 
Literário do Porto. Porto, 21 de Outubro.
apresentação [ slideshare ]</v>
      </c>
      <c r="C471" s="2">
        <f t="shared" ca="1" si="0"/>
        <v>13</v>
      </c>
      <c r="D471" t="str">
        <f t="shared" ca="1" si="8"/>
        <v xml:space="preserve">Gouveia, L. </v>
      </c>
      <c r="E471" t="str">
        <f t="shared" ca="1" si="1"/>
        <v>2010</v>
      </c>
      <c r="F471" t="str">
        <f t="shared" ca="1" si="2"/>
        <v xml:space="preserve"> *Dinamizar, aproximar e projectar o território com o 
digital*. </v>
      </c>
      <c r="G471" s="3">
        <f t="shared" ca="1" si="3"/>
        <v>18</v>
      </c>
      <c r="H471" s="2">
        <f t="shared" ca="1" si="4"/>
        <v>83</v>
      </c>
      <c r="I471" t="e">
        <f t="shared" ca="1" si="5"/>
        <v>#VALUE!</v>
      </c>
      <c r="J471" s="3" t="e">
        <f t="shared" ca="1" si="9"/>
        <v>#VALUE!</v>
      </c>
      <c r="K471" t="str">
        <f t="shared" ca="1" si="6"/>
        <v xml:space="preserve">Gouveia, L. </v>
      </c>
      <c r="L471" t="str">
        <f t="shared" ca="1" si="7"/>
        <v xml:space="preserve">Quental, C. </v>
      </c>
    </row>
    <row r="472" spans="1:12" ht="15.75" customHeight="1">
      <c r="A472">
        <f ca="1">IFERROR(__xludf.DUMMYFUNCTION("""COMPUTED_VALUE"""),74)</f>
        <v>74</v>
      </c>
      <c r="B472" t="str">
        <f ca="1">IFERROR(__xludf.DUMMYFUNCTION("""COMPUTED_VALUE"""),"Gouveia, L. (2010). *Opensource e a Sociedade da Informação: uma crítica 
sobre os custos associados*. Semana do Acesso Livre da Universidade 
Fernando Pessoa. Porto, 19 de Outubro.
apresentação [ slideshare ]")</f>
        <v>Gouveia, L. (2010). *Opensource e a Sociedade da Informação: uma crítica 
sobre os custos associados*. Semana do Acesso Livre da Universidade 
Fernando Pessoa. Porto, 19 de Outubro.
apresentação [ slideshare ]</v>
      </c>
      <c r="C472" s="2">
        <f t="shared" ca="1" si="0"/>
        <v>13</v>
      </c>
      <c r="D472" t="str">
        <f t="shared" ca="1" si="8"/>
        <v xml:space="preserve">Gouveia, L. </v>
      </c>
      <c r="E472" t="str">
        <f t="shared" ca="1" si="1"/>
        <v>2010</v>
      </c>
      <c r="F472" t="str">
        <f t="shared" ca="1" si="2"/>
        <v xml:space="preserve"> *Opensource e a Sociedade da Informação: uma crítica 
sobre os custos associados*. </v>
      </c>
      <c r="G472" s="3">
        <f t="shared" ca="1" si="3"/>
        <v>18</v>
      </c>
      <c r="H472" s="2">
        <f t="shared" ca="1" si="4"/>
        <v>102</v>
      </c>
      <c r="I472" t="e">
        <f t="shared" ca="1" si="5"/>
        <v>#VALUE!</v>
      </c>
      <c r="J472" s="3" t="e">
        <f t="shared" ca="1" si="9"/>
        <v>#VALUE!</v>
      </c>
      <c r="K472" t="str">
        <f t="shared" ca="1" si="6"/>
        <v xml:space="preserve">Gouveia, L. </v>
      </c>
      <c r="L472" t="str">
        <f t="shared" ca="1" si="7"/>
        <v xml:space="preserve">Quental, C. </v>
      </c>
    </row>
    <row r="473" spans="1:12" ht="15.75" customHeight="1">
      <c r="A473">
        <f ca="1">IFERROR(__xludf.DUMMYFUNCTION("""COMPUTED_VALUE"""),73)</f>
        <v>73</v>
      </c>
      <c r="B473" t="str">
        <f ca="1">IFERROR(__xludf.DUMMYFUNCTION("""COMPUTED_VALUE"""),"Gouveia, L. (2010). *Democracy for a New Age*. World e.gov Forum. 
Presentation at the European e-democracy Awards. Hotel de Ville d’ 
Issy-les-Moulineaux. Paris. 14th October. 
apresentação [ slideshare ]")</f>
        <v>Gouveia, L. (2010). *Democracy for a New Age*. World e.gov Forum. 
Presentation at the European e-democracy Awards. Hotel de Ville d’ 
Issy-les-Moulineaux. Paris. 14th October. 
apresentação [ slideshare ]</v>
      </c>
      <c r="C473" s="2">
        <f t="shared" ca="1" si="0"/>
        <v>13</v>
      </c>
      <c r="D473" t="str">
        <f t="shared" ca="1" si="8"/>
        <v xml:space="preserve">Gouveia, L. </v>
      </c>
      <c r="E473" t="str">
        <f t="shared" ca="1" si="1"/>
        <v>2010</v>
      </c>
      <c r="F473" t="str">
        <f t="shared" ca="1" si="2"/>
        <v xml:space="preserve"> *Democracy for a New Age*. </v>
      </c>
      <c r="G473" s="3">
        <f t="shared" ca="1" si="3"/>
        <v>18</v>
      </c>
      <c r="H473" s="2">
        <f t="shared" ca="1" si="4"/>
        <v>46</v>
      </c>
      <c r="I473" t="e">
        <f t="shared" ca="1" si="5"/>
        <v>#VALUE!</v>
      </c>
      <c r="J473" s="3" t="e">
        <f t="shared" ca="1" si="9"/>
        <v>#VALUE!</v>
      </c>
      <c r="K473" t="str">
        <f t="shared" ca="1" si="6"/>
        <v xml:space="preserve">Gouveia, L. </v>
      </c>
      <c r="L473" t="str">
        <f t="shared" ca="1" si="7"/>
        <v xml:space="preserve">Quental, C. </v>
      </c>
    </row>
    <row r="474" spans="1:12" ht="15.75" customHeight="1">
      <c r="A474">
        <f ca="1">IFERROR(__xludf.DUMMYFUNCTION("""COMPUTED_VALUE"""),72)</f>
        <v>72</v>
      </c>
      <c r="B474" t="str">
        <f ca="1">IFERROR(__xludf.DUMMYFUNCTION("""COMPUTED_VALUE"""),"Gouveia, L. (2010). *Beyond digital cities: a territorial concern on how to 
cope with globilisation*. Research Seminar. University East London (UEL). 
London, 15th September. 
presentation [ slideshare ]")</f>
        <v>Gouveia, L. (2010). *Beyond digital cities: a territorial concern on how to 
cope with globilisation*. Research Seminar. University East London (UEL). 
London, 15th September. 
presentation [ slideshare ]</v>
      </c>
      <c r="C474" s="2">
        <f t="shared" ca="1" si="0"/>
        <v>13</v>
      </c>
      <c r="D474" t="str">
        <f t="shared" ca="1" si="8"/>
        <v xml:space="preserve">Gouveia, L. </v>
      </c>
      <c r="E474" t="str">
        <f t="shared" ca="1" si="1"/>
        <v>2010</v>
      </c>
      <c r="F474" t="str">
        <f t="shared" ca="1" si="2"/>
        <v xml:space="preserve"> *Beyond digital cities: a territorial concern on how to 
cope with globilisation*. </v>
      </c>
      <c r="G474" s="3">
        <f t="shared" ca="1" si="3"/>
        <v>18</v>
      </c>
      <c r="H474" s="2">
        <f t="shared" ca="1" si="4"/>
        <v>102</v>
      </c>
      <c r="I474" t="str">
        <f t="shared" ca="1" si="5"/>
        <v>Research Seminar. University East London (UEL).</v>
      </c>
      <c r="J474" s="3">
        <f t="shared" ca="1" si="9"/>
        <v>149</v>
      </c>
      <c r="K474" t="str">
        <f t="shared" ca="1" si="6"/>
        <v xml:space="preserve">Gouveia, L. </v>
      </c>
      <c r="L474" t="str">
        <f t="shared" ca="1" si="7"/>
        <v xml:space="preserve">Quental, C. </v>
      </c>
    </row>
    <row r="475" spans="1:12" ht="15.75" customHeight="1">
      <c r="A475">
        <f ca="1">IFERROR(__xludf.DUMMYFUNCTION("""COMPUTED_VALUE"""),71)</f>
        <v>71</v>
      </c>
      <c r="B475" t="str">
        <f ca="1">IFERROR(__xludf.DUMMYFUNCTION("""COMPUTED_VALUE"""),"Gouveia, L. (2010). Uma reflexão crítica sobre a soberania da escola e do 
professor face às TIC. Seminário no Mestrado TIC na Educação. Universidade 
Portucalense. Porto, 11 de Setembro de 2010.
apresentação [ slideshare ]")</f>
        <v>Gouveia, L. (2010). Uma reflexão crítica sobre a soberania da escola e do 
professor face às TIC. Seminário no Mestrado TIC na Educação. Universidade 
Portucalense. Porto, 11 de Setembro de 2010.
apresentação [ slideshare ]</v>
      </c>
      <c r="C475" s="2">
        <f t="shared" ca="1" si="0"/>
        <v>13</v>
      </c>
      <c r="D475" t="str">
        <f t="shared" ca="1" si="8"/>
        <v xml:space="preserve">Gouveia, L. </v>
      </c>
      <c r="E475" t="str">
        <f t="shared" ca="1" si="1"/>
        <v>2010</v>
      </c>
      <c r="F475" t="str">
        <f t="shared" ca="1" si="2"/>
        <v xml:space="preserve"> Uma reflexão crítica sobre a soberania da escola e do 
professor face às TIC. </v>
      </c>
      <c r="G475" s="3">
        <f t="shared" ca="1" si="3"/>
        <v>18</v>
      </c>
      <c r="H475" s="2">
        <f t="shared" ca="1" si="4"/>
        <v>97</v>
      </c>
      <c r="I475" t="e">
        <f t="shared" ca="1" si="5"/>
        <v>#VALUE!</v>
      </c>
      <c r="J475" s="3" t="e">
        <f t="shared" ca="1" si="9"/>
        <v>#VALUE!</v>
      </c>
      <c r="K475" t="str">
        <f t="shared" ca="1" si="6"/>
        <v xml:space="preserve">Gouveia, L. </v>
      </c>
      <c r="L475" t="str">
        <f t="shared" ca="1" si="7"/>
        <v xml:space="preserve">Quental, C. </v>
      </c>
    </row>
    <row r="476" spans="1:12" ht="15.75" customHeight="1">
      <c r="A476">
        <f ca="1">IFERROR(__xludf.DUMMYFUNCTION("""COMPUTED_VALUE"""),70)</f>
        <v>70</v>
      </c>
      <c r="B476" t="str">
        <f ca="1">IFERROR(__xludf.DUMMYFUNCTION("""COMPUTED_VALUE"""),"Gouveia, L. (2010). O tempo das redes. Apresentação no 7º Ignite Portugal. 
IGNITE. The Hub. Porto, 14 de Julho.
apresentação [ slideshare ]")</f>
        <v>Gouveia, L. (2010). O tempo das redes. Apresentação no 7º Ignite Portugal. 
IGNITE. The Hub. Porto, 14 de Julho.
apresentação [ slideshare ]</v>
      </c>
      <c r="C476" s="2">
        <f t="shared" ca="1" si="0"/>
        <v>13</v>
      </c>
      <c r="D476" t="str">
        <f t="shared" ca="1" si="8"/>
        <v xml:space="preserve">Gouveia, L. </v>
      </c>
      <c r="E476" t="str">
        <f t="shared" ca="1" si="1"/>
        <v>2010</v>
      </c>
      <c r="F476" t="str">
        <f t="shared" ca="1" si="2"/>
        <v xml:space="preserve"> O tempo das redes. </v>
      </c>
      <c r="G476" s="3">
        <f t="shared" ca="1" si="3"/>
        <v>18</v>
      </c>
      <c r="H476" s="2">
        <f t="shared" ca="1" si="4"/>
        <v>38</v>
      </c>
      <c r="I476" t="e">
        <f t="shared" ca="1" si="5"/>
        <v>#VALUE!</v>
      </c>
      <c r="J476" s="3" t="e">
        <f t="shared" ca="1" si="9"/>
        <v>#VALUE!</v>
      </c>
      <c r="K476" t="str">
        <f t="shared" ca="1" si="6"/>
        <v xml:space="preserve">Gouveia, L. </v>
      </c>
      <c r="L476" t="str">
        <f t="shared" ca="1" si="7"/>
        <v xml:space="preserve">Quental, C. </v>
      </c>
    </row>
    <row r="477" spans="1:12" ht="15.75" customHeight="1">
      <c r="A477">
        <f ca="1">IFERROR(__xludf.DUMMYFUNCTION("""COMPUTED_VALUE"""),69)</f>
        <v>69</v>
      </c>
      <c r="B477" t="str">
        <f ca="1">IFERROR(__xludf.DUMMYFUNCTION("""COMPUTED_VALUE"""),"Gouveia, L. (2010). Uma reflexão crítica sobre a Web Social e o seu uso no 
ensino superior. LEA – Workshop sobre meios não convencionais de 
comunicação com estudantes. Faculdade de Engenharia da Universidade do 
Porto. Porto, 7 de Julho.
apresentação [ "&amp;"slideshare ]")</f>
        <v>Gouveia, L. (2010). Uma reflexão crítica sobre a Web Social e o seu uso no 
ensino superior. LEA – Workshop sobre meios não convencionais de 
comunicação com estudantes. Faculdade de Engenharia da Universidade do 
Porto. Porto, 7 de Julho.
apresentação [ slideshare ]</v>
      </c>
      <c r="C477" s="2">
        <f t="shared" ca="1" si="0"/>
        <v>13</v>
      </c>
      <c r="D477" t="str">
        <f t="shared" ca="1" si="8"/>
        <v xml:space="preserve">Gouveia, L. </v>
      </c>
      <c r="E477" t="str">
        <f t="shared" ca="1" si="1"/>
        <v>2010</v>
      </c>
      <c r="F477" t="str">
        <f t="shared" ca="1" si="2"/>
        <v xml:space="preserve"> Uma reflexão crítica sobre a Web Social e o seu uso no 
ensino superior. </v>
      </c>
      <c r="G477" s="3">
        <f t="shared" ca="1" si="3"/>
        <v>18</v>
      </c>
      <c r="H477" s="2">
        <f t="shared" ca="1" si="4"/>
        <v>92</v>
      </c>
      <c r="I477" t="e">
        <f t="shared" ca="1" si="5"/>
        <v>#VALUE!</v>
      </c>
      <c r="J477" s="3" t="e">
        <f t="shared" ca="1" si="9"/>
        <v>#VALUE!</v>
      </c>
      <c r="K477" t="str">
        <f t="shared" ca="1" si="6"/>
        <v xml:space="preserve">Gouveia, L. </v>
      </c>
      <c r="L477" t="str">
        <f t="shared" ca="1" si="7"/>
        <v xml:space="preserve">Quental, C. </v>
      </c>
    </row>
    <row r="478" spans="1:12" ht="15.75" customHeight="1">
      <c r="A478">
        <f ca="1">IFERROR(__xludf.DUMMYFUNCTION("""COMPUTED_VALUE"""),68)</f>
        <v>68</v>
      </c>
      <c r="B478" t="str">
        <f ca="1">IFERROR(__xludf.DUMMYFUNCTION("""COMPUTED_VALUE"""),"Gouveia, L. (2010). Ousar e fazer nas (e com) redes sociais! Portugal 
Social Media Day. UPTEC – Parque de Ciência e Tecnologia da Universidade do 
Porto. Porto, 30 de Junho.
apresentação [ slideshare ]")</f>
        <v>Gouveia, L. (2010). Ousar e fazer nas (e com) redes sociais! Portugal 
Social Media Day. UPTEC – Parque de Ciência e Tecnologia da Universidade do 
Porto. Porto, 30 de Junho.
apresentação [ slideshare ]</v>
      </c>
      <c r="C478" s="2">
        <f t="shared" ca="1" si="0"/>
        <v>13</v>
      </c>
      <c r="D478" t="str">
        <f t="shared" ca="1" si="8"/>
        <v xml:space="preserve">Gouveia, L. </v>
      </c>
      <c r="E478" t="str">
        <f t="shared" ca="1" si="1"/>
        <v>2010</v>
      </c>
      <c r="F478" t="str">
        <f t="shared" ca="1" si="2"/>
        <v xml:space="preserve"> Ousar e fazer nas (e com) redes sociais! Portugal 
Social Media Day. </v>
      </c>
      <c r="G478" s="3">
        <f t="shared" ca="1" si="3"/>
        <v>18</v>
      </c>
      <c r="H478" s="2">
        <f t="shared" ca="1" si="4"/>
        <v>88</v>
      </c>
      <c r="I478" t="e">
        <f t="shared" ca="1" si="5"/>
        <v>#VALUE!</v>
      </c>
      <c r="J478" s="3" t="e">
        <f t="shared" ca="1" si="9"/>
        <v>#VALUE!</v>
      </c>
      <c r="K478" t="str">
        <f t="shared" ca="1" si="6"/>
        <v xml:space="preserve">Gouveia, L. </v>
      </c>
      <c r="L478" t="str">
        <f t="shared" ca="1" si="7"/>
        <v xml:space="preserve">Quental, C. </v>
      </c>
    </row>
    <row r="479" spans="1:12" ht="15.75" customHeight="1">
      <c r="A479">
        <f ca="1">IFERROR(__xludf.DUMMYFUNCTION("""COMPUTED_VALUE"""),67)</f>
        <v>67</v>
      </c>
      <c r="B479" t="str">
        <f ca="1">IFERROR(__xludf.DUMMYFUNCTION("""COMPUTED_VALUE"""),"Gouveia, L. (2010). Local e-government. A governação digital na autarquia. 
Palestra no Mestrado em Gestão, do ramo de Administração Pública. Escola 
Superior de Gestão do Instituto Politécnico da Guarda. Guarda, 25 de Junho.
apresentação [ slideshare ]")</f>
        <v>Gouveia, L. (2010). Local e-government. A governação digital na autarquia. 
Palestra no Mestrado em Gestão, do ramo de Administração Pública. Escola 
Superior de Gestão do Instituto Politécnico da Guarda. Guarda, 25 de Junho.
apresentação [ slideshare ]</v>
      </c>
      <c r="C479" s="2">
        <f t="shared" ca="1" si="0"/>
        <v>13</v>
      </c>
      <c r="D479" t="str">
        <f t="shared" ca="1" si="8"/>
        <v xml:space="preserve">Gouveia, L. </v>
      </c>
      <c r="E479" t="str">
        <f t="shared" ca="1" si="1"/>
        <v>2010</v>
      </c>
      <c r="F479" t="str">
        <f t="shared" ca="1" si="2"/>
        <v xml:space="preserve"> Local e-government. </v>
      </c>
      <c r="G479" s="3">
        <f t="shared" ca="1" si="3"/>
        <v>18</v>
      </c>
      <c r="H479" s="2">
        <f t="shared" ca="1" si="4"/>
        <v>39</v>
      </c>
      <c r="I479" t="e">
        <f t="shared" ca="1" si="5"/>
        <v>#VALUE!</v>
      </c>
      <c r="J479" s="3" t="e">
        <f t="shared" ca="1" si="9"/>
        <v>#VALUE!</v>
      </c>
      <c r="K479" t="str">
        <f t="shared" ca="1" si="6"/>
        <v xml:space="preserve">Gouveia, L. </v>
      </c>
      <c r="L479" t="str">
        <f t="shared" ca="1" si="7"/>
        <v xml:space="preserve">Quental, C. </v>
      </c>
    </row>
    <row r="480" spans="1:12" ht="15.75" customHeight="1">
      <c r="A480">
        <f ca="1">IFERROR(__xludf.DUMMYFUNCTION("""COMPUTED_VALUE"""),66)</f>
        <v>66</v>
      </c>
      <c r="B480" t="str">
        <f ca="1">IFERROR(__xludf.DUMMYFUNCTION("""COMPUTED_VALUE"""),"Gouveia, L. (2010). Tecnologia e Educação – como? Seminário Educar Hoje. O 
futuro da educação começa hoje. Escola Secundária/3 de Carregal do Sal, 
Carregal do Sal, 5 de Junho.
apresentação [ slideshare ]")</f>
        <v>Gouveia, L. (2010). Tecnologia e Educação – como? Seminário Educar Hoje. O 
futuro da educação começa hoje. Escola Secundária/3 de Carregal do Sal, 
Carregal do Sal, 5 de Junho.
apresentação [ slideshare ]</v>
      </c>
      <c r="C480" s="2">
        <f t="shared" ca="1" si="0"/>
        <v>13</v>
      </c>
      <c r="D480" t="str">
        <f t="shared" ca="1" si="8"/>
        <v xml:space="preserve">Gouveia, L. </v>
      </c>
      <c r="E480" t="str">
        <f t="shared" ca="1" si="1"/>
        <v>2010</v>
      </c>
      <c r="F480" t="str">
        <f t="shared" ca="1" si="2"/>
        <v xml:space="preserve"> Tecnologia e Educação – como? Seminário Educar Hoje. </v>
      </c>
      <c r="G480" s="3">
        <f t="shared" ca="1" si="3"/>
        <v>18</v>
      </c>
      <c r="H480" s="2">
        <f t="shared" ca="1" si="4"/>
        <v>72</v>
      </c>
      <c r="I480" t="e">
        <f t="shared" ca="1" si="5"/>
        <v>#VALUE!</v>
      </c>
      <c r="J480" s="3" t="e">
        <f t="shared" ca="1" si="9"/>
        <v>#VALUE!</v>
      </c>
      <c r="K480" t="str">
        <f t="shared" ca="1" si="6"/>
        <v xml:space="preserve">Gouveia, L. </v>
      </c>
      <c r="L480" t="str">
        <f t="shared" ca="1" si="7"/>
        <v xml:space="preserve">Quental, C. </v>
      </c>
    </row>
    <row r="481" spans="1:12" ht="15.75" customHeight="1">
      <c r="A481">
        <f ca="1">IFERROR(__xludf.DUMMYFUNCTION("""COMPUTED_VALUE"""),65)</f>
        <v>65</v>
      </c>
      <c r="B481" t="str">
        <f ca="1">IFERROR(__xludf.DUMMYFUNCTION("""COMPUTED_VALUE"""),"Gouveia, L. (2010). Governação dos Sistemas e Tecnologias de Informação na 
Administração Pública. Audioconferência: Instituto Nacional de 
Administração. Lisboa, 14 de Maio.
presentation [ slideshare ]")</f>
        <v>Gouveia, L. (2010). Governação dos Sistemas e Tecnologias de Informação na 
Administração Pública. Audioconferência: Instituto Nacional de 
Administração. Lisboa, 14 de Maio.
presentation [ slideshare ]</v>
      </c>
      <c r="C481" s="2">
        <f t="shared" ca="1" si="0"/>
        <v>13</v>
      </c>
      <c r="D481" t="str">
        <f t="shared" ca="1" si="8"/>
        <v xml:space="preserve">Gouveia, L. </v>
      </c>
      <c r="E481" t="str">
        <f t="shared" ca="1" si="1"/>
        <v>2010</v>
      </c>
      <c r="F481" t="str">
        <f t="shared" ca="1" si="2"/>
        <v xml:space="preserve"> Governação dos Sistemas e Tecnologias de Informação na 
Administração Pública. </v>
      </c>
      <c r="G481" s="3">
        <f t="shared" ca="1" si="3"/>
        <v>18</v>
      </c>
      <c r="H481" s="2">
        <f t="shared" ca="1" si="4"/>
        <v>98</v>
      </c>
      <c r="I481" t="e">
        <f t="shared" ca="1" si="5"/>
        <v>#VALUE!</v>
      </c>
      <c r="J481" s="3" t="e">
        <f t="shared" ca="1" si="9"/>
        <v>#VALUE!</v>
      </c>
      <c r="K481" t="str">
        <f t="shared" ca="1" si="6"/>
        <v xml:space="preserve">Gouveia, L. </v>
      </c>
      <c r="L481" t="str">
        <f t="shared" ca="1" si="7"/>
        <v xml:space="preserve">Quental, C. </v>
      </c>
    </row>
    <row r="482" spans="1:12" ht="15.75" customHeight="1">
      <c r="A482">
        <f ca="1">IFERROR(__xludf.DUMMYFUNCTION("""COMPUTED_VALUE"""),64)</f>
        <v>64</v>
      </c>
      <c r="B482" t="str">
        <f ca="1">IFERROR(__xludf.DUMMYFUNCTION("""COMPUTED_VALUE"""),"Gouveia, L. (2010). Informação e conhecimento – o lado social da 
tecnologia. 1º Workshop de Ciências da Informação. Universidade Fernando 
Pessoa. Porto, 7 de Maio.
apresentação [ slideshare ]")</f>
        <v>Gouveia, L. (2010). Informação e conhecimento – o lado social da 
tecnologia. 1º Workshop de Ciências da Informação. Universidade Fernando 
Pessoa. Porto, 7 de Maio.
apresentação [ slideshare ]</v>
      </c>
      <c r="C482" s="2">
        <f t="shared" ca="1" si="0"/>
        <v>13</v>
      </c>
      <c r="D482" t="str">
        <f t="shared" ca="1" si="8"/>
        <v xml:space="preserve">Gouveia, L. </v>
      </c>
      <c r="E482" t="str">
        <f t="shared" ca="1" si="1"/>
        <v>2010</v>
      </c>
      <c r="F482" t="str">
        <f t="shared" ca="1" si="2"/>
        <v xml:space="preserve"> Informação e conhecimento – o lado social da 
tecnologia. </v>
      </c>
      <c r="G482" s="3">
        <f t="shared" ca="1" si="3"/>
        <v>18</v>
      </c>
      <c r="H482" s="2">
        <f t="shared" ca="1" si="4"/>
        <v>77</v>
      </c>
      <c r="I482" t="e">
        <f t="shared" ca="1" si="5"/>
        <v>#VALUE!</v>
      </c>
      <c r="J482" s="3" t="e">
        <f t="shared" ca="1" si="9"/>
        <v>#VALUE!</v>
      </c>
      <c r="K482" t="str">
        <f t="shared" ca="1" si="6"/>
        <v xml:space="preserve">Gouveia, L. </v>
      </c>
      <c r="L482" t="str">
        <f t="shared" ca="1" si="7"/>
        <v xml:space="preserve">Quental, C. </v>
      </c>
    </row>
    <row r="483" spans="1:12" ht="15.75" customHeight="1">
      <c r="A483">
        <f ca="1">IFERROR(__xludf.DUMMYFUNCTION("""COMPUTED_VALUE"""),63)</f>
        <v>63</v>
      </c>
      <c r="B483" t="str">
        <f ca="1">IFERROR(__xludf.DUMMYFUNCTION("""COMPUTED_VALUE"""),"Gouveia, L. (2010). *A escola e os novos desafios - A escola, o digital e o 
professor – um triângulo amoroso*. Think 2010. Agrupamento de Escolas 
Fajões. Fajões, 26 de Abril.
apresentação [ slideshare ]")</f>
        <v>Gouveia, L. (2010). *A escola e os novos desafios - A escola, o digital e o 
professor – um triângulo amoroso*. Think 2010. Agrupamento de Escolas 
Fajões. Fajões, 26 de Abril.
apresentação [ slideshare ]</v>
      </c>
      <c r="C483" s="2">
        <f t="shared" ca="1" si="0"/>
        <v>13</v>
      </c>
      <c r="D483" t="str">
        <f t="shared" ca="1" si="8"/>
        <v xml:space="preserve">Gouveia, L. </v>
      </c>
      <c r="E483" t="str">
        <f t="shared" ca="1" si="1"/>
        <v>2010</v>
      </c>
      <c r="F483" t="str">
        <f t="shared" ca="1" si="2"/>
        <v xml:space="preserve"> *A escola e os novos desafios - A escola, o digital e o 
professor – um triângulo amoroso*. </v>
      </c>
      <c r="G483" s="3">
        <f t="shared" ca="1" si="3"/>
        <v>18</v>
      </c>
      <c r="H483" s="2">
        <f t="shared" ca="1" si="4"/>
        <v>111</v>
      </c>
      <c r="I483" t="e">
        <f t="shared" ca="1" si="5"/>
        <v>#VALUE!</v>
      </c>
      <c r="J483" s="3" t="e">
        <f t="shared" ca="1" si="9"/>
        <v>#VALUE!</v>
      </c>
      <c r="K483" t="str">
        <f t="shared" ca="1" si="6"/>
        <v xml:space="preserve">Gouveia, L. </v>
      </c>
      <c r="L483" t="str">
        <f t="shared" ca="1" si="7"/>
        <v xml:space="preserve">Quental, C. </v>
      </c>
    </row>
    <row r="484" spans="1:12" ht="15.75" customHeight="1">
      <c r="A484">
        <f ca="1">IFERROR(__xludf.DUMMYFUNCTION("""COMPUTED_VALUE"""),62)</f>
        <v>62</v>
      </c>
      <c r="B484" t="str">
        <f ca="1">IFERROR(__xludf.DUMMYFUNCTION("""COMPUTED_VALUE"""),"Gouveia, L. (2010). *What’s up with the physical dimension in the digital 
world?* Global Ignite week. IGNITE. Escola Superior de Gestão do Porto. 
Porto, 4 de Março. 
presentation [ slideshare ]")</f>
        <v>Gouveia, L. (2010). *What’s up with the physical dimension in the digital 
world?* Global Ignite week. IGNITE. Escola Superior de Gestão do Porto. 
Porto, 4 de Março. 
presentation [ slideshare ]</v>
      </c>
      <c r="C484" s="2">
        <f t="shared" ca="1" si="0"/>
        <v>13</v>
      </c>
      <c r="D484" t="str">
        <f t="shared" ca="1" si="8"/>
        <v xml:space="preserve">Gouveia, L. </v>
      </c>
      <c r="E484" t="str">
        <f t="shared" ca="1" si="1"/>
        <v>2010</v>
      </c>
      <c r="F484" t="str">
        <f t="shared" ca="1" si="2"/>
        <v xml:space="preserve"> *What’s up with the physical dimension in the digital 
world?* Global Ignite week. </v>
      </c>
      <c r="G484" s="3">
        <f t="shared" ca="1" si="3"/>
        <v>18</v>
      </c>
      <c r="H484" s="2">
        <f t="shared" ca="1" si="4"/>
        <v>102</v>
      </c>
      <c r="I484" t="e">
        <f t="shared" ca="1" si="5"/>
        <v>#VALUE!</v>
      </c>
      <c r="J484" s="3" t="e">
        <f t="shared" ca="1" si="9"/>
        <v>#VALUE!</v>
      </c>
      <c r="K484" t="str">
        <f t="shared" ca="1" si="6"/>
        <v xml:space="preserve">Gouveia, L. </v>
      </c>
      <c r="L484" t="str">
        <f t="shared" ca="1" si="7"/>
        <v xml:space="preserve">Quental, C. </v>
      </c>
    </row>
    <row r="485" spans="1:12" ht="15.75" customHeight="1">
      <c r="A485">
        <f ca="1">IFERROR(__xludf.DUMMYFUNCTION("""COMPUTED_VALUE"""),61)</f>
        <v>61</v>
      </c>
      <c r="B485" t="str">
        <f ca="1">IFERROR(__xludf.DUMMYFUNCTION("""COMPUTED_VALUE"""),"Gouveia, L. (2010). Revisitar o estudo APDSI. Modelos de Governação. FESI, 
Jantar Executivo. Ordem dos Engenheiros. Lisboa, 27 de Janeiro.
apresentação [ slideshare ]")</f>
        <v>Gouveia, L. (2010). Revisitar o estudo APDSI. Modelos de Governação. FESI, 
Jantar Executivo. Ordem dos Engenheiros. Lisboa, 27 de Janeiro.
apresentação [ slideshare ]</v>
      </c>
      <c r="C485" s="2">
        <f t="shared" ca="1" si="0"/>
        <v>13</v>
      </c>
      <c r="D485" t="str">
        <f t="shared" ca="1" si="8"/>
        <v xml:space="preserve">Gouveia, L. </v>
      </c>
      <c r="E485" t="str">
        <f t="shared" ca="1" si="1"/>
        <v>2010</v>
      </c>
      <c r="F485" t="str">
        <f t="shared" ca="1" si="2"/>
        <v xml:space="preserve"> Revisitar o estudo APDSI. </v>
      </c>
      <c r="G485" s="3">
        <f t="shared" ca="1" si="3"/>
        <v>18</v>
      </c>
      <c r="H485" s="2">
        <f t="shared" ca="1" si="4"/>
        <v>45</v>
      </c>
      <c r="I485" t="e">
        <f t="shared" ca="1" si="5"/>
        <v>#VALUE!</v>
      </c>
      <c r="J485" s="3" t="e">
        <f t="shared" ca="1" si="9"/>
        <v>#VALUE!</v>
      </c>
      <c r="K485" t="str">
        <f t="shared" ca="1" si="6"/>
        <v xml:space="preserve">Gouveia, L. </v>
      </c>
      <c r="L485" t="str">
        <f t="shared" ca="1" si="7"/>
        <v xml:space="preserve">Quental, C. </v>
      </c>
    </row>
    <row r="486" spans="1:12" ht="15.75" customHeight="1">
      <c r="A486">
        <f ca="1">IFERROR(__xludf.DUMMYFUNCTION("""COMPUTED_VALUE"""),60)</f>
        <v>60</v>
      </c>
      <c r="B486" t="str">
        <f ca="1">IFERROR(__xludf.DUMMYFUNCTION("""COMPUTED_VALUE"""),"Gouveia, L. (2009). Viver o digital com novas competências. Ignite 
Portugal. IGNITE #1. 15 de Outubro. Lisboa.
apresentação [ slideshare | video ]")</f>
        <v>Gouveia, L. (2009). Viver o digital com novas competências. Ignite 
Portugal. IGNITE #1. 15 de Outubro. Lisboa.
apresentação [ slideshare | video ]</v>
      </c>
      <c r="C486" s="2">
        <f t="shared" ca="1" si="0"/>
        <v>13</v>
      </c>
      <c r="D486" t="str">
        <f t="shared" ca="1" si="8"/>
        <v xml:space="preserve">Gouveia, L. </v>
      </c>
      <c r="E486" t="str">
        <f t="shared" ca="1" si="1"/>
        <v>2009</v>
      </c>
      <c r="F486" t="str">
        <f t="shared" ca="1" si="2"/>
        <v xml:space="preserve"> Viver o digital com novas competências. </v>
      </c>
      <c r="G486" s="3">
        <f t="shared" ca="1" si="3"/>
        <v>18</v>
      </c>
      <c r="H486" s="2">
        <f t="shared" ca="1" si="4"/>
        <v>59</v>
      </c>
      <c r="I486" t="e">
        <f t="shared" ca="1" si="5"/>
        <v>#VALUE!</v>
      </c>
      <c r="J486" s="3" t="e">
        <f t="shared" ca="1" si="9"/>
        <v>#VALUE!</v>
      </c>
      <c r="K486" t="str">
        <f t="shared" ca="1" si="6"/>
        <v xml:space="preserve">Gouveia, L. </v>
      </c>
      <c r="L486" t="str">
        <f t="shared" ca="1" si="7"/>
        <v xml:space="preserve">Quental, C. </v>
      </c>
    </row>
    <row r="487" spans="1:12" ht="15.75" customHeight="1">
      <c r="A487">
        <f ca="1">IFERROR(__xludf.DUMMYFUNCTION("""COMPUTED_VALUE"""),59)</f>
        <v>59</v>
      </c>
      <c r="B487" t="str">
        <f ca="1">IFERROR(__xludf.DUMMYFUNCTION("""COMPUTED_VALUE"""),"Gouveia, L. (2009). *UFP ongoing experience with Sakai. The last three 
years*. Learning Management Systems (LMS) usage in Higher Education 
Institutions´ Meeting. ISCAP, Porto 28th May.")</f>
        <v>Gouveia, L. (2009). *UFP ongoing experience with Sakai. The last three 
years*. Learning Management Systems (LMS) usage in Higher Education 
Institutions´ Meeting. ISCAP, Porto 28th May.</v>
      </c>
      <c r="C487" s="2">
        <f t="shared" ca="1" si="0"/>
        <v>13</v>
      </c>
      <c r="D487" t="str">
        <f t="shared" ca="1" si="8"/>
        <v xml:space="preserve">Gouveia, L. </v>
      </c>
      <c r="E487" t="str">
        <f t="shared" ca="1" si="1"/>
        <v>2009</v>
      </c>
      <c r="F487" t="str">
        <f t="shared" ca="1" si="2"/>
        <v xml:space="preserve"> *UFP ongoing experience with Sakai. </v>
      </c>
      <c r="G487" s="3">
        <f t="shared" ca="1" si="3"/>
        <v>18</v>
      </c>
      <c r="H487" s="2">
        <f t="shared" ca="1" si="4"/>
        <v>55</v>
      </c>
      <c r="I487" t="e">
        <f t="shared" ca="1" si="5"/>
        <v>#VALUE!</v>
      </c>
      <c r="J487" s="3" t="e">
        <f t="shared" ca="1" si="9"/>
        <v>#VALUE!</v>
      </c>
      <c r="K487" t="str">
        <f t="shared" ca="1" si="6"/>
        <v xml:space="preserve">Gouveia, L. </v>
      </c>
      <c r="L487" t="str">
        <f t="shared" ca="1" si="7"/>
        <v xml:space="preserve">Quental, C. </v>
      </c>
    </row>
    <row r="488" spans="1:12" ht="15.75" customHeight="1">
      <c r="A488">
        <f ca="1">IFERROR(__xludf.DUMMYFUNCTION("""COMPUTED_VALUE"""),58)</f>
        <v>58</v>
      </c>
      <c r="B488" t="str">
        <f ca="1">IFERROR(__xludf.DUMMYFUNCTION("""COMPUTED_VALUE"""),"Gouveia, L. (2009). *Evolução da Internet &amp; Web.* Apresentação na 
Universidade Fernando Pessoa. 19 e 21 de Maio.
apresentação [ pdf (1340KB)]")</f>
        <v>Gouveia, L. (2009). *Evolução da Internet &amp; Web.* Apresentação na 
Universidade Fernando Pessoa. 19 e 21 de Maio.
apresentação [ pdf (1340KB)]</v>
      </c>
      <c r="C488" s="2">
        <f t="shared" ca="1" si="0"/>
        <v>13</v>
      </c>
      <c r="D488" t="str">
        <f t="shared" ca="1" si="8"/>
        <v xml:space="preserve">Gouveia, L. </v>
      </c>
      <c r="E488" t="str">
        <f t="shared" ca="1" si="1"/>
        <v>2009</v>
      </c>
      <c r="F488" t="str">
        <f t="shared" ca="1" si="2"/>
        <v xml:space="preserve"> *Evolução da Internet &amp; Web.*</v>
      </c>
      <c r="G488" s="3">
        <f t="shared" ca="1" si="3"/>
        <v>18</v>
      </c>
      <c r="H488" s="2">
        <f t="shared" ca="1" si="4"/>
        <v>48</v>
      </c>
      <c r="I488" t="e">
        <f t="shared" ca="1" si="5"/>
        <v>#VALUE!</v>
      </c>
      <c r="J488" s="3" t="e">
        <f t="shared" ca="1" si="9"/>
        <v>#VALUE!</v>
      </c>
      <c r="K488" t="str">
        <f t="shared" ca="1" si="6"/>
        <v xml:space="preserve">Gouveia, L. </v>
      </c>
      <c r="L488" t="str">
        <f t="shared" ca="1" si="7"/>
        <v xml:space="preserve">Quental, C. </v>
      </c>
    </row>
    <row r="489" spans="1:12" ht="15.75" customHeight="1">
      <c r="A489">
        <f ca="1">IFERROR(__xludf.DUMMYFUNCTION("""COMPUTED_VALUE"""),57)</f>
        <v>57</v>
      </c>
      <c r="B489" t="str">
        <f ca="1">IFERROR(__xludf.DUMMYFUNCTION("""COMPUTED_VALUE"""),"Gouveia, L. (2008). *Novas abordagens para a Gestão do Conhecimento*. 
Palestra sobre Gestão do Conhecimento. ISLA. Porto, 23 de Maio.
apresentação [ pdf (1187KB)]")</f>
        <v>Gouveia, L. (2008). *Novas abordagens para a Gestão do Conhecimento*. 
Palestra sobre Gestão do Conhecimento. ISLA. Porto, 23 de Maio.
apresentação [ pdf (1187KB)]</v>
      </c>
      <c r="C489" s="2">
        <f t="shared" ca="1" si="0"/>
        <v>13</v>
      </c>
      <c r="D489" t="str">
        <f t="shared" ca="1" si="8"/>
        <v xml:space="preserve">Gouveia, L. </v>
      </c>
      <c r="E489" t="str">
        <f t="shared" ca="1" si="1"/>
        <v>2008</v>
      </c>
      <c r="F489" t="str">
        <f t="shared" ca="1" si="2"/>
        <v xml:space="preserve"> *Novas abordagens para a Gestão do Conhecimento*. </v>
      </c>
      <c r="G489" s="3">
        <f t="shared" ca="1" si="3"/>
        <v>18</v>
      </c>
      <c r="H489" s="2">
        <f t="shared" ca="1" si="4"/>
        <v>69</v>
      </c>
      <c r="I489" t="e">
        <f t="shared" ca="1" si="5"/>
        <v>#VALUE!</v>
      </c>
      <c r="J489" s="3" t="e">
        <f t="shared" ca="1" si="9"/>
        <v>#VALUE!</v>
      </c>
      <c r="K489" t="str">
        <f t="shared" ca="1" si="6"/>
        <v xml:space="preserve">Gouveia, L. </v>
      </c>
      <c r="L489" t="str">
        <f t="shared" ca="1" si="7"/>
        <v xml:space="preserve">Quental, C. </v>
      </c>
    </row>
    <row r="490" spans="1:12" ht="15.75" customHeight="1">
      <c r="A490">
        <f ca="1">IFERROR(__xludf.DUMMYFUNCTION("""COMPUTED_VALUE"""),56)</f>
        <v>56</v>
      </c>
      <c r="B490" t="str">
        <f ca="1">IFERROR(__xludf.DUMMYFUNCTION("""COMPUTED_VALUE"""),"Gouveia, L. (2009). *Modelos de Governação na Sociedade da Informação e do 
Conhecimento*. Apresentação de Estudo APDSI. Associação para a Promoção e 
Desenvolvimento da Sociedade da Informação. Calouste Gulbenkian. Lisboa. 21 
de Abril.
Apresentação [ pd"&amp;"f (660KB)]")</f>
        <v>Gouveia, L. (2009). *Modelos de Governação na Sociedade da Informação e do 
Conhecimento*. Apresentação de Estudo APDSI. Associação para a Promoção e 
Desenvolvimento da Sociedade da Informação. Calouste Gulbenkian. Lisboa. 21 
de Abril.
Apresentação [ pdf (660KB)]</v>
      </c>
      <c r="C490" s="2">
        <f t="shared" ca="1" si="0"/>
        <v>13</v>
      </c>
      <c r="D490" t="str">
        <f t="shared" ca="1" si="8"/>
        <v xml:space="preserve">Gouveia, L. </v>
      </c>
      <c r="E490" t="str">
        <f t="shared" ca="1" si="1"/>
        <v>2009</v>
      </c>
      <c r="F490" t="str">
        <f t="shared" ca="1" si="2"/>
        <v xml:space="preserve"> *Modelos de Governação na Sociedade da Informação e do 
Conhecimento*. </v>
      </c>
      <c r="G490" s="3">
        <f t="shared" ca="1" si="3"/>
        <v>18</v>
      </c>
      <c r="H490" s="2">
        <f t="shared" ca="1" si="4"/>
        <v>90</v>
      </c>
      <c r="I490" t="e">
        <f t="shared" ca="1" si="5"/>
        <v>#VALUE!</v>
      </c>
      <c r="J490" s="3" t="e">
        <f t="shared" ca="1" si="9"/>
        <v>#VALUE!</v>
      </c>
      <c r="K490" t="str">
        <f t="shared" ca="1" si="6"/>
        <v xml:space="preserve">Gouveia, L. </v>
      </c>
      <c r="L490" t="str">
        <f t="shared" ca="1" si="7"/>
        <v xml:space="preserve">Quental, C. </v>
      </c>
    </row>
    <row r="491" spans="1:12" ht="15.75" customHeight="1">
      <c r="A491">
        <f ca="1">IFERROR(__xludf.DUMMYFUNCTION("""COMPUTED_VALUE"""),55)</f>
        <v>55</v>
      </c>
      <c r="B491" t="str">
        <f ca="1">IFERROR(__xludf.DUMMYFUNCTION("""COMPUTED_VALUE"""),"Gouveia, L. (2008). *Uma perspectiva sobre o Negócio Electrónico.* 
Seminário sobre Negócio Electrónico. ISCAP. Porto, 21 de Maio.
apresentação [ pdf (490KB)]")</f>
        <v>Gouveia, L. (2008). *Uma perspectiva sobre o Negócio Electrónico.* 
Seminário sobre Negócio Electrónico. ISCAP. Porto, 21 de Maio.
apresentação [ pdf (490KB)]</v>
      </c>
      <c r="C491" s="2">
        <f t="shared" ca="1" si="0"/>
        <v>13</v>
      </c>
      <c r="D491" t="str">
        <f t="shared" ca="1" si="8"/>
        <v xml:space="preserve">Gouveia, L. </v>
      </c>
      <c r="E491" t="str">
        <f t="shared" ca="1" si="1"/>
        <v>2008</v>
      </c>
      <c r="F491" t="str">
        <f t="shared" ca="1" si="2"/>
        <v xml:space="preserve"> *Uma perspectiva sobre o Negócio Electrónico.*</v>
      </c>
      <c r="G491" s="3">
        <f t="shared" ca="1" si="3"/>
        <v>18</v>
      </c>
      <c r="H491" s="2">
        <f t="shared" ca="1" si="4"/>
        <v>65</v>
      </c>
      <c r="I491" t="e">
        <f t="shared" ca="1" si="5"/>
        <v>#VALUE!</v>
      </c>
      <c r="J491" s="3" t="e">
        <f t="shared" ca="1" si="9"/>
        <v>#VALUE!</v>
      </c>
      <c r="K491" t="str">
        <f t="shared" ca="1" si="6"/>
        <v xml:space="preserve">Gouveia, L. </v>
      </c>
      <c r="L491" t="str">
        <f t="shared" ca="1" si="7"/>
        <v xml:space="preserve">Quental, C. </v>
      </c>
    </row>
    <row r="492" spans="1:12" ht="15.75" customHeight="1">
      <c r="A492">
        <f ca="1">IFERROR(__xludf.DUMMYFUNCTION("""COMPUTED_VALUE"""),54)</f>
        <v>54</v>
      </c>
      <c r="B492" t="str">
        <f ca="1">IFERROR(__xludf.DUMMYFUNCTION("""COMPUTED_VALUE"""),"Gouveia, L. (2008). *As Tecnologias e as Pessoas: um testemunho próprio da 
Sociedade da Informação.* X Jornadas do Departamento de Sociologia. O mundo 
em mudança. Universidade de Évora. Évora, 15 de Maio.
apresentação [ pdf (807KB)]")</f>
        <v>Gouveia, L. (2008). *As Tecnologias e as Pessoas: um testemunho próprio da 
Sociedade da Informação.* X Jornadas do Departamento de Sociologia. O mundo 
em mudança. Universidade de Évora. Évora, 15 de Maio.
apresentação [ pdf (807KB)]</v>
      </c>
      <c r="C492" s="2">
        <f t="shared" ca="1" si="0"/>
        <v>13</v>
      </c>
      <c r="D492" t="str">
        <f t="shared" ca="1" si="8"/>
        <v xml:space="preserve">Gouveia, L. </v>
      </c>
      <c r="E492" t="str">
        <f t="shared" ca="1" si="1"/>
        <v>2008</v>
      </c>
      <c r="F492" t="str">
        <f t="shared" ca="1" si="2"/>
        <v xml:space="preserve"> *As Tecnologias e as Pessoas: um testemunho próprio da 
Sociedade da Informação.*</v>
      </c>
      <c r="G492" s="3">
        <f t="shared" ca="1" si="3"/>
        <v>18</v>
      </c>
      <c r="H492" s="2">
        <f t="shared" ca="1" si="4"/>
        <v>100</v>
      </c>
      <c r="I492" t="e">
        <f t="shared" ca="1" si="5"/>
        <v>#VALUE!</v>
      </c>
      <c r="J492" s="3" t="e">
        <f t="shared" ca="1" si="9"/>
        <v>#VALUE!</v>
      </c>
      <c r="K492" t="str">
        <f t="shared" ca="1" si="6"/>
        <v xml:space="preserve">Gouveia, L. </v>
      </c>
      <c r="L492" t="str">
        <f t="shared" ca="1" si="7"/>
        <v xml:space="preserve">Quental, C. </v>
      </c>
    </row>
    <row r="493" spans="1:12" ht="15.75" customHeight="1">
      <c r="A493">
        <f ca="1">IFERROR(__xludf.DUMMYFUNCTION("""COMPUTED_VALUE"""),53)</f>
        <v>53</v>
      </c>
      <c r="B493" t="str">
        <f ca="1">IFERROR(__xludf.DUMMYFUNCTION("""COMPUTED_VALUE"""),"Gouveia, L. (2008). *Território: implicações do digital.* Seminário 
Governação na era digital. Tâmega Digital. Amarante. 27 de Fevereiro.
apresentação [ pdf ( 401KB) ]")</f>
        <v>Gouveia, L. (2008). *Território: implicações do digital.* Seminário 
Governação na era digital. Tâmega Digital. Amarante. 27 de Fevereiro.
apresentação [ pdf ( 401KB) ]</v>
      </c>
      <c r="C493" s="2">
        <f t="shared" ca="1" si="0"/>
        <v>13</v>
      </c>
      <c r="D493" t="str">
        <f t="shared" ca="1" si="8"/>
        <v xml:space="preserve">Gouveia, L. </v>
      </c>
      <c r="E493" t="str">
        <f t="shared" ca="1" si="1"/>
        <v>2008</v>
      </c>
      <c r="F493" t="str">
        <f t="shared" ca="1" si="2"/>
        <v xml:space="preserve"> *Território: implicações do digital.*</v>
      </c>
      <c r="G493" s="3">
        <f t="shared" ca="1" si="3"/>
        <v>18</v>
      </c>
      <c r="H493" s="2">
        <f t="shared" ca="1" si="4"/>
        <v>56</v>
      </c>
      <c r="I493" t="e">
        <f t="shared" ca="1" si="5"/>
        <v>#VALUE!</v>
      </c>
      <c r="J493" s="3" t="e">
        <f t="shared" ca="1" si="9"/>
        <v>#VALUE!</v>
      </c>
      <c r="K493" t="str">
        <f t="shared" ca="1" si="6"/>
        <v xml:space="preserve">Gouveia, L. </v>
      </c>
      <c r="L493" t="str">
        <f t="shared" ca="1" si="7"/>
        <v xml:space="preserve">Quental, C. </v>
      </c>
    </row>
    <row r="494" spans="1:12" ht="15.75" customHeight="1">
      <c r="A494">
        <f ca="1">IFERROR(__xludf.DUMMYFUNCTION("""COMPUTED_VALUE"""),52)</f>
        <v>52</v>
      </c>
      <c r="B494" t="str">
        <f ca="1">IFERROR(__xludf.DUMMYFUNCTION("""COMPUTED_VALUE"""),"Gouveia, L. (2007). *Web 2.0: finalmente a Web somos nós.* Feira das 
Carreiras. Colégio Luso Internacional do Porto (CLIP). 2 de Março.
apresentação [ pdf (2,29MB) ]")</f>
        <v>Gouveia, L. (2007). *Web 2.0: finalmente a Web somos nós.* Feira das 
Carreiras. Colégio Luso Internacional do Porto (CLIP). 2 de Março.
apresentação [ pdf (2,29MB) ]</v>
      </c>
      <c r="C494" s="2">
        <f t="shared" ca="1" si="0"/>
        <v>13</v>
      </c>
      <c r="D494" t="str">
        <f t="shared" ca="1" si="8"/>
        <v xml:space="preserve">Gouveia, L. </v>
      </c>
      <c r="E494" t="str">
        <f t="shared" ca="1" si="1"/>
        <v>2007</v>
      </c>
      <c r="F494" t="str">
        <f t="shared" ca="1" si="2"/>
        <v xml:space="preserve"> *Web 2.0</v>
      </c>
      <c r="G494" s="3">
        <f t="shared" ca="1" si="3"/>
        <v>18</v>
      </c>
      <c r="H494" s="2">
        <f t="shared" ca="1" si="4"/>
        <v>27</v>
      </c>
      <c r="I494" t="str">
        <f t="shared" ca="1" si="5"/>
        <v>: finalmente a Web somos nós.* Feira das 
Carreiras. Colégio Luso Internacional do Porto (CLIP).</v>
      </c>
      <c r="J494" s="3">
        <f t="shared" ca="1" si="9"/>
        <v>123</v>
      </c>
      <c r="K494" t="str">
        <f t="shared" ca="1" si="6"/>
        <v xml:space="preserve">Gouveia, L. </v>
      </c>
      <c r="L494" t="str">
        <f t="shared" ca="1" si="7"/>
        <v xml:space="preserve">Quental, C. </v>
      </c>
    </row>
    <row r="495" spans="1:12" ht="15.75" customHeight="1">
      <c r="A495">
        <f ca="1">IFERROR(__xludf.DUMMYFUNCTION("""COMPUTED_VALUE"""),51)</f>
        <v>51</v>
      </c>
      <c r="B495" t="str">
        <f ca="1">IFERROR(__xludf.DUMMYFUNCTION("""COMPUTED_VALUE"""),"Gouveia, L. (2007). *Apresentação do Projecto Comunidade Digital de 
Professores*. Auditório do Centro de Formação da Escola Secundária com 3º 
Ciclo Dr. Joaquim Gomes Ferreira Alves. 7 de Fevereiro.
apresentação [ pdf (183KB) ]")</f>
        <v>Gouveia, L. (2007). *Apresentação do Projecto Comunidade Digital de 
Professores*. Auditório do Centro de Formação da Escola Secundária com 3º 
Ciclo Dr. Joaquim Gomes Ferreira Alves. 7 de Fevereiro.
apresentação [ pdf (183KB) ]</v>
      </c>
      <c r="C495" s="2">
        <f t="shared" ca="1" si="0"/>
        <v>13</v>
      </c>
      <c r="D495" t="str">
        <f t="shared" ca="1" si="8"/>
        <v xml:space="preserve">Gouveia, L. </v>
      </c>
      <c r="E495" t="str">
        <f t="shared" ca="1" si="1"/>
        <v>2007</v>
      </c>
      <c r="F495" t="str">
        <f t="shared" ca="1" si="2"/>
        <v xml:space="preserve"> *Apresentação do Projecto Comunidade Digital de 
Professores*. </v>
      </c>
      <c r="G495" s="3">
        <f t="shared" ca="1" si="3"/>
        <v>18</v>
      </c>
      <c r="H495" s="2">
        <f t="shared" ca="1" si="4"/>
        <v>82</v>
      </c>
      <c r="I495" t="e">
        <f t="shared" ca="1" si="5"/>
        <v>#VALUE!</v>
      </c>
      <c r="J495" s="3" t="e">
        <f t="shared" ca="1" si="9"/>
        <v>#VALUE!</v>
      </c>
      <c r="K495" t="str">
        <f t="shared" ca="1" si="6"/>
        <v xml:space="preserve">Gouveia, L. </v>
      </c>
      <c r="L495" t="str">
        <f t="shared" ca="1" si="7"/>
        <v xml:space="preserve">Quental, C. </v>
      </c>
    </row>
    <row r="496" spans="1:12" ht="15.75" customHeight="1">
      <c r="A496">
        <f ca="1">IFERROR(__xludf.DUMMYFUNCTION("""COMPUTED_VALUE"""),50)</f>
        <v>50</v>
      </c>
      <c r="B496" t="str">
        <f ca="1">IFERROR(__xludf.DUMMYFUNCTION("""COMPUTED_VALUE"""),"Gouveia, L. (2006). *A Sociedade da Informação e do Conhecimento: Ensaio 
sobre a exploração e oportunidades no contexto da Sociedade da Informação*. 
Semana dos Sistemas de Informação – Seminários de Informática de Gestão. 
Escola Superior de Gestão – In"&amp;"stituto Politécnico de Santarém. 18 de 
Novembro de 2006.
apresentação [ pdf (660KB)]")</f>
        <v>Gouveia, L. (2006). *A Sociedade da Informação e do Conhecimento: Ensaio 
sobre a exploração e oportunidades no contexto da Sociedade da Informação*. 
Semana dos Sistemas de Informação – Seminários de Informática de Gestão. 
Escola Superior de Gestão – Instituto Politécnico de Santarém. 18 de 
Novembro de 2006.
apresentação [ pdf (660KB)]</v>
      </c>
      <c r="C496" s="2">
        <f t="shared" ca="1" si="0"/>
        <v>13</v>
      </c>
      <c r="D496" t="str">
        <f t="shared" ca="1" si="8"/>
        <v xml:space="preserve">Gouveia, L. </v>
      </c>
      <c r="E496" t="str">
        <f t="shared" ca="1" si="1"/>
        <v>2006</v>
      </c>
      <c r="F496" t="str">
        <f t="shared" ca="1" si="2"/>
        <v xml:space="preserve"> *A Sociedade da Informação e do Conhecimento: Ensaio 
sobre a exploração e oportunidades no contexto da Sociedade da Informação*. </v>
      </c>
      <c r="G496" s="3">
        <f t="shared" ca="1" si="3"/>
        <v>18</v>
      </c>
      <c r="H496" s="2">
        <f t="shared" ca="1" si="4"/>
        <v>149</v>
      </c>
      <c r="I496" t="e">
        <f t="shared" ca="1" si="5"/>
        <v>#VALUE!</v>
      </c>
      <c r="J496" s="3" t="e">
        <f t="shared" ca="1" si="9"/>
        <v>#VALUE!</v>
      </c>
      <c r="K496" t="str">
        <f t="shared" ca="1" si="6"/>
        <v xml:space="preserve">Gouveia, L. </v>
      </c>
      <c r="L496" t="str">
        <f t="shared" ca="1" si="7"/>
        <v xml:space="preserve">Quental, C. </v>
      </c>
    </row>
    <row r="497" spans="1:12" ht="15.75" customHeight="1">
      <c r="A497">
        <f ca="1">IFERROR(__xludf.DUMMYFUNCTION("""COMPUTED_VALUE"""),49)</f>
        <v>49</v>
      </c>
      <c r="B497" t="str">
        <f ca="1">IFERROR(__xludf.DUMMYFUNCTION("""COMPUTED_VALUE"""),"Gouveia, L. (2006). *Viver numa Sociedade da Informação e do Conhecimento. 
Desafios de hoje e amanhã*. Dia Internacional dos Sistemas de Informação 
Geográfica “GIS DAY”. Faculdade de Engenharia de Recursos Naturais – 
Universidade do Algarve. 15 de Nove"&amp;"mbro de 2006.
apresentação [ pdf (616KB)]")</f>
        <v>Gouveia, L. (2006). *Viver numa Sociedade da Informação e do Conhecimento. 
Desafios de hoje e amanhã*. Dia Internacional dos Sistemas de Informação 
Geográfica “GIS DAY”. Faculdade de Engenharia de Recursos Naturais – 
Universidade do Algarve. 15 de Novembro de 2006.
apresentação [ pdf (616KB)]</v>
      </c>
      <c r="C497" s="2">
        <f t="shared" ca="1" si="0"/>
        <v>13</v>
      </c>
      <c r="D497" t="str">
        <f t="shared" ca="1" si="8"/>
        <v xml:space="preserve">Gouveia, L. </v>
      </c>
      <c r="E497" t="str">
        <f t="shared" ca="1" si="1"/>
        <v>2006</v>
      </c>
      <c r="F497" t="str">
        <f t="shared" ca="1" si="2"/>
        <v xml:space="preserve"> *Viver numa Sociedade da Informação e do Conhecimento. </v>
      </c>
      <c r="G497" s="3">
        <f t="shared" ca="1" si="3"/>
        <v>18</v>
      </c>
      <c r="H497" s="2">
        <f t="shared" ca="1" si="4"/>
        <v>74</v>
      </c>
      <c r="I497" t="e">
        <f t="shared" ca="1" si="5"/>
        <v>#VALUE!</v>
      </c>
      <c r="J497" s="3" t="e">
        <f t="shared" ca="1" si="9"/>
        <v>#VALUE!</v>
      </c>
      <c r="K497" t="str">
        <f t="shared" ca="1" si="6"/>
        <v xml:space="preserve">Gouveia, L. </v>
      </c>
      <c r="L497" t="str">
        <f t="shared" ca="1" si="7"/>
        <v xml:space="preserve">Quental, C. </v>
      </c>
    </row>
    <row r="498" spans="1:12" ht="15.75" customHeight="1">
      <c r="A498">
        <f ca="1">IFERROR(__xludf.DUMMYFUNCTION("""COMPUTED_VALUE"""),48)</f>
        <v>48</v>
      </c>
      <c r="B498" t="str">
        <f ca="1">IFERROR(__xludf.DUMMYFUNCTION("""COMPUTED_VALUE"""),"Gouveia, L. (2006). *Flexibilidade do trabalho, produtividade e gestão 
empresarial: uma visão tecnológica.* Seminário Modalidade Flexíveis de 
Trabalho AEP – 21 de Setembro de 2006.
apresentação [ pdf (852KB)]")</f>
        <v>Gouveia, L. (2006). *Flexibilidade do trabalho, produtividade e gestão 
empresarial: uma visão tecnológica.* Seminário Modalidade Flexíveis de 
Trabalho AEP – 21 de Setembro de 2006.
apresentação [ pdf (852KB)]</v>
      </c>
      <c r="C498" s="2">
        <f t="shared" ca="1" si="0"/>
        <v>13</v>
      </c>
      <c r="D498" t="str">
        <f t="shared" ca="1" si="8"/>
        <v xml:space="preserve">Gouveia, L. </v>
      </c>
      <c r="E498" t="str">
        <f t="shared" ca="1" si="1"/>
        <v>2006</v>
      </c>
      <c r="F498" t="str">
        <f t="shared" ca="1" si="2"/>
        <v xml:space="preserve"> *Flexibilidade do trabalho, produtividade e gestão 
empresarial: uma visão tecnológica.*</v>
      </c>
      <c r="G498" s="3">
        <f t="shared" ca="1" si="3"/>
        <v>18</v>
      </c>
      <c r="H498" s="2">
        <f t="shared" ca="1" si="4"/>
        <v>107</v>
      </c>
      <c r="I498" t="e">
        <f t="shared" ca="1" si="5"/>
        <v>#VALUE!</v>
      </c>
      <c r="J498" s="3" t="e">
        <f t="shared" ca="1" si="9"/>
        <v>#VALUE!</v>
      </c>
      <c r="K498" t="str">
        <f t="shared" ca="1" si="6"/>
        <v xml:space="preserve">Gouveia, L. </v>
      </c>
      <c r="L498" t="str">
        <f t="shared" ca="1" si="7"/>
        <v xml:space="preserve">Quental, C. </v>
      </c>
    </row>
    <row r="499" spans="1:12" ht="15.75" customHeight="1">
      <c r="A499">
        <f ca="1">IFERROR(__xludf.DUMMYFUNCTION("""COMPUTED_VALUE"""),47)</f>
        <v>47</v>
      </c>
      <c r="B499" t="str">
        <f ca="1">IFERROR(__xludf.DUMMYFUNCTION("""COMPUTED_VALUE"""),"Gouveia, L. e Gouveia, F. (2006). *UFP-UV: plano de acção do terceiro ano 
de actividade*. Anfiteatro da Saúde. Porto, 9 de Junho.
apresentação [ pdf (480KB)]")</f>
        <v>Gouveia, L. e Gouveia, F. (2006). *UFP-UV: plano de acção do terceiro ano 
de actividade*. Anfiteatro da Saúde. Porto, 9 de Junho.
apresentação [ pdf (480KB)]</v>
      </c>
      <c r="C499" s="2">
        <f t="shared" ca="1" si="0"/>
        <v>27</v>
      </c>
      <c r="D499" t="str">
        <f t="shared" ca="1" si="8"/>
        <v xml:space="preserve">Gouveia, L. e Gouveia, F. </v>
      </c>
      <c r="E499" t="str">
        <f t="shared" ca="1" si="1"/>
        <v>2006</v>
      </c>
      <c r="F499" t="str">
        <f t="shared" ca="1" si="2"/>
        <v xml:space="preserve"> *UFP-UV: plano de acção do terceiro ano 
de actividade*. </v>
      </c>
      <c r="G499" s="3">
        <f t="shared" ca="1" si="3"/>
        <v>32</v>
      </c>
      <c r="H499" s="2">
        <f t="shared" ca="1" si="4"/>
        <v>90</v>
      </c>
      <c r="I499" t="e">
        <f t="shared" ca="1" si="5"/>
        <v>#VALUE!</v>
      </c>
      <c r="J499" s="3" t="e">
        <f t="shared" ca="1" si="9"/>
        <v>#VALUE!</v>
      </c>
      <c r="K499" t="str">
        <f t="shared" ca="1" si="6"/>
        <v xml:space="preserve">Gouveia, L. e Gouveia, F. </v>
      </c>
      <c r="L499" t="str">
        <f t="shared" ca="1" si="7"/>
        <v xml:space="preserve">Quental, C. </v>
      </c>
    </row>
    <row r="500" spans="1:12" ht="15.75" customHeight="1">
      <c r="A500">
        <f ca="1">IFERROR(__xludf.DUMMYFUNCTION("""COMPUTED_VALUE"""),46)</f>
        <v>46</v>
      </c>
      <c r="B500" t="str">
        <f ca="1">IFERROR(__xludf.DUMMYFUNCTION("""COMPUTED_VALUE"""),"Gouveia, L. (2006). Gestão da Informação: oportunidade ou necessidade. 
Apresentação no IESF. Vila Nova de  Gaia, 12 de Abril.
apresentação [ pdf (462KB)]")</f>
        <v>Gouveia, L. (2006). Gestão da Informação: oportunidade ou necessidade. 
Apresentação no IESF. Vila Nova de  Gaia, 12 de Abril.
apresentação [ pdf (462KB)]</v>
      </c>
      <c r="C500" s="2">
        <f t="shared" ca="1" si="0"/>
        <v>13</v>
      </c>
      <c r="D500" t="str">
        <f t="shared" ca="1" si="8"/>
        <v xml:space="preserve">Gouveia, L. </v>
      </c>
      <c r="E500" t="str">
        <f t="shared" ca="1" si="1"/>
        <v>2006</v>
      </c>
      <c r="F500" t="str">
        <f t="shared" ca="1" si="2"/>
        <v xml:space="preserve"> Gestão da Informação: oportunidade ou necessidade. </v>
      </c>
      <c r="G500" s="3">
        <f t="shared" ca="1" si="3"/>
        <v>18</v>
      </c>
      <c r="H500" s="2">
        <f t="shared" ca="1" si="4"/>
        <v>70</v>
      </c>
      <c r="I500" t="e">
        <f t="shared" ca="1" si="5"/>
        <v>#VALUE!</v>
      </c>
      <c r="J500" s="3" t="e">
        <f t="shared" ca="1" si="9"/>
        <v>#VALUE!</v>
      </c>
      <c r="K500" t="str">
        <f t="shared" ca="1" si="6"/>
        <v xml:space="preserve">Gouveia, L. </v>
      </c>
      <c r="L500" t="str">
        <f t="shared" ca="1" si="7"/>
        <v xml:space="preserve">Quental, C. </v>
      </c>
    </row>
    <row r="501" spans="1:12" ht="15.75" customHeight="1">
      <c r="A501">
        <f ca="1">IFERROR(__xludf.DUMMYFUNCTION("""COMPUTED_VALUE"""),45)</f>
        <v>45</v>
      </c>
      <c r="B501" t="str">
        <f ca="1">IFERROR(__xludf.DUMMYFUNCTION("""COMPUTED_VALUE"""),"Gouveia, L. (2006). *IT Governance - uma janela de oportunidades*. 14º ERSI 
- A Governança dos SI/TI na Administração Pública: O quê, como, onde e 
porquê? Hotel do Vimeiro, 22 de Março.
apresentação [ pdf (357KB)]")</f>
        <v>Gouveia, L. (2006). *IT Governance - uma janela de oportunidades*. 14º ERSI 
- A Governança dos SI/TI na Administração Pública: O quê, como, onde e 
porquê? Hotel do Vimeiro, 22 de Março.
apresentação [ pdf (357KB)]</v>
      </c>
      <c r="C501" s="2">
        <f t="shared" ca="1" si="0"/>
        <v>13</v>
      </c>
      <c r="D501" t="str">
        <f t="shared" ca="1" si="8"/>
        <v xml:space="preserve">Gouveia, L. </v>
      </c>
      <c r="E501" t="str">
        <f t="shared" ca="1" si="1"/>
        <v>2006</v>
      </c>
      <c r="F501" t="str">
        <f t="shared" ca="1" si="2"/>
        <v xml:space="preserve"> *IT Governance - uma janela de oportunidades*. </v>
      </c>
      <c r="G501" s="3">
        <f t="shared" ca="1" si="3"/>
        <v>18</v>
      </c>
      <c r="H501" s="2">
        <f t="shared" ca="1" si="4"/>
        <v>66</v>
      </c>
      <c r="I501" t="e">
        <f t="shared" ca="1" si="5"/>
        <v>#VALUE!</v>
      </c>
      <c r="J501" s="3" t="e">
        <f t="shared" ca="1" si="9"/>
        <v>#VALUE!</v>
      </c>
      <c r="K501" t="str">
        <f t="shared" ca="1" si="6"/>
        <v xml:space="preserve">Gouveia, L. </v>
      </c>
      <c r="L501" t="str">
        <f t="shared" ca="1" si="7"/>
        <v xml:space="preserve">Quental, C. </v>
      </c>
    </row>
    <row r="502" spans="1:12" ht="15.75" customHeight="1">
      <c r="A502">
        <f ca="1">IFERROR(__xludf.DUMMYFUNCTION("""COMPUTED_VALUE"""),44)</f>
        <v>44</v>
      </c>
      <c r="B502" t="str">
        <f ca="1">IFERROR(__xludf.DUMMYFUNCTION("""COMPUTED_VALUE"""),"Gouveia, L. (2006). *Gestão de Projectos Multimédia*. Aula convidada na Pós 
Graduação de Sistemas de Informação. Escola de Ciência e Tecnologia. 
Instituto Politécnico de Castelo Branco. 23 de Fevereiro.
apresentação [ pdf (450KB) ]")</f>
        <v>Gouveia, L. (2006). *Gestão de Projectos Multimédia*. Aula convidada na Pós 
Graduação de Sistemas de Informação. Escola de Ciência e Tecnologia. 
Instituto Politécnico de Castelo Branco. 23 de Fevereiro.
apresentação [ pdf (450KB) ]</v>
      </c>
      <c r="C502" s="2">
        <f t="shared" ca="1" si="0"/>
        <v>13</v>
      </c>
      <c r="D502" t="str">
        <f t="shared" ca="1" si="8"/>
        <v xml:space="preserve">Gouveia, L. </v>
      </c>
      <c r="E502" t="str">
        <f t="shared" ca="1" si="1"/>
        <v>2006</v>
      </c>
      <c r="F502" t="str">
        <f t="shared" ca="1" si="2"/>
        <v xml:space="preserve"> *Gestão de Projectos Multimédia*. </v>
      </c>
      <c r="G502" s="3">
        <f t="shared" ca="1" si="3"/>
        <v>18</v>
      </c>
      <c r="H502" s="2">
        <f t="shared" ca="1" si="4"/>
        <v>53</v>
      </c>
      <c r="I502" t="e">
        <f t="shared" ca="1" si="5"/>
        <v>#VALUE!</v>
      </c>
      <c r="J502" s="3" t="e">
        <f t="shared" ca="1" si="9"/>
        <v>#VALUE!</v>
      </c>
      <c r="K502" t="str">
        <f t="shared" ca="1" si="6"/>
        <v xml:space="preserve">Gouveia, L. </v>
      </c>
      <c r="L502" t="str">
        <f t="shared" ca="1" si="7"/>
        <v xml:space="preserve">Quental, C. </v>
      </c>
    </row>
    <row r="503" spans="1:12" ht="15.75" customHeight="1">
      <c r="A503">
        <f ca="1">IFERROR(__xludf.DUMMYFUNCTION("""COMPUTED_VALUE"""),43)</f>
        <v>43</v>
      </c>
      <c r="B503" t="str">
        <f ca="1">IFERROR(__xludf.DUMMYFUNCTION("""COMPUTED_VALUE"""),"Gouveia, L. (2005). *Uma oportunidade para reinventar o território*. 
Cidades e Regiões Digitais: o que falta fazer. Algébrica. Hotel dos 
Templários. Tomar. 23 de Novembro.
apresentação [ pdf (708KB)]")</f>
        <v>Gouveia, L. (2005). *Uma oportunidade para reinventar o território*. 
Cidades e Regiões Digitais: o que falta fazer. Algébrica. Hotel dos 
Templários. Tomar. 23 de Novembro.
apresentação [ pdf (708KB)]</v>
      </c>
      <c r="C503" s="2">
        <f t="shared" ca="1" si="0"/>
        <v>13</v>
      </c>
      <c r="D503" t="str">
        <f t="shared" ca="1" si="8"/>
        <v xml:space="preserve">Gouveia, L. </v>
      </c>
      <c r="E503" t="str">
        <f t="shared" ca="1" si="1"/>
        <v>2005</v>
      </c>
      <c r="F503" t="str">
        <f t="shared" ca="1" si="2"/>
        <v xml:space="preserve"> *Uma oportunidade para reinventar o território*. </v>
      </c>
      <c r="G503" s="3">
        <f t="shared" ca="1" si="3"/>
        <v>18</v>
      </c>
      <c r="H503" s="2">
        <f t="shared" ca="1" si="4"/>
        <v>68</v>
      </c>
      <c r="I503" t="e">
        <f t="shared" ca="1" si="5"/>
        <v>#VALUE!</v>
      </c>
      <c r="J503" s="3" t="e">
        <f t="shared" ca="1" si="9"/>
        <v>#VALUE!</v>
      </c>
      <c r="K503" t="str">
        <f t="shared" ca="1" si="6"/>
        <v xml:space="preserve">Gouveia, L. </v>
      </c>
      <c r="L503" t="str">
        <f t="shared" ca="1" si="7"/>
        <v xml:space="preserve">Quental, C. </v>
      </c>
    </row>
    <row r="504" spans="1:12" ht="15.75" customHeight="1">
      <c r="A504">
        <f ca="1">IFERROR(__xludf.DUMMYFUNCTION("""COMPUTED_VALUE"""),42)</f>
        <v>42</v>
      </c>
      <c r="B504" t="str">
        <f ca="1">IFERROR(__xludf.DUMMYFUNCTION("""COMPUTED_VALUE"""),"Gouveia, F. e Gouveia, L. (2005). *Apresentação da Plataforma de e-learning 
da UFP*. Comemorações do Dia da Faculdade de Ciências da Saúde. 
Universidade Fernando Pessoa. 8 de Outubro.
apresentação [ pdf (720KB) ]")</f>
        <v>Gouveia, F. e Gouveia, L. (2005). *Apresentação da Plataforma de e-learning 
da UFP*. Comemorações do Dia da Faculdade de Ciências da Saúde. 
Universidade Fernando Pessoa. 8 de Outubro.
apresentação [ pdf (720KB) ]</v>
      </c>
      <c r="C504" s="2">
        <f t="shared" ca="1" si="0"/>
        <v>27</v>
      </c>
      <c r="D504" t="str">
        <f t="shared" ca="1" si="8"/>
        <v xml:space="preserve">Gouveia, F. e Gouveia, L. </v>
      </c>
      <c r="E504" t="str">
        <f t="shared" ca="1" si="1"/>
        <v>2005</v>
      </c>
      <c r="F504" t="str">
        <f t="shared" ca="1" si="2"/>
        <v xml:space="preserve"> *Apresentação da Plataforma de e-learning 
da UFP*. </v>
      </c>
      <c r="G504" s="3">
        <f t="shared" ca="1" si="3"/>
        <v>32</v>
      </c>
      <c r="H504" s="2">
        <f t="shared" ca="1" si="4"/>
        <v>85</v>
      </c>
      <c r="I504" t="e">
        <f t="shared" ca="1" si="5"/>
        <v>#VALUE!</v>
      </c>
      <c r="J504" s="3" t="e">
        <f t="shared" ca="1" si="9"/>
        <v>#VALUE!</v>
      </c>
      <c r="K504" t="str">
        <f t="shared" ca="1" si="6"/>
        <v xml:space="preserve">Gouveia, F. e Gouveia, L. </v>
      </c>
      <c r="L504" t="str">
        <f t="shared" ca="1" si="7"/>
        <v xml:space="preserve">Quental, C. </v>
      </c>
    </row>
    <row r="505" spans="1:12" ht="15.75" customHeight="1">
      <c r="A505">
        <f ca="1">IFERROR(__xludf.DUMMYFUNCTION("""COMPUTED_VALUE"""),41)</f>
        <v>41</v>
      </c>
      <c r="B505" t="str">
        <f ca="1">IFERROR(__xludf.DUMMYFUNCTION("""COMPUTED_VALUE"""),"Gouveia, L. (2005). *Ensino Virtual  e e-learning: a experiência da 
Universidade Fernando Pessoa*. Jornadas Prof2000. Centro Cultural e de 
Congressos. 27 de Abril. Aveiro.
apresentação [ pdf (292KB) ]")</f>
        <v>Gouveia, L. (2005). *Ensino Virtual  e e-learning: a experiência da 
Universidade Fernando Pessoa*. Jornadas Prof2000. Centro Cultural e de 
Congressos. 27 de Abril. Aveiro.
apresentação [ pdf (292KB) ]</v>
      </c>
      <c r="C505" s="2">
        <f t="shared" ca="1" si="0"/>
        <v>13</v>
      </c>
      <c r="D505" t="str">
        <f t="shared" ca="1" si="8"/>
        <v xml:space="preserve">Gouveia, L. </v>
      </c>
      <c r="E505" t="str">
        <f t="shared" ca="1" si="1"/>
        <v>2005</v>
      </c>
      <c r="F505" t="str">
        <f t="shared" ca="1" si="2"/>
        <v xml:space="preserve"> *Ensino Virtual  e e-learning: a experiência da 
Universidade Fernando Pessoa*. </v>
      </c>
      <c r="G505" s="3">
        <f t="shared" ca="1" si="3"/>
        <v>18</v>
      </c>
      <c r="H505" s="2">
        <f t="shared" ca="1" si="4"/>
        <v>99</v>
      </c>
      <c r="I505" t="e">
        <f t="shared" ca="1" si="5"/>
        <v>#VALUE!</v>
      </c>
      <c r="J505" s="3" t="e">
        <f t="shared" ca="1" si="9"/>
        <v>#VALUE!</v>
      </c>
      <c r="K505" t="str">
        <f t="shared" ca="1" si="6"/>
        <v xml:space="preserve">Gouveia, L. </v>
      </c>
      <c r="L505" t="str">
        <f t="shared" ca="1" si="7"/>
        <v xml:space="preserve">Quental, C. </v>
      </c>
    </row>
    <row r="506" spans="1:12" ht="15.75" customHeight="1">
      <c r="A506">
        <f ca="1">IFERROR(__xludf.DUMMYFUNCTION("""COMPUTED_VALUE"""),40)</f>
        <v>40</v>
      </c>
      <c r="B506" t="str">
        <f ca="1">IFERROR(__xludf.DUMMYFUNCTION("""COMPUTED_VALUE"""),"Gouveia, L. (2005). *Sociedade da Informação: a quanto obrigas!* 12a 
Jornadas Licenciatura em Informática de Gestão. 21 de Abril - Auditório 
Nobre. Universidade do Minho Guimarães.
resumo da apresentação [ gif (57 KB) ]")</f>
        <v>Gouveia, L. (2005). *Sociedade da Informação: a quanto obrigas!* 12a 
Jornadas Licenciatura em Informática de Gestão. 21 de Abril - Auditório 
Nobre. Universidade do Minho Guimarães.
resumo da apresentação [ gif (57 KB) ]</v>
      </c>
      <c r="C506" s="2">
        <f t="shared" ca="1" si="0"/>
        <v>13</v>
      </c>
      <c r="D506" t="str">
        <f t="shared" ca="1" si="8"/>
        <v xml:space="preserve">Gouveia, L. </v>
      </c>
      <c r="E506" t="str">
        <f t="shared" ca="1" si="1"/>
        <v>2005</v>
      </c>
      <c r="F506" t="str">
        <f t="shared" ca="1" si="2"/>
        <v xml:space="preserve"> *Sociedade da Informação: a quanto obrigas!* 12a 
Jornadas Licenciatura em Informática de Gestão. </v>
      </c>
      <c r="G506" s="3">
        <f t="shared" ca="1" si="3"/>
        <v>18</v>
      </c>
      <c r="H506" s="2">
        <f t="shared" ca="1" si="4"/>
        <v>117</v>
      </c>
      <c r="I506" t="e">
        <f t="shared" ca="1" si="5"/>
        <v>#VALUE!</v>
      </c>
      <c r="J506" s="3" t="e">
        <f t="shared" ca="1" si="9"/>
        <v>#VALUE!</v>
      </c>
      <c r="K506" t="str">
        <f t="shared" ca="1" si="6"/>
        <v xml:space="preserve">Gouveia, L. </v>
      </c>
      <c r="L506" t="str">
        <f t="shared" ca="1" si="7"/>
        <v xml:space="preserve">Quental, C. </v>
      </c>
    </row>
    <row r="507" spans="1:12" ht="15.75" customHeight="1">
      <c r="A507">
        <f ca="1">IFERROR(__xludf.DUMMYFUNCTION("""COMPUTED_VALUE"""),39)</f>
        <v>39</v>
      </c>
      <c r="B507" t="str">
        <f ca="1">IFERROR(__xludf.DUMMYFUNCTION("""COMPUTED_VALUE"""),"Gouveia, L. (2005).  *Cidades e Regiões Digitais*. Seminário no âmbito do 
Curso de Alta Direcção da Administração Pública do INA. Parque Tecnológico 
da Maia, 4 de Janeiro de 2005
apresentações [ pdf (655KB) e pdf (2540KB) ]")</f>
        <v>Gouveia, L. (2005).  *Cidades e Regiões Digitais*. Seminário no âmbito do 
Curso de Alta Direcção da Administração Pública do INA. Parque Tecnológico 
da Maia, 4 de Janeiro de 2005
apresentações [ pdf (655KB) e pdf (2540KB) ]</v>
      </c>
      <c r="C507" s="2">
        <f t="shared" ca="1" si="0"/>
        <v>13</v>
      </c>
      <c r="D507" t="str">
        <f t="shared" ca="1" si="8"/>
        <v xml:space="preserve">Gouveia, L. </v>
      </c>
      <c r="E507" t="str">
        <f t="shared" ca="1" si="1"/>
        <v>2005</v>
      </c>
      <c r="F507" t="str">
        <f t="shared" ca="1" si="2"/>
        <v xml:space="preserve">  *Cidades e Regiões Digitais*. </v>
      </c>
      <c r="G507" s="3">
        <f t="shared" ca="1" si="3"/>
        <v>18</v>
      </c>
      <c r="H507" s="2">
        <f t="shared" ca="1" si="4"/>
        <v>50</v>
      </c>
      <c r="I507" t="e">
        <f t="shared" ca="1" si="5"/>
        <v>#VALUE!</v>
      </c>
      <c r="J507" s="3" t="e">
        <f t="shared" ca="1" si="9"/>
        <v>#VALUE!</v>
      </c>
      <c r="K507" t="str">
        <f t="shared" ca="1" si="6"/>
        <v xml:space="preserve">Gouveia, L. </v>
      </c>
      <c r="L507" t="str">
        <f t="shared" ca="1" si="7"/>
        <v xml:space="preserve">Quental, C. </v>
      </c>
    </row>
    <row r="508" spans="1:12" ht="15.75" customHeight="1">
      <c r="A508">
        <f ca="1">IFERROR(__xludf.DUMMYFUNCTION("""COMPUTED_VALUE"""),38)</f>
        <v>38</v>
      </c>
      <c r="B508" t="str">
        <f ca="1">IFERROR(__xludf.DUMMYFUNCTION("""COMPUTED_VALUE"""),"Gouveia, L. (2004). O digital, a logística e o território. Curso Logística 
e Gestão Industrial. Programa Aveiro Norte. Universidade de Aveiro. Sala do 
Senado da Reitoria, 16 de Outubro.
apresentação [ pdf (117KB)]")</f>
        <v>Gouveia, L. (2004). O digital, a logística e o território. Curso Logística 
e Gestão Industrial. Programa Aveiro Norte. Universidade de Aveiro. Sala do 
Senado da Reitoria, 16 de Outubro.
apresentação [ pdf (117KB)]</v>
      </c>
      <c r="C508" s="2">
        <f t="shared" ca="1" si="0"/>
        <v>13</v>
      </c>
      <c r="D508" t="str">
        <f t="shared" ca="1" si="8"/>
        <v xml:space="preserve">Gouveia, L. </v>
      </c>
      <c r="E508" t="str">
        <f t="shared" ca="1" si="1"/>
        <v>2004</v>
      </c>
      <c r="F508" t="str">
        <f t="shared" ca="1" si="2"/>
        <v xml:space="preserve"> O digital, a logística e o território. </v>
      </c>
      <c r="G508" s="3">
        <f t="shared" ca="1" si="3"/>
        <v>18</v>
      </c>
      <c r="H508" s="2">
        <f t="shared" ca="1" si="4"/>
        <v>58</v>
      </c>
      <c r="I508" t="e">
        <f t="shared" ca="1" si="5"/>
        <v>#VALUE!</v>
      </c>
      <c r="J508" s="3" t="e">
        <f t="shared" ca="1" si="9"/>
        <v>#VALUE!</v>
      </c>
      <c r="K508" t="str">
        <f t="shared" ca="1" si="6"/>
        <v xml:space="preserve">Gouveia, L. </v>
      </c>
      <c r="L508" t="str">
        <f t="shared" ca="1" si="7"/>
        <v xml:space="preserve">Quental, C. </v>
      </c>
    </row>
    <row r="509" spans="1:12" ht="15.75" customHeight="1">
      <c r="A509">
        <f ca="1">IFERROR(__xludf.DUMMYFUNCTION("""COMPUTED_VALUE"""),37)</f>
        <v>37</v>
      </c>
      <c r="B509" t="str">
        <f ca="1">IFERROR(__xludf.DUMMYFUNCTION("""COMPUTED_VALUE"""),"Gouveia, L. (2004). *O Gaia Global e o serviço ao munícip*e. Interface, 
Jornadas Administração Local. Algébrica. Braga, 7 de Outubro.
apresentação [ pdf (1,32MB)]")</f>
        <v>Gouveia, L. (2004). *O Gaia Global e o serviço ao munícip*e. Interface, 
Jornadas Administração Local. Algébrica. Braga, 7 de Outubro.
apresentação [ pdf (1,32MB)]</v>
      </c>
      <c r="C509" s="2">
        <f t="shared" ca="1" si="0"/>
        <v>13</v>
      </c>
      <c r="D509" t="str">
        <f t="shared" ca="1" si="8"/>
        <v xml:space="preserve">Gouveia, L. </v>
      </c>
      <c r="E509" t="str">
        <f t="shared" ca="1" si="1"/>
        <v>2004</v>
      </c>
      <c r="F509" t="str">
        <f t="shared" ca="1" si="2"/>
        <v xml:space="preserve"> *O Gaia Global e o serviço ao munícip*e. </v>
      </c>
      <c r="G509" s="3">
        <f t="shared" ca="1" si="3"/>
        <v>18</v>
      </c>
      <c r="H509" s="2">
        <f t="shared" ca="1" si="4"/>
        <v>60</v>
      </c>
      <c r="I509" t="e">
        <f t="shared" ca="1" si="5"/>
        <v>#VALUE!</v>
      </c>
      <c r="J509" s="3" t="e">
        <f t="shared" ca="1" si="9"/>
        <v>#VALUE!</v>
      </c>
      <c r="K509" t="str">
        <f t="shared" ca="1" si="6"/>
        <v xml:space="preserve">Gouveia, L. </v>
      </c>
      <c r="L509" t="str">
        <f t="shared" ca="1" si="7"/>
        <v xml:space="preserve">Quental, C. </v>
      </c>
    </row>
    <row r="510" spans="1:12" ht="15.75" customHeight="1">
      <c r="A510">
        <f ca="1">IFERROR(__xludf.DUMMYFUNCTION("""COMPUTED_VALUE"""),36)</f>
        <v>36</v>
      </c>
      <c r="B510" t="str">
        <f ca="1">IFERROR(__xludf.DUMMYFUNCTION("""COMPUTED_VALUE"""),"Gouveia, L. (2004). O Projecto Gaia Global como integrador de serviços da 
autarquia. Seminário Indústria das Comunicações: dos Fornecedores aos 
Utilizadores. APDC - Associação Portuguesa para o Desenvolvimento das 
Telecomunicações.  6 de Maio. Porto.")</f>
        <v>Gouveia, L. (2004). O Projecto Gaia Global como integrador de serviços da 
autarquia. Seminário Indústria das Comunicações: dos Fornecedores aos 
Utilizadores. APDC - Associação Portuguesa para o Desenvolvimento das 
Telecomunicações.  6 de Maio. Porto.</v>
      </c>
      <c r="C510" s="2">
        <f t="shared" ca="1" si="0"/>
        <v>13</v>
      </c>
      <c r="D510" t="str">
        <f t="shared" ca="1" si="8"/>
        <v xml:space="preserve">Gouveia, L. </v>
      </c>
      <c r="E510" t="str">
        <f t="shared" ca="1" si="1"/>
        <v>2004</v>
      </c>
      <c r="F510" t="str">
        <f t="shared" ca="1" si="2"/>
        <v xml:space="preserve"> O Projecto Gaia Global como integrador de serviços da 
autarquia. </v>
      </c>
      <c r="G510" s="3">
        <f t="shared" ca="1" si="3"/>
        <v>18</v>
      </c>
      <c r="H510" s="2">
        <f t="shared" ca="1" si="4"/>
        <v>85</v>
      </c>
      <c r="I510" t="e">
        <f t="shared" ca="1" si="5"/>
        <v>#VALUE!</v>
      </c>
      <c r="J510" s="3" t="e">
        <f t="shared" ca="1" si="9"/>
        <v>#VALUE!</v>
      </c>
      <c r="K510" t="str">
        <f t="shared" ca="1" si="6"/>
        <v xml:space="preserve">Gouveia, L. </v>
      </c>
      <c r="L510" t="str">
        <f t="shared" ca="1" si="7"/>
        <v xml:space="preserve">Quental, C. </v>
      </c>
    </row>
    <row r="511" spans="1:12" ht="15.75" customHeight="1">
      <c r="A511">
        <f ca="1">IFERROR(__xludf.DUMMYFUNCTION("""COMPUTED_VALUE"""),35)</f>
        <v>35</v>
      </c>
      <c r="B511" t="str">
        <f ca="1">IFERROR(__xludf.DUMMYFUNCTION("""COMPUTED_VALUE"""),"Gouveia, L. (2003). O projecto Gaia Global. Evento de apresentação do 
projecto Viseu Digital. Lusitânia - ADR.  Viseu, 19 de Dezembro.")</f>
        <v>Gouveia, L. (2003). O projecto Gaia Global. Evento de apresentação do 
projecto Viseu Digital. Lusitânia - ADR.  Viseu, 19 de Dezembro.</v>
      </c>
      <c r="C511" s="2">
        <f t="shared" ca="1" si="0"/>
        <v>13</v>
      </c>
      <c r="D511" t="str">
        <f t="shared" ca="1" si="8"/>
        <v xml:space="preserve">Gouveia, L. </v>
      </c>
      <c r="E511" t="str">
        <f t="shared" ca="1" si="1"/>
        <v>2003</v>
      </c>
      <c r="F511" t="str">
        <f t="shared" ca="1" si="2"/>
        <v xml:space="preserve"> O projecto Gaia Global. </v>
      </c>
      <c r="G511" s="3">
        <f t="shared" ca="1" si="3"/>
        <v>18</v>
      </c>
      <c r="H511" s="2">
        <f t="shared" ca="1" si="4"/>
        <v>43</v>
      </c>
      <c r="I511" t="e">
        <f t="shared" ca="1" si="5"/>
        <v>#VALUE!</v>
      </c>
      <c r="J511" s="3" t="e">
        <f t="shared" ca="1" si="9"/>
        <v>#VALUE!</v>
      </c>
      <c r="K511" t="str">
        <f t="shared" ca="1" si="6"/>
        <v xml:space="preserve">Gouveia, L. </v>
      </c>
      <c r="L511" t="str">
        <f t="shared" ca="1" si="7"/>
        <v xml:space="preserve">Quental, C. </v>
      </c>
    </row>
    <row r="512" spans="1:12" ht="15.75" customHeight="1">
      <c r="A512">
        <f ca="1">IFERROR(__xludf.DUMMYFUNCTION("""COMPUTED_VALUE"""),34)</f>
        <v>34</v>
      </c>
      <c r="B512" t="str">
        <f ca="1">IFERROR(__xludf.DUMMYFUNCTION("""COMPUTED_VALUE"""),"Gouveia, L. (2003). Gaia Global. Sharing Leadership, 9ª Reunião de 
Utilizadores Quatro 2003. Palácio Sotto Maior. Figueira da Foz. 9 de 
Outubro.")</f>
        <v>Gouveia, L. (2003). Gaia Global. Sharing Leadership, 9ª Reunião de 
Utilizadores Quatro 2003. Palácio Sotto Maior. Figueira da Foz. 9 de 
Outubro.</v>
      </c>
      <c r="C512" s="2">
        <f t="shared" ca="1" si="0"/>
        <v>13</v>
      </c>
      <c r="D512" t="str">
        <f t="shared" ca="1" si="8"/>
        <v xml:space="preserve">Gouveia, L. </v>
      </c>
      <c r="E512" t="str">
        <f t="shared" ca="1" si="1"/>
        <v>2003</v>
      </c>
      <c r="F512" t="str">
        <f t="shared" ca="1" si="2"/>
        <v xml:space="preserve"> Gaia Global. </v>
      </c>
      <c r="G512" s="3">
        <f t="shared" ca="1" si="3"/>
        <v>18</v>
      </c>
      <c r="H512" s="2">
        <f t="shared" ca="1" si="4"/>
        <v>32</v>
      </c>
      <c r="I512" t="e">
        <f t="shared" ca="1" si="5"/>
        <v>#VALUE!</v>
      </c>
      <c r="J512" s="3" t="e">
        <f t="shared" ca="1" si="9"/>
        <v>#VALUE!</v>
      </c>
      <c r="K512" t="str">
        <f t="shared" ca="1" si="6"/>
        <v xml:space="preserve">Gouveia, L. </v>
      </c>
      <c r="L512" t="str">
        <f t="shared" ca="1" si="7"/>
        <v xml:space="preserve">Quental, C. </v>
      </c>
    </row>
    <row r="513" spans="1:12" ht="15.75" customHeight="1">
      <c r="A513">
        <f ca="1">IFERROR(__xludf.DUMMYFUNCTION("""COMPUTED_VALUE"""),33)</f>
        <v>33</v>
      </c>
      <c r="B513" t="str">
        <f ca="1">IFERROR(__xludf.DUMMYFUNCTION("""COMPUTED_VALUE"""),"Gouveia, L. (2003). e-munícipe: Gaia Global. Cidades e Regiões Digitais: O 
Essencial. Fórum Administração Pública Local. Auditório da Reitoria da 
Universidade de Aveiro. 2 de Outubro.")</f>
        <v>Gouveia, L. (2003). e-munícipe: Gaia Global. Cidades e Regiões Digitais: O 
Essencial. Fórum Administração Pública Local. Auditório da Reitoria da 
Universidade de Aveiro. 2 de Outubro.</v>
      </c>
      <c r="C513" s="2">
        <f t="shared" ca="1" si="0"/>
        <v>13</v>
      </c>
      <c r="D513" t="str">
        <f t="shared" ca="1" si="8"/>
        <v xml:space="preserve">Gouveia, L. </v>
      </c>
      <c r="E513" t="str">
        <f t="shared" ca="1" si="1"/>
        <v>2003</v>
      </c>
      <c r="F513" t="str">
        <f t="shared" ca="1" si="2"/>
        <v xml:space="preserve"> e-munícipe: Gaia Global. </v>
      </c>
      <c r="G513" s="3">
        <f t="shared" ca="1" si="3"/>
        <v>18</v>
      </c>
      <c r="H513" s="2">
        <f t="shared" ca="1" si="4"/>
        <v>44</v>
      </c>
      <c r="I513" t="e">
        <f t="shared" ca="1" si="5"/>
        <v>#VALUE!</v>
      </c>
      <c r="J513" s="3" t="e">
        <f t="shared" ca="1" si="9"/>
        <v>#VALUE!</v>
      </c>
      <c r="K513" t="str">
        <f t="shared" ca="1" si="6"/>
        <v xml:space="preserve">Gouveia, L. </v>
      </c>
      <c r="L513" t="str">
        <f t="shared" ca="1" si="7"/>
        <v xml:space="preserve">Quental, C. </v>
      </c>
    </row>
    <row r="514" spans="1:12" ht="15.75" customHeight="1">
      <c r="A514">
        <f ca="1">IFERROR(__xludf.DUMMYFUNCTION("""COMPUTED_VALUE"""),32)</f>
        <v>32</v>
      </c>
      <c r="B514" t="str">
        <f ca="1">IFERROR(__xludf.DUMMYFUNCTION("""COMPUTED_VALUE"""),"Gouveia, L. (2003). Gaia Global: informação e serviços para o munícipe. *Lisf 
- Lisbon Information Society Forum*. FIL, Lisboa. 24 de Setembro.")</f>
        <v>Gouveia, L. (2003). Gaia Global: informação e serviços para o munícipe. *Lisf 
- Lisbon Information Society Forum*. FIL, Lisboa. 24 de Setembro.</v>
      </c>
      <c r="C514" s="2">
        <f t="shared" ca="1" si="0"/>
        <v>13</v>
      </c>
      <c r="D514" t="str">
        <f t="shared" ca="1" si="8"/>
        <v xml:space="preserve">Gouveia, L. </v>
      </c>
      <c r="E514" t="str">
        <f t="shared" ca="1" si="1"/>
        <v>2003</v>
      </c>
      <c r="F514" t="str">
        <f t="shared" ca="1" si="2"/>
        <v xml:space="preserve"> Gaia Global: informação e serviços para o munícipe. </v>
      </c>
      <c r="G514" s="3">
        <f t="shared" ca="1" si="3"/>
        <v>18</v>
      </c>
      <c r="H514" s="2">
        <f t="shared" ca="1" si="4"/>
        <v>71</v>
      </c>
      <c r="I514" t="e">
        <f t="shared" ca="1" si="5"/>
        <v>#VALUE!</v>
      </c>
      <c r="J514" s="3" t="e">
        <f t="shared" ca="1" si="9"/>
        <v>#VALUE!</v>
      </c>
      <c r="K514" t="str">
        <f t="shared" ca="1" si="6"/>
        <v xml:space="preserve">Gouveia, L. </v>
      </c>
      <c r="L514" t="str">
        <f t="shared" ca="1" si="7"/>
        <v xml:space="preserve">Quental, C. </v>
      </c>
    </row>
    <row r="515" spans="1:12" ht="15.75" customHeight="1">
      <c r="A515">
        <f ca="1">IFERROR(__xludf.DUMMYFUNCTION("""COMPUTED_VALUE"""),31)</f>
        <v>31</v>
      </c>
      <c r="B515" t="str">
        <f ca="1">IFERROR(__xludf.DUMMYFUNCTION("""COMPUTED_VALUE"""),"Gouveia, L. (2003). *Autarquias Digitais: promessas e desafios*. Internet – 
como democratizar o seu uso e as suas práticas, 26-28 de Junho. Câmara 
Municipal de Abrantes. 27 de Junho, Abrantes.
texto [ pdf (24KB)]")</f>
        <v>Gouveia, L. (2003). *Autarquias Digitais: promessas e desafios*. Internet – 
como democratizar o seu uso e as suas práticas, 26-28 de Junho. Câmara 
Municipal de Abrantes. 27 de Junho, Abrantes.
texto [ pdf (24KB)]</v>
      </c>
      <c r="C515" s="2">
        <f t="shared" ca="1" si="0"/>
        <v>13</v>
      </c>
      <c r="D515" t="str">
        <f t="shared" ca="1" si="8"/>
        <v xml:space="preserve">Gouveia, L. </v>
      </c>
      <c r="E515" t="str">
        <f t="shared" ca="1" si="1"/>
        <v>2003</v>
      </c>
      <c r="F515" t="str">
        <f t="shared" ca="1" si="2"/>
        <v xml:space="preserve"> *Autarquias Digitais: promessas e desafios*. </v>
      </c>
      <c r="G515" s="3">
        <f t="shared" ca="1" si="3"/>
        <v>18</v>
      </c>
      <c r="H515" s="2">
        <f t="shared" ca="1" si="4"/>
        <v>64</v>
      </c>
      <c r="I515" t="e">
        <f t="shared" ca="1" si="5"/>
        <v>#VALUE!</v>
      </c>
      <c r="J515" s="3" t="e">
        <f t="shared" ca="1" si="9"/>
        <v>#VALUE!</v>
      </c>
      <c r="K515" t="str">
        <f t="shared" ca="1" si="6"/>
        <v xml:space="preserve">Gouveia, L. </v>
      </c>
      <c r="L515" t="str">
        <f t="shared" ca="1" si="7"/>
        <v xml:space="preserve">Quental, C. </v>
      </c>
    </row>
    <row r="516" spans="1:12" ht="15.75" customHeight="1">
      <c r="A516">
        <f ca="1">IFERROR(__xludf.DUMMYFUNCTION("""COMPUTED_VALUE"""),30)</f>
        <v>30</v>
      </c>
      <c r="B516" t="str">
        <f ca="1">IFERROR(__xludf.DUMMYFUNCTION("""COMPUTED_VALUE"""),"Gouveia, L. (2003). E-learning: Oportunidades e Desafios para o Ensino 
Superior. Seminário O E-Learning em Contexto de Ensino Superior. 
Universidade Fernando Pessoa. 12 de Junho de 2003. Porto.
apresentação [ pdf(160KB)]")</f>
        <v>Gouveia, L. (2003). E-learning: Oportunidades e Desafios para o Ensino 
Superior. Seminário O E-Learning em Contexto de Ensino Superior. 
Universidade Fernando Pessoa. 12 de Junho de 2003. Porto.
apresentação [ pdf(160KB)]</v>
      </c>
      <c r="C516" s="2">
        <f t="shared" ca="1" si="0"/>
        <v>13</v>
      </c>
      <c r="D516" t="str">
        <f t="shared" ca="1" si="8"/>
        <v xml:space="preserve">Gouveia, L. </v>
      </c>
      <c r="E516" t="str">
        <f t="shared" ca="1" si="1"/>
        <v>2003</v>
      </c>
      <c r="F516" t="str">
        <f t="shared" ca="1" si="2"/>
        <v xml:space="preserve"> E-learning: Oportunidades e Desafios para o Ensino 
Superior. </v>
      </c>
      <c r="G516" s="3">
        <f t="shared" ca="1" si="3"/>
        <v>18</v>
      </c>
      <c r="H516" s="2">
        <f t="shared" ca="1" si="4"/>
        <v>81</v>
      </c>
      <c r="I516" t="e">
        <f t="shared" ca="1" si="5"/>
        <v>#VALUE!</v>
      </c>
      <c r="J516" s="3" t="e">
        <f t="shared" ca="1" si="9"/>
        <v>#VALUE!</v>
      </c>
      <c r="K516" t="str">
        <f t="shared" ca="1" si="6"/>
        <v xml:space="preserve">Gouveia, L. </v>
      </c>
      <c r="L516" t="str">
        <f t="shared" ca="1" si="7"/>
        <v xml:space="preserve">Quental, C. </v>
      </c>
    </row>
    <row r="517" spans="1:12" ht="15.75" customHeight="1">
      <c r="A517">
        <f ca="1">IFERROR(__xludf.DUMMYFUNCTION("""COMPUTED_VALUE"""),29)</f>
        <v>29</v>
      </c>
      <c r="B517" t="str">
        <f ca="1">IFERROR(__xludf.DUMMYFUNCTION("""COMPUTED_VALUE"""),"Gouveia, L. (2003). *Cidades e Regiões Digitais: questões e desafios no 
Digital**.* Apresentação no Workshop sobre Cidades e Regiões Digitais, 
Auditório da Universidade Fernando Pessoa. 6 de Junho de 2003. Porto.
apresentação [ pdf (650KB)]")</f>
        <v>Gouveia, L. (2003). *Cidades e Regiões Digitais: questões e desafios no 
Digital**.* Apresentação no Workshop sobre Cidades e Regiões Digitais, 
Auditório da Universidade Fernando Pessoa. 6 de Junho de 2003. Porto.
apresentação [ pdf (650KB)]</v>
      </c>
      <c r="C517" s="2">
        <f t="shared" ca="1" si="0"/>
        <v>13</v>
      </c>
      <c r="D517" t="str">
        <f t="shared" ca="1" si="8"/>
        <v xml:space="preserve">Gouveia, L. </v>
      </c>
      <c r="E517" t="str">
        <f t="shared" ca="1" si="1"/>
        <v>2003</v>
      </c>
      <c r="F517" t="str">
        <f t="shared" ca="1" si="2"/>
        <v xml:space="preserve"> *Cidades e Regiões Digitais: questões e desafios no 
Digital**.*</v>
      </c>
      <c r="G517" s="3">
        <f t="shared" ca="1" si="3"/>
        <v>18</v>
      </c>
      <c r="H517" s="2">
        <f t="shared" ca="1" si="4"/>
        <v>83</v>
      </c>
      <c r="I517" t="e">
        <f t="shared" ca="1" si="5"/>
        <v>#VALUE!</v>
      </c>
      <c r="J517" s="3" t="e">
        <f t="shared" ca="1" si="9"/>
        <v>#VALUE!</v>
      </c>
      <c r="K517" t="str">
        <f t="shared" ca="1" si="6"/>
        <v xml:space="preserve">Gouveia, L. </v>
      </c>
      <c r="L517" t="str">
        <f t="shared" ca="1" si="7"/>
        <v xml:space="preserve">Quental, C. </v>
      </c>
    </row>
    <row r="518" spans="1:12" ht="15.75" customHeight="1">
      <c r="A518">
        <f ca="1">IFERROR(__xludf.DUMMYFUNCTION("""COMPUTED_VALUE"""),28)</f>
        <v>28</v>
      </c>
      <c r="B518" t="str">
        <f ca="1">IFERROR(__xludf.DUMMYFUNCTION("""COMPUTED_VALUE"""),"Gouveia, L. (2003). *As cidades digitais e o Gaia Global: o método NVAT.* DEGEI 
- Universidade de Aveiro. 23 de Maio de 2003. Aveiro.")</f>
        <v>Gouveia, L. (2003). *As cidades digitais e o Gaia Global: o método NVAT.* DEGEI 
- Universidade de Aveiro. 23 de Maio de 2003. Aveiro.</v>
      </c>
      <c r="C518" s="2">
        <f t="shared" ca="1" si="0"/>
        <v>13</v>
      </c>
      <c r="D518" t="str">
        <f t="shared" ca="1" si="8"/>
        <v xml:space="preserve">Gouveia, L. </v>
      </c>
      <c r="E518" t="str">
        <f t="shared" ca="1" si="1"/>
        <v>2003</v>
      </c>
      <c r="F518" t="str">
        <f t="shared" ca="1" si="2"/>
        <v xml:space="preserve"> *As cidades digitais e o Gaia Global: o método NVAT.*</v>
      </c>
      <c r="G518" s="3">
        <f t="shared" ca="1" si="3"/>
        <v>18</v>
      </c>
      <c r="H518" s="2">
        <f t="shared" ca="1" si="4"/>
        <v>72</v>
      </c>
      <c r="I518" t="e">
        <f t="shared" ca="1" si="5"/>
        <v>#VALUE!</v>
      </c>
      <c r="J518" s="3" t="e">
        <f t="shared" ca="1" si="9"/>
        <v>#VALUE!</v>
      </c>
      <c r="K518" t="str">
        <f t="shared" ca="1" si="6"/>
        <v xml:space="preserve">Gouveia, L. </v>
      </c>
      <c r="L518" t="str">
        <f t="shared" ca="1" si="7"/>
        <v xml:space="preserve">Quental, C. </v>
      </c>
    </row>
    <row r="519" spans="1:12" ht="15.75" customHeight="1">
      <c r="A519">
        <f ca="1">IFERROR(__xludf.DUMMYFUNCTION("""COMPUTED_VALUE"""),27)</f>
        <v>27</v>
      </c>
      <c r="B519" t="str">
        <f ca="1">IFERROR(__xludf.DUMMYFUNCTION("""COMPUTED_VALUE"""),"Gouveia, L. (2003). *As cidades digitais e o Gaia Global**.* Apresentação 
no IPCA - Instituto Superior do Câvado e Ave. 16 de Maio de 2003. Barcelos.")</f>
        <v>Gouveia, L. (2003). *As cidades digitais e o Gaia Global**.* Apresentação 
no IPCA - Instituto Superior do Câvado e Ave. 16 de Maio de 2003. Barcelos.</v>
      </c>
      <c r="C519" s="2">
        <f t="shared" ca="1" si="0"/>
        <v>13</v>
      </c>
      <c r="D519" t="str">
        <f t="shared" ca="1" si="8"/>
        <v xml:space="preserve">Gouveia, L. </v>
      </c>
      <c r="E519" t="str">
        <f t="shared" ca="1" si="1"/>
        <v>2003</v>
      </c>
      <c r="F519" t="str">
        <f t="shared" ca="1" si="2"/>
        <v xml:space="preserve"> *As cidades digitais e o Gaia Global**.*</v>
      </c>
      <c r="G519" s="3">
        <f t="shared" ca="1" si="3"/>
        <v>18</v>
      </c>
      <c r="H519" s="2">
        <f t="shared" ca="1" si="4"/>
        <v>59</v>
      </c>
      <c r="I519" t="e">
        <f t="shared" ca="1" si="5"/>
        <v>#VALUE!</v>
      </c>
      <c r="J519" s="3" t="e">
        <f t="shared" ca="1" si="9"/>
        <v>#VALUE!</v>
      </c>
      <c r="K519" t="str">
        <f t="shared" ca="1" si="6"/>
        <v xml:space="preserve">Gouveia, L. </v>
      </c>
      <c r="L519" t="str">
        <f t="shared" ca="1" si="7"/>
        <v xml:space="preserve">Quental, C. </v>
      </c>
    </row>
    <row r="520" spans="1:12" ht="15.75" customHeight="1">
      <c r="A520">
        <f ca="1">IFERROR(__xludf.DUMMYFUNCTION("""COMPUTED_VALUE"""),26)</f>
        <v>26</v>
      </c>
      <c r="B520" t="str">
        <f ca="1">IFERROR(__xludf.DUMMYFUNCTION("""COMPUTED_VALUE"""),"Gouveia, L. (2003). *O Gaia Global: conceitos e diferenciação**.* 4ª 
Reunião das Cidades e Regiões Digitais. 14 de Maio de 2003. Salão Nobre da 
Câmara Municipal de Gaia. Gaia.
apresentação [ pdf (972KB)]")</f>
        <v>Gouveia, L. (2003). *O Gaia Global: conceitos e diferenciação**.* 4ª 
Reunião das Cidades e Regiões Digitais. 14 de Maio de 2003. Salão Nobre da 
Câmara Municipal de Gaia. Gaia.
apresentação [ pdf (972KB)]</v>
      </c>
      <c r="C520" s="2">
        <f t="shared" ca="1" si="0"/>
        <v>13</v>
      </c>
      <c r="D520" t="str">
        <f t="shared" ca="1" si="8"/>
        <v xml:space="preserve">Gouveia, L. </v>
      </c>
      <c r="E520" t="str">
        <f t="shared" ca="1" si="1"/>
        <v>2003</v>
      </c>
      <c r="F520" t="str">
        <f t="shared" ca="1" si="2"/>
        <v xml:space="preserve"> *O Gaia Global: conceitos e diferenciação**.*</v>
      </c>
      <c r="G520" s="3">
        <f t="shared" ca="1" si="3"/>
        <v>18</v>
      </c>
      <c r="H520" s="2">
        <f t="shared" ca="1" si="4"/>
        <v>64</v>
      </c>
      <c r="I520" t="e">
        <f t="shared" ca="1" si="5"/>
        <v>#VALUE!</v>
      </c>
      <c r="J520" s="3" t="e">
        <f t="shared" ca="1" si="9"/>
        <v>#VALUE!</v>
      </c>
      <c r="K520" t="str">
        <f t="shared" ca="1" si="6"/>
        <v xml:space="preserve">Gouveia, L. </v>
      </c>
      <c r="L520" t="str">
        <f t="shared" ca="1" si="7"/>
        <v xml:space="preserve">Quental, C. </v>
      </c>
    </row>
    <row r="521" spans="1:12" ht="15.75" customHeight="1">
      <c r="A521">
        <f ca="1">IFERROR(__xludf.DUMMYFUNCTION("""COMPUTED_VALUE"""),25)</f>
        <v>25</v>
      </c>
      <c r="B521" t="str">
        <f ca="1">IFERROR(__xludf.DUMMYFUNCTION("""COMPUTED_VALUE"""),"Gouveia, L. (2003). *Gaia Digital, Ligar o real com o virtual.* Cidades e 
Regiões Digitais - 1º Encontro Nacional 2003. 14 de Março de 2003, 
Auditório Municipal de Mirandela.
apresentação [ pdf (396KB)]")</f>
        <v>Gouveia, L. (2003). *Gaia Digital, Ligar o real com o virtual.* Cidades e 
Regiões Digitais - 1º Encontro Nacional 2003. 14 de Março de 2003, 
Auditório Municipal de Mirandela.
apresentação [ pdf (396KB)]</v>
      </c>
      <c r="C521" s="2">
        <f t="shared" ca="1" si="0"/>
        <v>13</v>
      </c>
      <c r="D521" t="str">
        <f t="shared" ca="1" si="8"/>
        <v xml:space="preserve">Gouveia, L. </v>
      </c>
      <c r="E521" t="str">
        <f t="shared" ca="1" si="1"/>
        <v>2003</v>
      </c>
      <c r="F521" t="str">
        <f t="shared" ca="1" si="2"/>
        <v xml:space="preserve"> *Gaia Digital, Ligar o real com o virtual.*</v>
      </c>
      <c r="G521" s="3">
        <f t="shared" ca="1" si="3"/>
        <v>18</v>
      </c>
      <c r="H521" s="2">
        <f t="shared" ca="1" si="4"/>
        <v>62</v>
      </c>
      <c r="I521" t="e">
        <f t="shared" ca="1" si="5"/>
        <v>#VALUE!</v>
      </c>
      <c r="J521" s="3" t="e">
        <f t="shared" ca="1" si="9"/>
        <v>#VALUE!</v>
      </c>
      <c r="K521" t="str">
        <f t="shared" ca="1" si="6"/>
        <v xml:space="preserve">Gouveia, L. </v>
      </c>
      <c r="L521" t="str">
        <f t="shared" ca="1" si="7"/>
        <v xml:space="preserve">Quental, C. </v>
      </c>
    </row>
    <row r="522" spans="1:12" ht="15.75" customHeight="1">
      <c r="A522">
        <f ca="1">IFERROR(__xludf.DUMMYFUNCTION("""COMPUTED_VALUE"""),24)</f>
        <v>24</v>
      </c>
      <c r="B522" t="str">
        <f ca="1">IFERROR(__xludf.DUMMYFUNCTION("""COMPUTED_VALUE"""),"Gouveia, L. (2003). *Cidades Digitais: o caso do Gaia Digital.* Ciclo de 
Palestras da  Área da Informática 2002/03. Palestra nº 2. 11 de Março de 
2003. Salão Nobre. Universidade Fernando Pessoa.
apresentação [ pdf (892KB)]")</f>
        <v>Gouveia, L. (2003). *Cidades Digitais: o caso do Gaia Digital.* Ciclo de 
Palestras da  Área da Informática 2002/03. Palestra nº 2. 11 de Março de 
2003. Salão Nobre. Universidade Fernando Pessoa.
apresentação [ pdf (892KB)]</v>
      </c>
      <c r="C522" s="2">
        <f t="shared" ca="1" si="0"/>
        <v>13</v>
      </c>
      <c r="D522" t="str">
        <f t="shared" ca="1" si="8"/>
        <v xml:space="preserve">Gouveia, L. </v>
      </c>
      <c r="E522" t="str">
        <f t="shared" ca="1" si="1"/>
        <v>2003</v>
      </c>
      <c r="F522" t="str">
        <f t="shared" ca="1" si="2"/>
        <v xml:space="preserve"> *Cidades Digitais: o caso do Gaia Digital.*</v>
      </c>
      <c r="G522" s="3">
        <f t="shared" ca="1" si="3"/>
        <v>18</v>
      </c>
      <c r="H522" s="2">
        <f t="shared" ca="1" si="4"/>
        <v>62</v>
      </c>
      <c r="I522" t="e">
        <f t="shared" ca="1" si="5"/>
        <v>#VALUE!</v>
      </c>
      <c r="J522" s="3" t="e">
        <f t="shared" ca="1" si="9"/>
        <v>#VALUE!</v>
      </c>
      <c r="K522" t="str">
        <f t="shared" ca="1" si="6"/>
        <v xml:space="preserve">Gouveia, L. </v>
      </c>
      <c r="L522" t="str">
        <f t="shared" ca="1" si="7"/>
        <v xml:space="preserve">Quental, C. </v>
      </c>
    </row>
    <row r="523" spans="1:12" ht="15.75" customHeight="1">
      <c r="A523">
        <f ca="1">IFERROR(__xludf.DUMMYFUNCTION("""COMPUTED_VALUE"""),23)</f>
        <v>23</v>
      </c>
      <c r="B523" t="str">
        <f ca="1">IFERROR(__xludf.DUMMYFUNCTION("""COMPUTED_VALUE"""),"Gouveia, L. (2003). *Do Gaia Digital ao Gaia Global*. 1º Encontro de 
Garagem. Gaia Global. 22 de Fevereiro. Energaia, Gaia.")</f>
        <v>Gouveia, L. (2003). *Do Gaia Digital ao Gaia Global*. 1º Encontro de 
Garagem. Gaia Global. 22 de Fevereiro. Energaia, Gaia.</v>
      </c>
      <c r="C523" s="2">
        <f t="shared" ca="1" si="0"/>
        <v>13</v>
      </c>
      <c r="D523" t="str">
        <f t="shared" ca="1" si="8"/>
        <v xml:space="preserve">Gouveia, L. </v>
      </c>
      <c r="E523" t="str">
        <f t="shared" ca="1" si="1"/>
        <v>2003</v>
      </c>
      <c r="F523" t="str">
        <f t="shared" ca="1" si="2"/>
        <v xml:space="preserve"> *Do Gaia Digital ao Gaia Global*. </v>
      </c>
      <c r="G523" s="3">
        <f t="shared" ca="1" si="3"/>
        <v>18</v>
      </c>
      <c r="H523" s="2">
        <f t="shared" ca="1" si="4"/>
        <v>53</v>
      </c>
      <c r="I523" t="e">
        <f t="shared" ca="1" si="5"/>
        <v>#VALUE!</v>
      </c>
      <c r="J523" s="3" t="e">
        <f t="shared" ca="1" si="9"/>
        <v>#VALUE!</v>
      </c>
      <c r="K523" t="str">
        <f t="shared" ca="1" si="6"/>
        <v xml:space="preserve">Gouveia, L. </v>
      </c>
      <c r="L523" t="str">
        <f t="shared" ca="1" si="7"/>
        <v xml:space="preserve">Quental, C. </v>
      </c>
    </row>
    <row r="524" spans="1:12" ht="15.75" customHeight="1">
      <c r="A524">
        <f ca="1">IFERROR(__xludf.DUMMYFUNCTION("""COMPUTED_VALUE"""),22)</f>
        <v>22</v>
      </c>
      <c r="B524" t="str">
        <f ca="1">IFERROR(__xludf.DUMMYFUNCTION("""COMPUTED_VALUE"""),"Gouveia, L. (2002). *Projecto Gaia Digital, do modelo ao método de trabalho*. 
30 de Julho de 2002. IDIT, Europarque, Vila da Feira.")</f>
        <v>Gouveia, L. (2002). *Projecto Gaia Digital, do modelo ao método de trabalho*. 
30 de Julho de 2002. IDIT, Europarque, Vila da Feira.</v>
      </c>
      <c r="C524" s="2">
        <f t="shared" ca="1" si="0"/>
        <v>13</v>
      </c>
      <c r="D524" t="str">
        <f t="shared" ca="1" si="8"/>
        <v xml:space="preserve">Gouveia, L. </v>
      </c>
      <c r="E524" t="str">
        <f t="shared" ca="1" si="1"/>
        <v>2002</v>
      </c>
      <c r="F524" t="str">
        <f t="shared" ca="1" si="2"/>
        <v xml:space="preserve"> *Projecto Gaia Digital, do modelo ao método de trabalho*. </v>
      </c>
      <c r="G524" s="3">
        <f t="shared" ca="1" si="3"/>
        <v>18</v>
      </c>
      <c r="H524" s="2">
        <f t="shared" ca="1" si="4"/>
        <v>77</v>
      </c>
      <c r="I524" t="e">
        <f t="shared" ca="1" si="5"/>
        <v>#VALUE!</v>
      </c>
      <c r="J524" s="3" t="e">
        <f t="shared" ca="1" si="9"/>
        <v>#VALUE!</v>
      </c>
      <c r="K524" t="str">
        <f t="shared" ca="1" si="6"/>
        <v xml:space="preserve">Gouveia, L. </v>
      </c>
      <c r="L524" t="str">
        <f t="shared" ca="1" si="7"/>
        <v xml:space="preserve">Quental, C. </v>
      </c>
    </row>
    <row r="525" spans="1:12" ht="15.75" customHeight="1">
      <c r="A525">
        <f ca="1">IFERROR(__xludf.DUMMYFUNCTION("""COMPUTED_VALUE"""),21)</f>
        <v>21</v>
      </c>
      <c r="B525" t="str">
        <f ca="1">IFERROR(__xludf.DUMMYFUNCTION("""COMPUTED_VALUE"""),"Gouveia, L. (2002). *Projecto Gaia Digital, o concelho de Gaia no espaço 
digital*. 26 de Julho de 2002. Jantar de entrega de diplomas de MBA do 
IESF. Valadares, Gaia.
resumo [ pdf (68KB)]")</f>
        <v>Gouveia, L. (2002). *Projecto Gaia Digital, o concelho de Gaia no espaço 
digital*. 26 de Julho de 2002. Jantar de entrega de diplomas de MBA do 
IESF. Valadares, Gaia.
resumo [ pdf (68KB)]</v>
      </c>
      <c r="C525" s="2">
        <f t="shared" ca="1" si="0"/>
        <v>13</v>
      </c>
      <c r="D525" t="str">
        <f t="shared" ca="1" si="8"/>
        <v xml:space="preserve">Gouveia, L. </v>
      </c>
      <c r="E525" t="str">
        <f t="shared" ca="1" si="1"/>
        <v>2002</v>
      </c>
      <c r="F525" t="str">
        <f t="shared" ca="1" si="2"/>
        <v xml:space="preserve"> *Projecto Gaia Digital, o concelho de Gaia no espaço 
digital*. </v>
      </c>
      <c r="G525" s="3">
        <f t="shared" ca="1" si="3"/>
        <v>18</v>
      </c>
      <c r="H525" s="2">
        <f t="shared" ca="1" si="4"/>
        <v>83</v>
      </c>
      <c r="I525" t="e">
        <f t="shared" ca="1" si="5"/>
        <v>#VALUE!</v>
      </c>
      <c r="J525" s="3" t="e">
        <f t="shared" ca="1" si="9"/>
        <v>#VALUE!</v>
      </c>
      <c r="K525" t="str">
        <f t="shared" ca="1" si="6"/>
        <v xml:space="preserve">Gouveia, L. </v>
      </c>
      <c r="L525" t="str">
        <f t="shared" ca="1" si="7"/>
        <v xml:space="preserve">Quental, C. </v>
      </c>
    </row>
    <row r="526" spans="1:12" ht="15.75" customHeight="1">
      <c r="A526">
        <f ca="1">IFERROR(__xludf.DUMMYFUNCTION("""COMPUTED_VALUE"""),20)</f>
        <v>20</v>
      </c>
      <c r="B526" t="str">
        <f ca="1">IFERROR(__xludf.DUMMYFUNCTION("""COMPUTED_VALUE"""),"Gouveia, L. (2002). *Gaia Digital: um cálice de ideias*. 5 de Julho de 
2002. Apresentação do Projecto Gaia Digital. IDIT, Europarque, Vila da 
Feira.")</f>
        <v>Gouveia, L. (2002). *Gaia Digital: um cálice de ideias*. 5 de Julho de 
2002. Apresentação do Projecto Gaia Digital. IDIT, Europarque, Vila da 
Feira.</v>
      </c>
      <c r="C526" s="2">
        <f t="shared" ca="1" si="0"/>
        <v>13</v>
      </c>
      <c r="D526" t="str">
        <f t="shared" ca="1" si="8"/>
        <v xml:space="preserve">Gouveia, L. </v>
      </c>
      <c r="E526" t="str">
        <f t="shared" ca="1" si="1"/>
        <v>2002</v>
      </c>
      <c r="F526" t="str">
        <f t="shared" ca="1" si="2"/>
        <v xml:space="preserve"> *Gaia Digital: um cálice de ideias*. </v>
      </c>
      <c r="G526" s="3">
        <f t="shared" ca="1" si="3"/>
        <v>18</v>
      </c>
      <c r="H526" s="2">
        <f t="shared" ca="1" si="4"/>
        <v>56</v>
      </c>
      <c r="I526" t="e">
        <f t="shared" ca="1" si="5"/>
        <v>#VALUE!</v>
      </c>
      <c r="J526" s="3" t="e">
        <f t="shared" ca="1" si="9"/>
        <v>#VALUE!</v>
      </c>
      <c r="K526" t="str">
        <f t="shared" ca="1" si="6"/>
        <v xml:space="preserve">Gouveia, L. </v>
      </c>
      <c r="L526" t="str">
        <f t="shared" ca="1" si="7"/>
        <v xml:space="preserve">Quental, C. </v>
      </c>
    </row>
    <row r="527" spans="1:12" ht="15.75" customHeight="1">
      <c r="A527">
        <f ca="1">IFERROR(__xludf.DUMMYFUNCTION("""COMPUTED_VALUE"""),19)</f>
        <v>19</v>
      </c>
      <c r="B527" t="str">
        <f ca="1">IFERROR(__xludf.DUMMYFUNCTION("""COMPUTED_VALUE"""),"Gouveia, L. (2002). *Sociedade da informação: desafios e oportunidades para 
as autarquias. A sociedade da informação e do conhecimento e o projecto 
Gaia Digital*. 18 de Junho de 2002. Auditório da Assembleia Municipal de 
Gaia, Gaia. Apresentação no âmb"&amp;"ito do Programa Foral.")</f>
        <v>Gouveia, L. (2002). *Sociedade da informação: desafios e oportunidades para 
as autarquias. A sociedade da informação e do conhecimento e o projecto 
Gaia Digital*. 18 de Junho de 2002. Auditório da Assembleia Municipal de 
Gaia, Gaia. Apresentação no âmbito do Programa Foral.</v>
      </c>
      <c r="C527" s="2">
        <f t="shared" ca="1" si="0"/>
        <v>13</v>
      </c>
      <c r="D527" t="str">
        <f t="shared" ca="1" si="8"/>
        <v xml:space="preserve">Gouveia, L. </v>
      </c>
      <c r="E527" t="str">
        <f t="shared" ca="1" si="1"/>
        <v>2002</v>
      </c>
      <c r="F527" t="str">
        <f t="shared" ca="1" si="2"/>
        <v xml:space="preserve"> *Sociedade da informação: desafios e oportunidades para 
as autarquias. </v>
      </c>
      <c r="G527" s="3">
        <f t="shared" ca="1" si="3"/>
        <v>18</v>
      </c>
      <c r="H527" s="2">
        <f t="shared" ca="1" si="4"/>
        <v>91</v>
      </c>
      <c r="I527" t="e">
        <f t="shared" ca="1" si="5"/>
        <v>#VALUE!</v>
      </c>
      <c r="J527" s="3" t="e">
        <f t="shared" ca="1" si="9"/>
        <v>#VALUE!</v>
      </c>
      <c r="K527" t="str">
        <f t="shared" ca="1" si="6"/>
        <v xml:space="preserve">Gouveia, L. </v>
      </c>
      <c r="L527" t="str">
        <f t="shared" ca="1" si="7"/>
        <v xml:space="preserve">Quental, C. </v>
      </c>
    </row>
    <row r="528" spans="1:12" ht="15.75" customHeight="1">
      <c r="A528">
        <f ca="1">IFERROR(__xludf.DUMMYFUNCTION("""COMPUTED_VALUE"""),18)</f>
        <v>18</v>
      </c>
      <c r="B528" t="str">
        <f ca="1">IFERROR(__xludf.DUMMYFUNCTION("""COMPUTED_VALUE"""),"Gouveia, L. (2002). *Ensinar a aprender, ensinar e aprender. Competências 
para a Sociedade da  Informação e do Conhecimento.* Seminário Interacto. 
Centro Multimeios de Espinho, Espinho, 9-10 de Maio. Apresentação 
convidada, 10 de Maio.")</f>
        <v>Gouveia, L. (2002). *Ensinar a aprender, ensinar e aprender. Competências 
para a Sociedade da  Informação e do Conhecimento.* Seminário Interacto. 
Centro Multimeios de Espinho, Espinho, 9-10 de Maio. Apresentação 
convidada, 10 de Maio.</v>
      </c>
      <c r="C528" s="2">
        <f t="shared" ca="1" si="0"/>
        <v>13</v>
      </c>
      <c r="D528" t="str">
        <f t="shared" ca="1" si="8"/>
        <v xml:space="preserve">Gouveia, L. </v>
      </c>
      <c r="E528" t="str">
        <f t="shared" ca="1" si="1"/>
        <v>2002</v>
      </c>
      <c r="F528" t="str">
        <f t="shared" ca="1" si="2"/>
        <v xml:space="preserve"> *Ensinar a aprender, ensinar e aprender. </v>
      </c>
      <c r="G528" s="3">
        <f t="shared" ca="1" si="3"/>
        <v>18</v>
      </c>
      <c r="H528" s="2">
        <f t="shared" ca="1" si="4"/>
        <v>60</v>
      </c>
      <c r="I528" t="e">
        <f t="shared" ca="1" si="5"/>
        <v>#VALUE!</v>
      </c>
      <c r="J528" s="3" t="e">
        <f t="shared" ca="1" si="9"/>
        <v>#VALUE!</v>
      </c>
      <c r="K528" t="str">
        <f t="shared" ca="1" si="6"/>
        <v xml:space="preserve">Gouveia, L. </v>
      </c>
      <c r="L528" t="str">
        <f t="shared" ca="1" si="7"/>
        <v xml:space="preserve">Quental, C. </v>
      </c>
    </row>
    <row r="529" spans="1:12" ht="15.75" customHeight="1">
      <c r="A529">
        <f ca="1">IFERROR(__xludf.DUMMYFUNCTION("""COMPUTED_VALUE"""),17)</f>
        <v>17</v>
      </c>
      <c r="B529" t="str">
        <f ca="1">IFERROR(__xludf.DUMMYFUNCTION("""COMPUTED_VALUE"""),"Gouveia, L. (2002). *Projecto Gaia Digital. O concelho de Gaia no Espaço 
Digital*. 9 de Janeiro de 2002. Parque Biológico, Gaia. Apresentação no 
âmbito do Programa Foral.")</f>
        <v>Gouveia, L. (2002). *Projecto Gaia Digital. O concelho de Gaia no Espaço 
Digital*. 9 de Janeiro de 2002. Parque Biológico, Gaia. Apresentação no 
âmbito do Programa Foral.</v>
      </c>
      <c r="C529" s="2">
        <f t="shared" ca="1" si="0"/>
        <v>13</v>
      </c>
      <c r="D529" t="str">
        <f t="shared" ca="1" si="8"/>
        <v xml:space="preserve">Gouveia, L. </v>
      </c>
      <c r="E529" t="str">
        <f t="shared" ca="1" si="1"/>
        <v>2002</v>
      </c>
      <c r="F529" t="str">
        <f t="shared" ca="1" si="2"/>
        <v xml:space="preserve"> *Projecto Gaia Digital. </v>
      </c>
      <c r="G529" s="3">
        <f t="shared" ca="1" si="3"/>
        <v>18</v>
      </c>
      <c r="H529" s="2">
        <f t="shared" ca="1" si="4"/>
        <v>43</v>
      </c>
      <c r="I529" t="e">
        <f t="shared" ca="1" si="5"/>
        <v>#VALUE!</v>
      </c>
      <c r="J529" s="3" t="e">
        <f t="shared" ca="1" si="9"/>
        <v>#VALUE!</v>
      </c>
      <c r="K529" t="str">
        <f t="shared" ca="1" si="6"/>
        <v xml:space="preserve">Gouveia, L. </v>
      </c>
      <c r="L529" t="str">
        <f t="shared" ca="1" si="7"/>
        <v xml:space="preserve">Quental, C. </v>
      </c>
    </row>
    <row r="530" spans="1:12" ht="15.75" customHeight="1">
      <c r="A530">
        <f ca="1">IFERROR(__xludf.DUMMYFUNCTION("""COMPUTED_VALUE"""),16)</f>
        <v>16</v>
      </c>
      <c r="B530" t="str">
        <f ca="1">IFERROR(__xludf.DUMMYFUNCTION("""COMPUTED_VALUE"""),"Gouveia, L. (2002). *Sociedade da informação: desafios e oportunidades para 
as autarquias. A sociedade da informação e do conhecimento e o projecto 
Gaia Digital*. 18 de Junho de 2002. Auditório da Assembleia Municipal de 
Gaia, Gaia. Apresentação no âmb"&amp;"ito do Programa Foral.")</f>
        <v>Gouveia, L. (2002). *Sociedade da informação: desafios e oportunidades para 
as autarquias. A sociedade da informação e do conhecimento e o projecto 
Gaia Digital*. 18 de Junho de 2002. Auditório da Assembleia Municipal de 
Gaia, Gaia. Apresentação no âmbito do Programa Foral.</v>
      </c>
      <c r="C530" s="2">
        <f t="shared" ca="1" si="0"/>
        <v>13</v>
      </c>
      <c r="D530" t="str">
        <f t="shared" ca="1" si="8"/>
        <v xml:space="preserve">Gouveia, L. </v>
      </c>
      <c r="E530" t="str">
        <f t="shared" ca="1" si="1"/>
        <v>2002</v>
      </c>
      <c r="F530" t="str">
        <f t="shared" ca="1" si="2"/>
        <v xml:space="preserve"> *Sociedade da informação: desafios e oportunidades para 
as autarquias. </v>
      </c>
      <c r="G530" s="3">
        <f t="shared" ca="1" si="3"/>
        <v>18</v>
      </c>
      <c r="H530" s="2">
        <f t="shared" ca="1" si="4"/>
        <v>91</v>
      </c>
      <c r="I530" t="e">
        <f t="shared" ca="1" si="5"/>
        <v>#VALUE!</v>
      </c>
      <c r="J530" s="3" t="e">
        <f t="shared" ca="1" si="9"/>
        <v>#VALUE!</v>
      </c>
      <c r="K530" t="str">
        <f t="shared" ca="1" si="6"/>
        <v xml:space="preserve">Gouveia, L. </v>
      </c>
      <c r="L530" t="str">
        <f t="shared" ca="1" si="7"/>
        <v xml:space="preserve">Quental, C. </v>
      </c>
    </row>
    <row r="531" spans="1:12" ht="15.75" customHeight="1">
      <c r="A531">
        <f ca="1">IFERROR(__xludf.DUMMYFUNCTION("""COMPUTED_VALUE"""),15)</f>
        <v>15</v>
      </c>
      <c r="B531" t="str">
        <f ca="1">IFERROR(__xludf.DUMMYFUNCTION("""COMPUTED_VALUE"""),"Gouveia, L. (1999). *CELTIC - Collaborative Electronic Language Translation 
for Information Control*. Primeiro Ciclo de Seminários Internos. 
Departamento de Ciência e Tecnologia, Universidade Fernando Pessoa. 20 de 
Maio. 
presentation [ pdf(187KB) ]")</f>
        <v>Gouveia, L. (1999). *CELTIC - Collaborative Electronic Language Translation 
for Information Control*. Primeiro Ciclo de Seminários Internos. 
Departamento de Ciência e Tecnologia, Universidade Fernando Pessoa. 20 de 
Maio. 
presentation [ pdf(187KB) ]</v>
      </c>
      <c r="C531" s="2">
        <f t="shared" ca="1" si="0"/>
        <v>13</v>
      </c>
      <c r="D531" t="str">
        <f t="shared" ca="1" si="8"/>
        <v xml:space="preserve">Gouveia, L. </v>
      </c>
      <c r="E531" t="str">
        <f t="shared" ca="1" si="1"/>
        <v>1999</v>
      </c>
      <c r="F531" t="str">
        <f t="shared" ca="1" si="2"/>
        <v xml:space="preserve"> *CELTIC - Collaborative Electronic Language Translation 
for Information Control*. </v>
      </c>
      <c r="G531" s="3">
        <f t="shared" ca="1" si="3"/>
        <v>18</v>
      </c>
      <c r="H531" s="2">
        <f t="shared" ca="1" si="4"/>
        <v>102</v>
      </c>
      <c r="I531" t="e">
        <f t="shared" ca="1" si="5"/>
        <v>#VALUE!</v>
      </c>
      <c r="J531" s="3" t="e">
        <f t="shared" ca="1" si="9"/>
        <v>#VALUE!</v>
      </c>
      <c r="K531" t="str">
        <f t="shared" ca="1" si="6"/>
        <v xml:space="preserve">Gouveia, L. </v>
      </c>
      <c r="L531" t="str">
        <f t="shared" ca="1" si="7"/>
        <v xml:space="preserve">Quental, C. </v>
      </c>
    </row>
    <row r="532" spans="1:12" ht="15.75" customHeight="1">
      <c r="A532">
        <f ca="1">IFERROR(__xludf.DUMMYFUNCTION("""COMPUTED_VALUE"""),14)</f>
        <v>14</v>
      </c>
      <c r="B532" t="str">
        <f ca="1">IFERROR(__xludf.DUMMYFUNCTION("""COMPUTED_VALUE"""),"Gouveia, L. (1999). *Internet e Teletrabalho*. 8º Jornadas ESPE. Hotel 
Praia Golfe, ESPE. Espinho, 13-14 de Maio.
transparências: [ pdf (162KB) ]")</f>
        <v>Gouveia, L. (1999). *Internet e Teletrabalho*. 8º Jornadas ESPE. Hotel 
Praia Golfe, ESPE. Espinho, 13-14 de Maio.
transparências: [ pdf (162KB) ]</v>
      </c>
      <c r="C532" s="2">
        <f t="shared" ca="1" si="0"/>
        <v>13</v>
      </c>
      <c r="D532" t="str">
        <f t="shared" ca="1" si="8"/>
        <v xml:space="preserve">Gouveia, L. </v>
      </c>
      <c r="E532" t="str">
        <f t="shared" ca="1" si="1"/>
        <v>1999</v>
      </c>
      <c r="F532" t="str">
        <f t="shared" ca="1" si="2"/>
        <v xml:space="preserve"> *Internet e Teletrabalho*. </v>
      </c>
      <c r="G532" s="3">
        <f t="shared" ca="1" si="3"/>
        <v>18</v>
      </c>
      <c r="H532" s="2">
        <f t="shared" ca="1" si="4"/>
        <v>46</v>
      </c>
      <c r="I532" t="e">
        <f t="shared" ca="1" si="5"/>
        <v>#VALUE!</v>
      </c>
      <c r="J532" s="3" t="e">
        <f t="shared" ca="1" si="9"/>
        <v>#VALUE!</v>
      </c>
      <c r="K532" t="str">
        <f t="shared" ca="1" si="6"/>
        <v xml:space="preserve">Gouveia, L. </v>
      </c>
      <c r="L532" t="str">
        <f t="shared" ca="1" si="7"/>
        <v xml:space="preserve">Quental, C. </v>
      </c>
    </row>
    <row r="533" spans="1:12" ht="15.75" customHeight="1">
      <c r="A533">
        <f ca="1">IFERROR(__xludf.DUMMYFUNCTION("""COMPUTED_VALUE"""),13)</f>
        <v>13</v>
      </c>
      <c r="B533" t="str">
        <f ca="1">IFERROR(__xludf.DUMMYFUNCTION("""COMPUTED_VALUE"""),"Gouveia, L. (1999). *As tecnologias de informação e comunicação. Potencial 
de aplicação no ensino, formação e treino*. Seminário integrado na Semana 
Académica da UFP, Porto. 10 de Março.
transparências: [ pdf (16KB) ]")</f>
        <v>Gouveia, L. (1999). *As tecnologias de informação e comunicação. Potencial 
de aplicação no ensino, formação e treino*. Seminário integrado na Semana 
Académica da UFP, Porto. 10 de Março.
transparências: [ pdf (16KB) ]</v>
      </c>
      <c r="C533" s="2">
        <f t="shared" ca="1" si="0"/>
        <v>13</v>
      </c>
      <c r="D533" t="str">
        <f t="shared" ca="1" si="8"/>
        <v xml:space="preserve">Gouveia, L. </v>
      </c>
      <c r="E533" t="str">
        <f t="shared" ca="1" si="1"/>
        <v>1999</v>
      </c>
      <c r="F533" t="str">
        <f t="shared" ca="1" si="2"/>
        <v xml:space="preserve"> *As tecnologias de informação e comunicação. </v>
      </c>
      <c r="G533" s="3">
        <f t="shared" ca="1" si="3"/>
        <v>18</v>
      </c>
      <c r="H533" s="2">
        <f t="shared" ca="1" si="4"/>
        <v>64</v>
      </c>
      <c r="I533" t="e">
        <f t="shared" ca="1" si="5"/>
        <v>#VALUE!</v>
      </c>
      <c r="J533" s="3" t="e">
        <f t="shared" ca="1" si="9"/>
        <v>#VALUE!</v>
      </c>
      <c r="K533" t="str">
        <f t="shared" ca="1" si="6"/>
        <v xml:space="preserve">Gouveia, L. </v>
      </c>
      <c r="L533" t="str">
        <f t="shared" ca="1" si="7"/>
        <v xml:space="preserve">Quental, C. </v>
      </c>
    </row>
    <row r="534" spans="1:12" ht="15.75" customHeight="1">
      <c r="A534">
        <f ca="1">IFERROR(__xludf.DUMMYFUNCTION("""COMPUTED_VALUE"""),12)</f>
        <v>12</v>
      </c>
      <c r="B534" t="str">
        <f ca="1">IFERROR(__xludf.DUMMYFUNCTION("""COMPUTED_VALUE"""),"Gouveia, L. (1998). *Actividade desenvolvida no âmbito do projecto dos 
portáteis*
Departamento de Informática da Universidade do Minho, Polo de Guimarães, 
(apresentação por convite). Guimarães, 7 de Outubro.
transparências: [ pdf (430KB) ]")</f>
        <v>Gouveia, L. (1998). *Actividade desenvolvida no âmbito do projecto dos 
portáteis*
Departamento de Informática da Universidade do Minho, Polo de Guimarães, 
(apresentação por convite). Guimarães, 7 de Outubro.
transparências: [ pdf (430KB) ]</v>
      </c>
      <c r="C534" s="2">
        <f t="shared" ca="1" si="0"/>
        <v>13</v>
      </c>
      <c r="D534" t="str">
        <f t="shared" ca="1" si="8"/>
        <v xml:space="preserve">Gouveia, L. </v>
      </c>
      <c r="E534" t="str">
        <f t="shared" ca="1" si="1"/>
        <v>1998</v>
      </c>
      <c r="F534" t="str">
        <f t="shared" ca="1" si="2"/>
        <v xml:space="preserve"> *Actividade desenvolvida no âmbito do projecto dos 
portáteis*
Departamento de Informática da Universidade do Minho, Polo de Guimarães, 
(apresentação por convite). </v>
      </c>
      <c r="G534" s="3">
        <f t="shared" ca="1" si="3"/>
        <v>18</v>
      </c>
      <c r="H534" s="2">
        <f t="shared" ca="1" si="4"/>
        <v>184</v>
      </c>
      <c r="I534" t="e">
        <f t="shared" ca="1" si="5"/>
        <v>#VALUE!</v>
      </c>
      <c r="J534" s="3" t="e">
        <f t="shared" ca="1" si="9"/>
        <v>#VALUE!</v>
      </c>
      <c r="K534" t="str">
        <f t="shared" ca="1" si="6"/>
        <v xml:space="preserve">Gouveia, L. </v>
      </c>
      <c r="L534" t="str">
        <f t="shared" ca="1" si="7"/>
        <v xml:space="preserve">Quental, C. </v>
      </c>
    </row>
    <row r="535" spans="1:12" ht="15.75" customHeight="1">
      <c r="A535">
        <f ca="1">IFERROR(__xludf.DUMMYFUNCTION("""COMPUTED_VALUE"""),11)</f>
        <v>11</v>
      </c>
      <c r="B535" t="str">
        <f ca="1">IFERROR(__xludf.DUMMYFUNCTION("""COMPUTED_VALUE"""),"Gouveia, L. (1998). *A Internet como aliado do professor, uma experiência 
de uso de páginas Web.* Acção de sensibilização à Internet, Escola Sec. Dr 
Manuel Laranjeira. Espinho, 29 de Junho.
texto [ pdf (18KB) ]")</f>
        <v>Gouveia, L. (1998). *A Internet como aliado do professor, uma experiência 
de uso de páginas Web.* Acção de sensibilização à Internet, Escola Sec. Dr 
Manuel Laranjeira. Espinho, 29 de Junho.
texto [ pdf (18KB) ]</v>
      </c>
      <c r="C535" s="2">
        <f t="shared" ca="1" si="0"/>
        <v>13</v>
      </c>
      <c r="D535" t="str">
        <f t="shared" ca="1" si="8"/>
        <v xml:space="preserve">Gouveia, L. </v>
      </c>
      <c r="E535" t="str">
        <f t="shared" ca="1" si="1"/>
        <v>1998</v>
      </c>
      <c r="F535" t="str">
        <f t="shared" ca="1" si="2"/>
        <v xml:space="preserve"> *A Internet como aliado do professor, uma experiência 
de uso de páginas Web.*</v>
      </c>
      <c r="G535" s="3">
        <f t="shared" ca="1" si="3"/>
        <v>18</v>
      </c>
      <c r="H535" s="2">
        <f t="shared" ca="1" si="4"/>
        <v>97</v>
      </c>
      <c r="I535" t="e">
        <f t="shared" ca="1" si="5"/>
        <v>#VALUE!</v>
      </c>
      <c r="J535" s="3" t="e">
        <f t="shared" ca="1" si="9"/>
        <v>#VALUE!</v>
      </c>
      <c r="K535" t="str">
        <f t="shared" ca="1" si="6"/>
        <v xml:space="preserve">Gouveia, L. </v>
      </c>
      <c r="L535" t="str">
        <f t="shared" ca="1" si="7"/>
        <v xml:space="preserve">Quental, C. </v>
      </c>
    </row>
    <row r="536" spans="1:12" ht="15.75" customHeight="1">
      <c r="A536">
        <f ca="1">IFERROR(__xludf.DUMMYFUNCTION("""COMPUTED_VALUE"""),10)</f>
        <v>10</v>
      </c>
      <c r="B536" t="str">
        <f ca="1">IFERROR(__xludf.DUMMYFUNCTION("""COMPUTED_VALUE"""),"Gouveia, L. (1998). *Internet, Publicidade e Ética*. 3º Workshop de 
Comunicação. Hotel Praia Golfe, ESPE. Espinho, 5 - 6 de Maio.
texto: [ HTML ] transparências: [ HTML ]")</f>
        <v>Gouveia, L. (1998). *Internet, Publicidade e Ética*. 3º Workshop de 
Comunicação. Hotel Praia Golfe, ESPE. Espinho, 5 - 6 de Maio.
texto: [ HTML ] transparências: [ HTML ]</v>
      </c>
      <c r="C536" s="2">
        <f t="shared" ca="1" si="0"/>
        <v>13</v>
      </c>
      <c r="D536" t="str">
        <f t="shared" ca="1" si="8"/>
        <v xml:space="preserve">Gouveia, L. </v>
      </c>
      <c r="E536" t="str">
        <f t="shared" ca="1" si="1"/>
        <v>1998</v>
      </c>
      <c r="F536" t="str">
        <f t="shared" ca="1" si="2"/>
        <v xml:space="preserve"> *Internet, Publicidade e Ética*. </v>
      </c>
      <c r="G536" s="3">
        <f t="shared" ca="1" si="3"/>
        <v>18</v>
      </c>
      <c r="H536" s="2">
        <f t="shared" ca="1" si="4"/>
        <v>52</v>
      </c>
      <c r="I536" t="e">
        <f t="shared" ca="1" si="5"/>
        <v>#VALUE!</v>
      </c>
      <c r="J536" s="3" t="e">
        <f t="shared" ca="1" si="9"/>
        <v>#VALUE!</v>
      </c>
      <c r="K536" t="str">
        <f t="shared" ca="1" si="6"/>
        <v xml:space="preserve">Gouveia, L. </v>
      </c>
      <c r="L536" t="str">
        <f t="shared" ca="1" si="7"/>
        <v xml:space="preserve">Quental, C. </v>
      </c>
    </row>
    <row r="537" spans="1:12" ht="15.75" customHeight="1">
      <c r="A537">
        <f ca="1">IFERROR(__xludf.DUMMYFUNCTION("""COMPUTED_VALUE"""),9)</f>
        <v>9</v>
      </c>
      <c r="B537" t="str">
        <f ca="1">IFERROR(__xludf.DUMMYFUNCTION("""COMPUTED_VALUE"""),"Gouveia, L. (1997). *NetLab, work at Fernando Pessoa.* Away Day, CSEG 
Group, Lancaster University. Lancaster, UK, November. 
apresentação [ pdf(246KB) ]")</f>
        <v>Gouveia, L. (1997). *NetLab, work at Fernando Pessoa.* Away Day, CSEG 
Group, Lancaster University. Lancaster, UK, November. 
apresentação [ pdf(246KB) ]</v>
      </c>
      <c r="C537" s="2">
        <f t="shared" ca="1" si="0"/>
        <v>13</v>
      </c>
      <c r="D537" t="str">
        <f t="shared" ca="1" si="8"/>
        <v xml:space="preserve">Gouveia, L. </v>
      </c>
      <c r="E537" t="str">
        <f t="shared" ca="1" si="1"/>
        <v>1997</v>
      </c>
      <c r="F537" t="str">
        <f t="shared" ca="1" si="2"/>
        <v xml:space="preserve"> *NetLab, work at Fernando Pessoa.*</v>
      </c>
      <c r="G537" s="3">
        <f t="shared" ca="1" si="3"/>
        <v>18</v>
      </c>
      <c r="H537" s="2">
        <f t="shared" ca="1" si="4"/>
        <v>53</v>
      </c>
      <c r="I537" t="e">
        <f t="shared" ca="1" si="5"/>
        <v>#VALUE!</v>
      </c>
      <c r="J537" s="3" t="e">
        <f t="shared" ca="1" si="9"/>
        <v>#VALUE!</v>
      </c>
      <c r="K537" t="str">
        <f t="shared" ca="1" si="6"/>
        <v xml:space="preserve">Gouveia, L. </v>
      </c>
      <c r="L537" t="str">
        <f t="shared" ca="1" si="7"/>
        <v xml:space="preserve">Quental, C. </v>
      </c>
    </row>
    <row r="538" spans="1:12" ht="15.75" customHeight="1">
      <c r="A538">
        <f ca="1">IFERROR(__xludf.DUMMYFUNCTION("""COMPUTED_VALUE"""),8)</f>
        <v>8</v>
      </c>
      <c r="B538" t="str">
        <f ca="1">IFERROR(__xludf.DUMMYFUNCTION("""COMPUTED_VALUE"""),"Gouveia, F. e Gouveia, L. (1996). *Educação activa: manifesto para uma 
atitude pedagógica.* 2º Conferência sociedade de informação interactiva, 
reinventar a educação. Funchal.
[ pdf ]")</f>
        <v>Gouveia, F. e Gouveia, L. (1996). *Educação activa: manifesto para uma 
atitude pedagógica.* 2º Conferência sociedade de informação interactiva, 
reinventar a educação. Funchal.
[ pdf ]</v>
      </c>
      <c r="C538" s="2">
        <f t="shared" ca="1" si="0"/>
        <v>27</v>
      </c>
      <c r="D538" t="str">
        <f t="shared" ca="1" si="8"/>
        <v xml:space="preserve">Gouveia, F. e Gouveia, L. </v>
      </c>
      <c r="E538" t="str">
        <f t="shared" ca="1" si="1"/>
        <v>1996</v>
      </c>
      <c r="F538" t="str">
        <f t="shared" ca="1" si="2"/>
        <v xml:space="preserve"> *Educação activa: manifesto para uma 
atitude pedagógica.*</v>
      </c>
      <c r="G538" s="3">
        <f t="shared" ca="1" si="3"/>
        <v>32</v>
      </c>
      <c r="H538" s="2">
        <f t="shared" ca="1" si="4"/>
        <v>91</v>
      </c>
      <c r="I538" t="e">
        <f t="shared" ca="1" si="5"/>
        <v>#VALUE!</v>
      </c>
      <c r="J538" s="3" t="e">
        <f t="shared" ca="1" si="9"/>
        <v>#VALUE!</v>
      </c>
      <c r="K538" t="str">
        <f t="shared" ca="1" si="6"/>
        <v xml:space="preserve">Gouveia, F. e Gouveia, L. </v>
      </c>
      <c r="L538" t="str">
        <f t="shared" ca="1" si="7"/>
        <v xml:space="preserve">Quental, C. </v>
      </c>
    </row>
    <row r="539" spans="1:12" ht="15.75" customHeight="1">
      <c r="A539">
        <f ca="1">IFERROR(__xludf.DUMMYFUNCTION("""COMPUTED_VALUE"""),7)</f>
        <v>7</v>
      </c>
      <c r="B539" t="str">
        <f ca="1">IFERROR(__xludf.DUMMYFUNCTION("""COMPUTED_VALUE"""),"Gouveia, L. (1996). *O Centro de Recursos Multimediáticos.* II Workshop de 
Informática, Perspectivar o Futuro, UFP. Porto.
apresentação [ pdf (50KB)]")</f>
        <v>Gouveia, L. (1996). *O Centro de Recursos Multimediáticos.* II Workshop de 
Informática, Perspectivar o Futuro, UFP. Porto.
apresentação [ pdf (50KB)]</v>
      </c>
      <c r="C539" s="2">
        <f t="shared" ca="1" si="0"/>
        <v>13</v>
      </c>
      <c r="D539" t="str">
        <f t="shared" ca="1" si="8"/>
        <v xml:space="preserve">Gouveia, L. </v>
      </c>
      <c r="E539" t="str">
        <f t="shared" ca="1" si="1"/>
        <v>1996</v>
      </c>
      <c r="F539" t="str">
        <f t="shared" ca="1" si="2"/>
        <v xml:space="preserve"> *O Centro de Recursos Multimediáticos.*</v>
      </c>
      <c r="G539" s="3">
        <f t="shared" ca="1" si="3"/>
        <v>18</v>
      </c>
      <c r="H539" s="2">
        <f t="shared" ca="1" si="4"/>
        <v>58</v>
      </c>
      <c r="I539" t="e">
        <f t="shared" ca="1" si="5"/>
        <v>#VALUE!</v>
      </c>
      <c r="J539" s="3" t="e">
        <f t="shared" ca="1" si="9"/>
        <v>#VALUE!</v>
      </c>
      <c r="K539" t="str">
        <f t="shared" ca="1" si="6"/>
        <v xml:space="preserve">Gouveia, L. </v>
      </c>
      <c r="L539" t="str">
        <f t="shared" ca="1" si="7"/>
        <v xml:space="preserve">Quental, C. </v>
      </c>
    </row>
    <row r="540" spans="1:12" ht="15.75" customHeight="1">
      <c r="A540">
        <f ca="1">IFERROR(__xludf.DUMMYFUNCTION("""COMPUTED_VALUE"""),6)</f>
        <v>6</v>
      </c>
      <c r="B540" t="str">
        <f ca="1">IFERROR(__xludf.DUMMYFUNCTION("""COMPUTED_VALUE"""),"Gouveia, L. (1996). *NetLab, explorar o potencial da rede universitária*. 
Divulgação do projecto dos portáteis - UFP. Porto.
apresentação [ pdf (143KB)]")</f>
        <v>Gouveia, L. (1996). *NetLab, explorar o potencial da rede universitária*. 
Divulgação do projecto dos portáteis - UFP. Porto.
apresentação [ pdf (143KB)]</v>
      </c>
      <c r="C540" s="2">
        <f t="shared" ca="1" si="0"/>
        <v>13</v>
      </c>
      <c r="D540" t="str">
        <f t="shared" ca="1" si="8"/>
        <v xml:space="preserve">Gouveia, L. </v>
      </c>
      <c r="E540" t="str">
        <f t="shared" ca="1" si="1"/>
        <v>1996</v>
      </c>
      <c r="F540" t="str">
        <f t="shared" ca="1" si="2"/>
        <v xml:space="preserve"> *NetLab, explorar o potencial da rede universitária*. </v>
      </c>
      <c r="G540" s="3">
        <f t="shared" ca="1" si="3"/>
        <v>18</v>
      </c>
      <c r="H540" s="2">
        <f t="shared" ca="1" si="4"/>
        <v>73</v>
      </c>
      <c r="I540" t="e">
        <f t="shared" ca="1" si="5"/>
        <v>#VALUE!</v>
      </c>
      <c r="J540" s="3" t="e">
        <f t="shared" ca="1" si="9"/>
        <v>#VALUE!</v>
      </c>
      <c r="K540" t="str">
        <f t="shared" ca="1" si="6"/>
        <v xml:space="preserve">Gouveia, L. </v>
      </c>
      <c r="L540" t="str">
        <f t="shared" ca="1" si="7"/>
        <v xml:space="preserve">Quental, C. </v>
      </c>
    </row>
    <row r="541" spans="1:12" ht="15.75" customHeight="1">
      <c r="A541">
        <f ca="1">IFERROR(__xludf.DUMMYFUNCTION("""COMPUTED_VALUE"""),5)</f>
        <v>5</v>
      </c>
      <c r="B541" t="str">
        <f ca="1">IFERROR(__xludf.DUMMYFUNCTION("""COMPUTED_VALUE"""),"Gouveia, L. (1996). *Realidade Virtual: novo mundo ou mundos alternativos.* 
ISTEC, (apresentação por convite). Porto, Fevereiro. 
apresentação [ pdf ]")</f>
        <v>Gouveia, L. (1996). *Realidade Virtual: novo mundo ou mundos alternativos.* 
ISTEC, (apresentação por convite). Porto, Fevereiro. 
apresentação [ pdf ]</v>
      </c>
      <c r="C541" s="2">
        <f t="shared" ca="1" si="0"/>
        <v>13</v>
      </c>
      <c r="D541" t="str">
        <f t="shared" ca="1" si="8"/>
        <v xml:space="preserve">Gouveia, L. </v>
      </c>
      <c r="E541" t="str">
        <f t="shared" ca="1" si="1"/>
        <v>1996</v>
      </c>
      <c r="F541" t="str">
        <f t="shared" ca="1" si="2"/>
        <v xml:space="preserve"> *Realidade Virtual: novo mundo ou mundos alternativos.*</v>
      </c>
      <c r="G541" s="3">
        <f t="shared" ca="1" si="3"/>
        <v>18</v>
      </c>
      <c r="H541" s="2">
        <f t="shared" ca="1" si="4"/>
        <v>74</v>
      </c>
      <c r="I541" t="str">
        <f t="shared" ca="1" si="5"/>
        <v xml:space="preserve"> 
ISTEC, (apresentação por convite).</v>
      </c>
      <c r="J541" s="3">
        <f t="shared" ca="1" si="9"/>
        <v>110</v>
      </c>
      <c r="K541" t="str">
        <f t="shared" ca="1" si="6"/>
        <v xml:space="preserve">Gouveia, L. </v>
      </c>
      <c r="L541" t="str">
        <f t="shared" ca="1" si="7"/>
        <v xml:space="preserve">Quental, C. </v>
      </c>
    </row>
    <row r="542" spans="1:12" ht="15.75" customHeight="1">
      <c r="A542">
        <f ca="1">IFERROR(__xludf.DUMMYFUNCTION("""COMPUTED_VALUE"""),4)</f>
        <v>4</v>
      </c>
      <c r="B542" t="str">
        <f ca="1">IFERROR(__xludf.DUMMYFUNCTION("""COMPUTED_VALUE"""),"Gouveia, L. (1996). *A rede universitária.* Divulgação do projecto dos 
portáteis - UFP. Porto, Janeiro. 
apresentação [ pdf ]")</f>
        <v>Gouveia, L. (1996). *A rede universitária.* Divulgação do projecto dos 
portáteis - UFP. Porto, Janeiro. 
apresentação [ pdf ]</v>
      </c>
      <c r="C542" s="2">
        <f t="shared" ca="1" si="0"/>
        <v>13</v>
      </c>
      <c r="D542" t="str">
        <f t="shared" ca="1" si="8"/>
        <v xml:space="preserve">Gouveia, L. </v>
      </c>
      <c r="E542" t="str">
        <f t="shared" ca="1" si="1"/>
        <v>1996</v>
      </c>
      <c r="F542" t="str">
        <f t="shared" ca="1" si="2"/>
        <v xml:space="preserve"> *A rede universitária.*</v>
      </c>
      <c r="G542" s="3">
        <f t="shared" ca="1" si="3"/>
        <v>18</v>
      </c>
      <c r="H542" s="2">
        <f t="shared" ca="1" si="4"/>
        <v>42</v>
      </c>
      <c r="I542" t="e">
        <f t="shared" ca="1" si="5"/>
        <v>#VALUE!</v>
      </c>
      <c r="J542" s="3" t="e">
        <f t="shared" ca="1" si="9"/>
        <v>#VALUE!</v>
      </c>
      <c r="K542" t="str">
        <f t="shared" ca="1" si="6"/>
        <v xml:space="preserve">Gouveia, L. </v>
      </c>
      <c r="L542" t="str">
        <f t="shared" ca="1" si="7"/>
        <v xml:space="preserve">Quental, C. </v>
      </c>
    </row>
    <row r="543" spans="1:12" ht="15.75" customHeight="1">
      <c r="A543">
        <f ca="1">IFERROR(__xludf.DUMMYFUNCTION("""COMPUTED_VALUE"""),3)</f>
        <v>3</v>
      </c>
      <c r="B543" t="str">
        <f ca="1">IFERROR(__xludf.DUMMYFUNCTION("""COMPUTED_VALUE"""),"Gouveia, L. (1994). *Aprendizagem Multimédia*. Seminário Educação e 
Multimédia, Instituto Multimédia. Porto.
apresentação [ pdf ]")</f>
        <v>Gouveia, L. (1994). *Aprendizagem Multimédia*. Seminário Educação e 
Multimédia, Instituto Multimédia. Porto.
apresentação [ pdf ]</v>
      </c>
      <c r="C543" s="2">
        <f t="shared" ca="1" si="0"/>
        <v>13</v>
      </c>
      <c r="D543" t="str">
        <f t="shared" ca="1" si="8"/>
        <v xml:space="preserve">Gouveia, L. </v>
      </c>
      <c r="E543" t="str">
        <f t="shared" ca="1" si="1"/>
        <v>1994</v>
      </c>
      <c r="F543" t="str">
        <f t="shared" ca="1" si="2"/>
        <v xml:space="preserve"> *Aprendizagem Multimédia*. </v>
      </c>
      <c r="G543" s="3">
        <f t="shared" ca="1" si="3"/>
        <v>18</v>
      </c>
      <c r="H543" s="2">
        <f t="shared" ca="1" si="4"/>
        <v>46</v>
      </c>
      <c r="I543" t="e">
        <f t="shared" ca="1" si="5"/>
        <v>#VALUE!</v>
      </c>
      <c r="J543" s="3" t="e">
        <f t="shared" ca="1" si="9"/>
        <v>#VALUE!</v>
      </c>
      <c r="K543" t="str">
        <f t="shared" ca="1" si="6"/>
        <v xml:space="preserve">Gouveia, L. </v>
      </c>
      <c r="L543" t="str">
        <f t="shared" ca="1" si="7"/>
        <v xml:space="preserve">Quental, C. </v>
      </c>
    </row>
    <row r="544" spans="1:12" ht="15.75" customHeight="1">
      <c r="A544">
        <f ca="1">IFERROR(__xludf.DUMMYFUNCTION("""COMPUTED_VALUE"""),2)</f>
        <v>2</v>
      </c>
      <c r="B544" t="str">
        <f ca="1">IFERROR(__xludf.DUMMYFUNCTION("""COMPUTED_VALUE"""),"Gouveia, L. (1991). *Soluções Videotex: da oportunidade à implementação.* 
Soluções Videotex, IBM (apresentação profissional). Porto.")</f>
        <v>Gouveia, L. (1991). *Soluções Videotex: da oportunidade à implementação.* 
Soluções Videotex, IBM (apresentação profissional). Porto.</v>
      </c>
      <c r="C544" s="2">
        <f t="shared" ca="1" si="0"/>
        <v>13</v>
      </c>
      <c r="D544" t="str">
        <f t="shared" ca="1" si="8"/>
        <v xml:space="preserve">Gouveia, L. </v>
      </c>
      <c r="E544" t="str">
        <f t="shared" ca="1" si="1"/>
        <v>1991</v>
      </c>
      <c r="F544" t="str">
        <f t="shared" ca="1" si="2"/>
        <v xml:space="preserve"> *Soluções Videotex: da oportunidade à implementação.*</v>
      </c>
      <c r="G544" s="3">
        <f t="shared" ca="1" si="3"/>
        <v>18</v>
      </c>
      <c r="H544" s="2">
        <f t="shared" ca="1" si="4"/>
        <v>72</v>
      </c>
      <c r="I544" t="str">
        <f t="shared" ca="1" si="5"/>
        <v xml:space="preserve"> 
Soluções Videotex, IBM (apresentação profissional).</v>
      </c>
      <c r="J544" s="3">
        <f t="shared" ca="1" si="9"/>
        <v>125</v>
      </c>
      <c r="K544" t="str">
        <f t="shared" ca="1" si="6"/>
        <v xml:space="preserve">Gouveia, L. </v>
      </c>
      <c r="L544" t="str">
        <f t="shared" ca="1" si="7"/>
        <v xml:space="preserve">Quental, C. </v>
      </c>
    </row>
    <row r="545" spans="1:12" ht="15.75" customHeight="1">
      <c r="A545">
        <f ca="1">IFERROR(__xludf.DUMMYFUNCTION("""COMPUTED_VALUE"""),1)</f>
        <v>1</v>
      </c>
      <c r="B545" t="str">
        <f ca="1">IFERROR(__xludf.DUMMYFUNCTION("""COMPUTED_VALUE"""),"Gouveia, L. (1990). *Soluções com recurso ao videotex*. Sistemas UNIX para 
Agentes Philips, Associação Comercial Portuense, (apresentação 
profissional). Porto.")</f>
        <v>Gouveia, L. (1990). *Soluções com recurso ao videotex*. Sistemas UNIX para 
Agentes Philips, Associação Comercial Portuense, (apresentação 
profissional). Porto.</v>
      </c>
      <c r="C545" s="2">
        <f t="shared" ca="1" si="0"/>
        <v>13</v>
      </c>
      <c r="D545" t="str">
        <f t="shared" ca="1" si="8"/>
        <v xml:space="preserve">Gouveia, L. </v>
      </c>
      <c r="E545" t="str">
        <f t="shared" ca="1" si="1"/>
        <v>1990</v>
      </c>
      <c r="F545" t="str">
        <f t="shared" ca="1" si="2"/>
        <v xml:space="preserve"> *Soluções com recurso ao videotex*. </v>
      </c>
      <c r="G545" s="3">
        <f t="shared" ca="1" si="3"/>
        <v>18</v>
      </c>
      <c r="H545" s="2">
        <f t="shared" ca="1" si="4"/>
        <v>55</v>
      </c>
      <c r="I545" t="str">
        <f t="shared" ca="1" si="5"/>
        <v>Sistemas UNIX para 
Agentes Philips, Associação Comercial Portuense, (apresentação 
profissional).</v>
      </c>
      <c r="J545" s="3">
        <f t="shared" ca="1" si="9"/>
        <v>153</v>
      </c>
      <c r="K545" t="str">
        <f t="shared" ca="1" si="6"/>
        <v xml:space="preserve">Gouveia, L. </v>
      </c>
      <c r="L545" t="str">
        <f t="shared" ca="1" si="7"/>
        <v xml:space="preserve">Quental, C. </v>
      </c>
    </row>
    <row r="546" spans="1:12" ht="15.75" customHeight="1">
      <c r="A546" t="str">
        <f ca="1">IFERROR(__xludf.DUMMYFUNCTION("""COMPUTED_VALUE"""),"_________")</f>
        <v>_________</v>
      </c>
      <c r="B546" t="str">
        <f ca="1">IFERROR(__xludf.DUMMYFUNCTION("""COMPUTED_VALUE"""),"paineis e mesas redondas / panels and roundtables")</f>
        <v>paineis e mesas redondas / panels and roundtables</v>
      </c>
      <c r="C546" s="2" t="e">
        <f t="shared" ca="1" si="0"/>
        <v>#VALUE!</v>
      </c>
      <c r="D546" t="e">
        <f t="shared" ca="1" si="8"/>
        <v>#VALUE!</v>
      </c>
      <c r="E546" t="e">
        <f t="shared" ca="1" si="1"/>
        <v>#VALUE!</v>
      </c>
      <c r="F546" t="e">
        <f t="shared" ca="1" si="2"/>
        <v>#VALUE!</v>
      </c>
      <c r="G546" s="3" t="e">
        <f t="shared" ca="1" si="3"/>
        <v>#VALUE!</v>
      </c>
      <c r="H546" s="2" t="e">
        <f t="shared" ca="1" si="4"/>
        <v>#VALUE!</v>
      </c>
      <c r="I546" t="e">
        <f t="shared" ca="1" si="5"/>
        <v>#VALUE!</v>
      </c>
      <c r="J546" s="3" t="e">
        <f t="shared" ca="1" si="9"/>
        <v>#VALUE!</v>
      </c>
      <c r="K546" t="e">
        <f t="shared" ca="1" si="6"/>
        <v>#VALUE!</v>
      </c>
      <c r="L546" t="str">
        <f t="shared" ca="1" si="7"/>
        <v xml:space="preserve">Quental, C. </v>
      </c>
    </row>
    <row r="547" spans="1:12" ht="15.75" customHeight="1">
      <c r="A547">
        <f ca="1">IFERROR(__xludf.DUMMYFUNCTION("""COMPUTED_VALUE"""),19)</f>
        <v>19</v>
      </c>
      <c r="B547" t="str">
        <f ca="1">IFERROR(__xludf.DUMMYFUNCTION("""COMPUTED_VALUE"""),"Gouveia, L. (2015). *O papel da Universidade para o Engenheiro Informático*. 
Moderação da Tertúlia promovida pelo Núcleo de Informática da UFP no âmbito 
da Semana de Engenharia. Auditório da UFP, Porto. Universidade Fernando 
Pessoa. 23 de Abril.")</f>
        <v>Gouveia, L. (2015). *O papel da Universidade para o Engenheiro Informático*. 
Moderação da Tertúlia promovida pelo Núcleo de Informática da UFP no âmbito 
da Semana de Engenharia. Auditório da UFP, Porto. Universidade Fernando 
Pessoa. 23 de Abril.</v>
      </c>
      <c r="C547" s="2">
        <f t="shared" ca="1" si="0"/>
        <v>13</v>
      </c>
      <c r="D547" t="str">
        <f t="shared" ca="1" si="8"/>
        <v xml:space="preserve">Gouveia, L. </v>
      </c>
      <c r="E547" t="str">
        <f t="shared" ca="1" si="1"/>
        <v>2015</v>
      </c>
      <c r="F547" t="str">
        <f t="shared" ca="1" si="2"/>
        <v xml:space="preserve"> *O papel da Universidade para o Engenheiro Informático*. </v>
      </c>
      <c r="G547" s="3">
        <f t="shared" ca="1" si="3"/>
        <v>18</v>
      </c>
      <c r="H547" s="2">
        <f t="shared" ca="1" si="4"/>
        <v>76</v>
      </c>
      <c r="I547" t="e">
        <f t="shared" ca="1" si="5"/>
        <v>#VALUE!</v>
      </c>
      <c r="J547" s="3" t="e">
        <f t="shared" ca="1" si="9"/>
        <v>#VALUE!</v>
      </c>
      <c r="K547" t="str">
        <f t="shared" ca="1" si="6"/>
        <v xml:space="preserve">Gouveia, L. </v>
      </c>
      <c r="L547" t="str">
        <f t="shared" ca="1" si="7"/>
        <v xml:space="preserve">Quental, C. </v>
      </c>
    </row>
    <row r="548" spans="1:12" ht="15.75" customHeight="1">
      <c r="A548">
        <f ca="1">IFERROR(__xludf.DUMMYFUNCTION("""COMPUTED_VALUE"""),18)</f>
        <v>18</v>
      </c>
      <c r="B548" t="str">
        <f ca="1">IFERROR(__xludf.DUMMYFUNCTION("""COMPUTED_VALUE"""),"Gouveia, L. (2014). *Segurança Informática ou Segurança da Informação?* 
Moderação da Mesa Redonda promovida pelo Núcleo de Informática da UFP. 
Auditório da UFP, Porto. Universidade Fernando Pessoa. 14 de Maio.
[ apresentação ]")</f>
        <v>Gouveia, L. (2014). *Segurança Informática ou Segurança da Informação?* 
Moderação da Mesa Redonda promovida pelo Núcleo de Informática da UFP. 
Auditório da UFP, Porto. Universidade Fernando Pessoa. 14 de Maio.
[ apresentação ]</v>
      </c>
      <c r="C548" s="2">
        <f t="shared" ca="1" si="0"/>
        <v>13</v>
      </c>
      <c r="D548" t="str">
        <f t="shared" ca="1" si="8"/>
        <v xml:space="preserve">Gouveia, L. </v>
      </c>
      <c r="E548" t="str">
        <f t="shared" ca="1" si="1"/>
        <v>2014</v>
      </c>
      <c r="F548" t="str">
        <f t="shared" ca="1" si="2"/>
        <v xml:space="preserve"> *Segurança Informática ou Segurança da Informação?* 
Moderação da Mesa Redonda promovida pelo Núcleo de Informática da UFP. </v>
      </c>
      <c r="G548" s="3">
        <f t="shared" ca="1" si="3"/>
        <v>18</v>
      </c>
      <c r="H548" s="2">
        <f t="shared" ca="1" si="4"/>
        <v>143</v>
      </c>
      <c r="I548" t="e">
        <f t="shared" ca="1" si="5"/>
        <v>#VALUE!</v>
      </c>
      <c r="J548" s="3" t="e">
        <f t="shared" ca="1" si="9"/>
        <v>#VALUE!</v>
      </c>
      <c r="K548" t="str">
        <f t="shared" ca="1" si="6"/>
        <v xml:space="preserve">Gouveia, L. </v>
      </c>
      <c r="L548" t="str">
        <f t="shared" ca="1" si="7"/>
        <v xml:space="preserve">Quental, C. </v>
      </c>
    </row>
    <row r="549" spans="1:12" ht="15.75" customHeight="1">
      <c r="A549">
        <f ca="1">IFERROR(__xludf.DUMMYFUNCTION("""COMPUTED_VALUE"""),17)</f>
        <v>17</v>
      </c>
      <c r="B549" t="str">
        <f ca="1">IFERROR(__xludf.DUMMYFUNCTION("""COMPUTED_VALUE"""),"Gouveia, L. (2013). Desafios para as Bibliotecas de Ensino Superior em 
Portugal. Participação em mesa redonda . 2º Encontro de Bibliotecas do 
Ensino Superior. Universidade de Aveiro, Aveiro. 7 de Junho
[ apresentação ]")</f>
        <v>Gouveia, L. (2013). Desafios para as Bibliotecas de Ensino Superior em 
Portugal. Participação em mesa redonda . 2º Encontro de Bibliotecas do 
Ensino Superior. Universidade de Aveiro, Aveiro. 7 de Junho
[ apresentação ]</v>
      </c>
      <c r="C549" s="2">
        <f t="shared" ca="1" si="0"/>
        <v>13</v>
      </c>
      <c r="D549" t="str">
        <f t="shared" ca="1" si="8"/>
        <v xml:space="preserve">Gouveia, L. </v>
      </c>
      <c r="E549" t="str">
        <f t="shared" ca="1" si="1"/>
        <v>2013</v>
      </c>
      <c r="F549" t="str">
        <f t="shared" ca="1" si="2"/>
        <v xml:space="preserve"> Desafios para as Bibliotecas de Ensino Superior em 
Portugal. </v>
      </c>
      <c r="G549" s="3">
        <f t="shared" ca="1" si="3"/>
        <v>18</v>
      </c>
      <c r="H549" s="2">
        <f t="shared" ca="1" si="4"/>
        <v>81</v>
      </c>
      <c r="I549" t="e">
        <f t="shared" ca="1" si="5"/>
        <v>#VALUE!</v>
      </c>
      <c r="J549" s="3" t="e">
        <f t="shared" ca="1" si="9"/>
        <v>#VALUE!</v>
      </c>
      <c r="K549" t="str">
        <f t="shared" ca="1" si="6"/>
        <v xml:space="preserve">Gouveia, L. </v>
      </c>
      <c r="L549" t="str">
        <f t="shared" ca="1" si="7"/>
        <v xml:space="preserve">Quental, C. </v>
      </c>
    </row>
    <row r="550" spans="1:12" ht="15.75" customHeight="1">
      <c r="A550">
        <f ca="1">IFERROR(__xludf.DUMMYFUNCTION("""COMPUTED_VALUE"""),16)</f>
        <v>16</v>
      </c>
      <c r="B550" t="str">
        <f ca="1">IFERROR(__xludf.DUMMYFUNCTION("""COMPUTED_VALUE"""),"Gouveia, L. (2013). Redes e Territórios. Empresas, pessoas, valor e 
felicidade. Conversas IN. Auditório da ADRAT, Associação de Desenvolvimento 
da Região do Alto Tâmega. Chaves. 31 de Maio.")</f>
        <v>Gouveia, L. (2013). Redes e Territórios. Empresas, pessoas, valor e 
felicidade. Conversas IN. Auditório da ADRAT, Associação de Desenvolvimento 
da Região do Alto Tâmega. Chaves. 31 de Maio.</v>
      </c>
      <c r="C550" s="2">
        <f t="shared" ca="1" si="0"/>
        <v>13</v>
      </c>
      <c r="D550" t="str">
        <f t="shared" ca="1" si="8"/>
        <v xml:space="preserve">Gouveia, L. </v>
      </c>
      <c r="E550" t="str">
        <f t="shared" ca="1" si="1"/>
        <v>2013</v>
      </c>
      <c r="F550" t="str">
        <f t="shared" ca="1" si="2"/>
        <v xml:space="preserve"> Redes e Territórios. </v>
      </c>
      <c r="G550" s="3">
        <f t="shared" ca="1" si="3"/>
        <v>18</v>
      </c>
      <c r="H550" s="2">
        <f t="shared" ca="1" si="4"/>
        <v>40</v>
      </c>
      <c r="I550" t="e">
        <f t="shared" ca="1" si="5"/>
        <v>#VALUE!</v>
      </c>
      <c r="J550" s="3" t="e">
        <f t="shared" ca="1" si="9"/>
        <v>#VALUE!</v>
      </c>
      <c r="K550" t="str">
        <f t="shared" ca="1" si="6"/>
        <v xml:space="preserve">Gouveia, L. </v>
      </c>
      <c r="L550" t="str">
        <f t="shared" ca="1" si="7"/>
        <v xml:space="preserve">Quental, C. </v>
      </c>
    </row>
    <row r="551" spans="1:12" ht="15.75" customHeight="1">
      <c r="A551">
        <f ca="1">IFERROR(__xludf.DUMMYFUNCTION("""COMPUTED_VALUE"""),15)</f>
        <v>15</v>
      </c>
      <c r="B551" t="str">
        <f ca="1">IFERROR(__xludf.DUMMYFUNCTION("""COMPUTED_VALUE"""),"Gouveia, L. (2012). Debate *Teaching informatics: Teach what? To whom?*. 
Jornadas de Ensino de Informática. Faculdade de Ciências Sociais. 
Universidade Católica Portuguesa. 14h June. 
[ slideshare ]")</f>
        <v>Gouveia, L. (2012). Debate *Teaching informatics: Teach what? To whom?*. 
Jornadas de Ensino de Informática. Faculdade de Ciências Sociais. 
Universidade Católica Portuguesa. 14h June. 
[ slideshare ]</v>
      </c>
      <c r="C551" s="2">
        <f t="shared" ca="1" si="0"/>
        <v>13</v>
      </c>
      <c r="D551" t="str">
        <f t="shared" ca="1" si="8"/>
        <v xml:space="preserve">Gouveia, L. </v>
      </c>
      <c r="E551" t="str">
        <f t="shared" ca="1" si="1"/>
        <v>2012</v>
      </c>
      <c r="F551" t="str">
        <f t="shared" ca="1" si="2"/>
        <v xml:space="preserve"> Debate *Teaching informatics: Teach what? To whom?*. </v>
      </c>
      <c r="G551" s="3">
        <f t="shared" ca="1" si="3"/>
        <v>18</v>
      </c>
      <c r="H551" s="2">
        <f t="shared" ca="1" si="4"/>
        <v>72</v>
      </c>
      <c r="I551" t="e">
        <f t="shared" ca="1" si="5"/>
        <v>#VALUE!</v>
      </c>
      <c r="J551" s="3" t="e">
        <f t="shared" ca="1" si="9"/>
        <v>#VALUE!</v>
      </c>
      <c r="K551" t="str">
        <f t="shared" ca="1" si="6"/>
        <v xml:space="preserve">Gouveia, L. </v>
      </c>
      <c r="L551" t="str">
        <f t="shared" ca="1" si="7"/>
        <v xml:space="preserve">Quental, C. </v>
      </c>
    </row>
    <row r="552" spans="1:12" ht="15.75" customHeight="1">
      <c r="A552">
        <f ca="1">IFERROR(__xludf.DUMMYFUNCTION("""COMPUTED_VALUE"""),14)</f>
        <v>14</v>
      </c>
      <c r="B552" t="str">
        <f ca="1">IFERROR(__xludf.DUMMYFUNCTION("""COMPUTED_VALUE"""),"Gouveia, L. (2012). Opacidade e transparência na administração pública. 
Participação no Grande Debate - O que falta fazer? Conferência Por uma 
Administração pública em Tempo Real. Interoperabilidade e desmaterialização 
de processos administrativos ao s"&amp;"erviço do país. APDSI. Auditório da 
Reitoria da Universidade Nova de Lisboa. Campus de Campolide, Lisboa. 22 de 
Março.
apresentação [ vídeo ]")</f>
        <v>Gouveia, L. (2012). Opacidade e transparência na administração pública. 
Participação no Grande Debate - O que falta fazer? Conferência Por uma 
Administração pública em Tempo Real. Interoperabilidade e desmaterialização 
de processos administrativos ao serviço do país. APDSI. Auditório da 
Reitoria da Universidade Nova de Lisboa. Campus de Campolide, Lisboa. 22 de 
Março.
apresentação [ vídeo ]</v>
      </c>
      <c r="C552" s="2">
        <f t="shared" ca="1" si="0"/>
        <v>13</v>
      </c>
      <c r="D552" t="str">
        <f t="shared" ca="1" si="8"/>
        <v xml:space="preserve">Gouveia, L. </v>
      </c>
      <c r="E552" t="str">
        <f t="shared" ca="1" si="1"/>
        <v>2012</v>
      </c>
      <c r="F552" t="str">
        <f t="shared" ca="1" si="2"/>
        <v xml:space="preserve"> Opacidade e transparência na administração pública. </v>
      </c>
      <c r="G552" s="3">
        <f t="shared" ca="1" si="3"/>
        <v>18</v>
      </c>
      <c r="H552" s="2">
        <f t="shared" ca="1" si="4"/>
        <v>71</v>
      </c>
      <c r="I552" t="e">
        <f t="shared" ca="1" si="5"/>
        <v>#VALUE!</v>
      </c>
      <c r="J552" s="3" t="e">
        <f t="shared" ca="1" si="9"/>
        <v>#VALUE!</v>
      </c>
      <c r="K552" t="str">
        <f t="shared" ca="1" si="6"/>
        <v xml:space="preserve">Gouveia, L. </v>
      </c>
      <c r="L552" t="str">
        <f t="shared" ca="1" si="7"/>
        <v xml:space="preserve">Quental, C. </v>
      </c>
    </row>
    <row r="553" spans="1:12" ht="15.75" customHeight="1">
      <c r="A553">
        <f ca="1">IFERROR(__xludf.DUMMYFUNCTION("""COMPUTED_VALUE"""),13)</f>
        <v>13</v>
      </c>
      <c r="B553" t="str">
        <f ca="1">IFERROR(__xludf.DUMMYFUNCTION("""COMPUTED_VALUE"""),"Gouveia, L. (2010). Desafios da Gestão da Informação e a questão da 
soberania no digital: da escola, do professor e onde o aluno fica em tudo 
isto… Encontro e-Learning@FEUP. FEUP. Porto, 6 de Maio.
apresentação [ slideshare ]")</f>
        <v>Gouveia, L. (2010). Desafios da Gestão da Informação e a questão da 
soberania no digital: da escola, do professor e onde o aluno fica em tudo 
isto… Encontro e-Learning@FEUP. FEUP. Porto, 6 de Maio.
apresentação [ slideshare ]</v>
      </c>
      <c r="C553" s="2">
        <f t="shared" ca="1" si="0"/>
        <v>13</v>
      </c>
      <c r="D553" t="str">
        <f t="shared" ca="1" si="8"/>
        <v xml:space="preserve">Gouveia, L. </v>
      </c>
      <c r="E553" t="str">
        <f t="shared" ca="1" si="1"/>
        <v>2010</v>
      </c>
      <c r="F553" t="str">
        <f t="shared" ca="1" si="2"/>
        <v xml:space="preserve"> Desafios da Gestão da Informação e a questão da 
soberania no digital: da escola, do professor e onde o aluno fica em tudo 
isto… Encontro e-Learning@FEUP. </v>
      </c>
      <c r="G553" s="3">
        <f t="shared" ca="1" si="3"/>
        <v>18</v>
      </c>
      <c r="H553" s="2">
        <f t="shared" ca="1" si="4"/>
        <v>175</v>
      </c>
      <c r="I553" t="e">
        <f t="shared" ca="1" si="5"/>
        <v>#VALUE!</v>
      </c>
      <c r="J553" s="3" t="e">
        <f t="shared" ca="1" si="9"/>
        <v>#VALUE!</v>
      </c>
      <c r="K553" t="str">
        <f t="shared" ca="1" si="6"/>
        <v xml:space="preserve">Gouveia, L. </v>
      </c>
      <c r="L553" t="str">
        <f t="shared" ca="1" si="7"/>
        <v xml:space="preserve">Quental, C. </v>
      </c>
    </row>
    <row r="554" spans="1:12" ht="15.75" customHeight="1">
      <c r="A554">
        <f ca="1">IFERROR(__xludf.DUMMYFUNCTION("""COMPUTED_VALUE"""),12)</f>
        <v>12</v>
      </c>
      <c r="B554" t="str">
        <f ca="1">IFERROR(__xludf.DUMMYFUNCTION("""COMPUTED_VALUE"""),"Gouveia, L. (2010). *O digital e o espaço físico*. II Conferência 
e-learning “Onde a Tecnologia Encontra a Aprendizagem”. Futurália. FIL – 
Parque das Nações. Lisboa, 12 de Março.
apresentação [ slideshare ]")</f>
        <v>Gouveia, L. (2010). *O digital e o espaço físico*. II Conferência 
e-learning “Onde a Tecnologia Encontra a Aprendizagem”. Futurália. FIL – 
Parque das Nações. Lisboa, 12 de Março.
apresentação [ slideshare ]</v>
      </c>
      <c r="C554" s="2">
        <f t="shared" ca="1" si="0"/>
        <v>13</v>
      </c>
      <c r="D554" t="str">
        <f t="shared" ca="1" si="8"/>
        <v xml:space="preserve">Gouveia, L. </v>
      </c>
      <c r="E554" t="str">
        <f t="shared" ca="1" si="1"/>
        <v>2010</v>
      </c>
      <c r="F554" t="str">
        <f t="shared" ca="1" si="2"/>
        <v xml:space="preserve"> *O digital e o espaço físico*. </v>
      </c>
      <c r="G554" s="3">
        <f t="shared" ca="1" si="3"/>
        <v>18</v>
      </c>
      <c r="H554" s="2">
        <f t="shared" ca="1" si="4"/>
        <v>50</v>
      </c>
      <c r="I554" t="e">
        <f t="shared" ca="1" si="5"/>
        <v>#VALUE!</v>
      </c>
      <c r="J554" s="3" t="e">
        <f t="shared" ca="1" si="9"/>
        <v>#VALUE!</v>
      </c>
      <c r="K554" t="str">
        <f t="shared" ca="1" si="6"/>
        <v xml:space="preserve">Gouveia, L. </v>
      </c>
      <c r="L554" t="str">
        <f t="shared" ca="1" si="7"/>
        <v xml:space="preserve">Quental, C. </v>
      </c>
    </row>
    <row r="555" spans="1:12" ht="15.75" customHeight="1">
      <c r="A555">
        <f ca="1">IFERROR(__xludf.DUMMYFUNCTION("""COMPUTED_VALUE"""),11)</f>
        <v>11</v>
      </c>
      <c r="B555" t="str">
        <f ca="1">IFERROR(__xludf.DUMMYFUNCTION("""COMPUTED_VALUE"""),"Gouveia, L. (2009). *Depois dos 15 primeiros anos, quais os desafios para 
os próximos 5?* Edubits. Universidade de Aveiro. 6 de Julho.
apresentação [ pdf (1450KB)]")</f>
        <v>Gouveia, L. (2009). *Depois dos 15 primeiros anos, quais os desafios para 
os próximos 5?* Edubits. Universidade de Aveiro. 6 de Julho.
apresentação [ pdf (1450KB)]</v>
      </c>
      <c r="C555" s="2">
        <f t="shared" ca="1" si="0"/>
        <v>13</v>
      </c>
      <c r="D555" t="str">
        <f t="shared" ca="1" si="8"/>
        <v xml:space="preserve">Gouveia, L. </v>
      </c>
      <c r="E555" t="str">
        <f t="shared" ca="1" si="1"/>
        <v>2009</v>
      </c>
      <c r="F555" t="str">
        <f t="shared" ca="1" si="2"/>
        <v xml:space="preserve"> *Depois dos 15 primeiros anos, quais os desafios para 
os próximos 5?* Edubits. </v>
      </c>
      <c r="G555" s="3">
        <f t="shared" ca="1" si="3"/>
        <v>18</v>
      </c>
      <c r="H555" s="2">
        <f t="shared" ca="1" si="4"/>
        <v>99</v>
      </c>
      <c r="I555" t="e">
        <f t="shared" ca="1" si="5"/>
        <v>#VALUE!</v>
      </c>
      <c r="J555" s="3" t="e">
        <f t="shared" ca="1" si="9"/>
        <v>#VALUE!</v>
      </c>
      <c r="K555" t="str">
        <f t="shared" ca="1" si="6"/>
        <v xml:space="preserve">Gouveia, L. </v>
      </c>
      <c r="L555" t="str">
        <f t="shared" ca="1" si="7"/>
        <v xml:space="preserve">Quental, C. </v>
      </c>
    </row>
    <row r="556" spans="1:12" ht="15.75" customHeight="1">
      <c r="A556">
        <f ca="1">IFERROR(__xludf.DUMMYFUNCTION("""COMPUTED_VALUE"""),10)</f>
        <v>10</v>
      </c>
      <c r="B556" t="str">
        <f ca="1">IFERROR(__xludf.DUMMYFUNCTION("""COMPUTED_VALUE"""),"Gouveia, L. (2007). *Biblioteca para quem, biblioteca para quê?*. Painel 2 
“Novos Desafios para a gestão da Biblioteca Escolar” – 20 de Outubro de 
2007. 1º Encontro da Rede de Bibliotecas Escolares do Porto (RBEP) – “Ler 
para Ser”. 20 de Outubro.
apres"&amp;"entação [ pdf (408KB) ]")</f>
        <v>Gouveia, L. (2007). *Biblioteca para quem, biblioteca para quê?*. Painel 2 
“Novos Desafios para a gestão da Biblioteca Escolar” – 20 de Outubro de 
2007. 1º Encontro da Rede de Bibliotecas Escolares do Porto (RBEP) – “Ler 
para Ser”. 20 de Outubro.
apresentação [ pdf (408KB) ]</v>
      </c>
      <c r="C556" s="2">
        <f t="shared" ca="1" si="0"/>
        <v>13</v>
      </c>
      <c r="D556" t="str">
        <f t="shared" ca="1" si="8"/>
        <v xml:space="preserve">Gouveia, L. </v>
      </c>
      <c r="E556" t="str">
        <f t="shared" ca="1" si="1"/>
        <v>2007</v>
      </c>
      <c r="F556" t="str">
        <f t="shared" ca="1" si="2"/>
        <v xml:space="preserve"> *Biblioteca para quem, biblioteca para quê?*. </v>
      </c>
      <c r="G556" s="3">
        <f t="shared" ca="1" si="3"/>
        <v>18</v>
      </c>
      <c r="H556" s="2">
        <f t="shared" ca="1" si="4"/>
        <v>65</v>
      </c>
      <c r="I556" t="e">
        <f t="shared" ca="1" si="5"/>
        <v>#VALUE!</v>
      </c>
      <c r="J556" s="3" t="e">
        <f t="shared" ca="1" si="9"/>
        <v>#VALUE!</v>
      </c>
      <c r="K556" t="str">
        <f t="shared" ca="1" si="6"/>
        <v xml:space="preserve">Gouveia, L. </v>
      </c>
      <c r="L556" t="str">
        <f t="shared" ca="1" si="7"/>
        <v xml:space="preserve">Quental, C. </v>
      </c>
    </row>
    <row r="557" spans="1:12" ht="15.75" customHeight="1">
      <c r="A557">
        <f ca="1">IFERROR(__xludf.DUMMYFUNCTION("""COMPUTED_VALUE"""),9)</f>
        <v>9</v>
      </c>
      <c r="B557" t="str">
        <f ca="1">IFERROR(__xludf.DUMMYFUNCTION("""COMPUTED_VALUE"""),"Gouveia, L. (2007). *e-espaço para e-actividades.* Painel III - Espaço 
público e participação. Workshop Cidades Digitais, o dia seguinte. 24 de 
Maio de 2007. Universidade Fernando Pessoa.
apresentação [ pdf (219KB) ]")</f>
        <v>Gouveia, L. (2007). *e-espaço para e-actividades.* Painel III - Espaço 
público e participação. Workshop Cidades Digitais, o dia seguinte. 24 de 
Maio de 2007. Universidade Fernando Pessoa.
apresentação [ pdf (219KB) ]</v>
      </c>
      <c r="C557" s="2">
        <f t="shared" ca="1" si="0"/>
        <v>13</v>
      </c>
      <c r="D557" t="str">
        <f t="shared" ca="1" si="8"/>
        <v xml:space="preserve">Gouveia, L. </v>
      </c>
      <c r="E557" t="str">
        <f t="shared" ca="1" si="1"/>
        <v>2007</v>
      </c>
      <c r="F557" t="str">
        <f t="shared" ca="1" si="2"/>
        <v xml:space="preserve"> *e-espaço para e-actividades.*</v>
      </c>
      <c r="G557" s="3">
        <f t="shared" ca="1" si="3"/>
        <v>18</v>
      </c>
      <c r="H557" s="2">
        <f t="shared" ca="1" si="4"/>
        <v>49</v>
      </c>
      <c r="I557" t="e">
        <f t="shared" ca="1" si="5"/>
        <v>#VALUE!</v>
      </c>
      <c r="J557" s="3" t="e">
        <f t="shared" ca="1" si="9"/>
        <v>#VALUE!</v>
      </c>
      <c r="K557" t="str">
        <f t="shared" ca="1" si="6"/>
        <v xml:space="preserve">Gouveia, L. </v>
      </c>
      <c r="L557" t="str">
        <f t="shared" ca="1" si="7"/>
        <v xml:space="preserve">Quental, C. </v>
      </c>
    </row>
    <row r="558" spans="1:12" ht="15.75" customHeight="1">
      <c r="A558">
        <f ca="1">IFERROR(__xludf.DUMMYFUNCTION("""COMPUTED_VALUE"""),8)</f>
        <v>8</v>
      </c>
      <c r="B558" t="str">
        <f ca="1">IFERROR(__xludf.DUMMYFUNCTION("""COMPUTED_VALUE"""),"Gouveia, L. (2007). *Territórios Inteligentes: o digital, a rede, as 
pessoas e o conhecimento.* Painel I - A perspectiva do Território. Workshop 
Cidades Digitais, o dia seguinte. 23 de Maio de 2007. Universidade Fernando 
Pessoa.
apresentação [ pdf (607"&amp;"KB) ]")</f>
        <v>Gouveia, L. (2007). *Territórios Inteligentes: o digital, a rede, as 
pessoas e o conhecimento.* Painel I - A perspectiva do Território. Workshop 
Cidades Digitais, o dia seguinte. 23 de Maio de 2007. Universidade Fernando 
Pessoa.
apresentação [ pdf (607KB) ]</v>
      </c>
      <c r="C558" s="2">
        <f t="shared" ca="1" si="0"/>
        <v>13</v>
      </c>
      <c r="D558" t="str">
        <f t="shared" ca="1" si="8"/>
        <v xml:space="preserve">Gouveia, L. </v>
      </c>
      <c r="E558" t="str">
        <f t="shared" ca="1" si="1"/>
        <v>2007</v>
      </c>
      <c r="F558" t="str">
        <f t="shared" ca="1" si="2"/>
        <v xml:space="preserve"> *Territórios Inteligentes: o digital, a rede, as 
pessoas e o conhecimento.*</v>
      </c>
      <c r="G558" s="3">
        <f t="shared" ca="1" si="3"/>
        <v>18</v>
      </c>
      <c r="H558" s="2">
        <f t="shared" ca="1" si="4"/>
        <v>95</v>
      </c>
      <c r="I558" t="e">
        <f t="shared" ca="1" si="5"/>
        <v>#VALUE!</v>
      </c>
      <c r="J558" s="3" t="e">
        <f t="shared" ca="1" si="9"/>
        <v>#VALUE!</v>
      </c>
      <c r="K558" t="str">
        <f t="shared" ca="1" si="6"/>
        <v xml:space="preserve">Gouveia, L. </v>
      </c>
      <c r="L558" t="str">
        <f t="shared" ca="1" si="7"/>
        <v xml:space="preserve">Quental, C. </v>
      </c>
    </row>
    <row r="559" spans="1:12" ht="15.75" customHeight="1">
      <c r="A559">
        <f ca="1">IFERROR(__xludf.DUMMYFUNCTION("""COMPUTED_VALUE"""),7)</f>
        <v>7</v>
      </c>
      <c r="B559" t="str">
        <f ca="1">IFERROR(__xludf.DUMMYFUNCTION("""COMPUTED_VALUE"""),"Coelho, D. et al. (2006). Repensar o Futuro da Sociedade da Informação. 
Segurança, Privacidade e Identidade Digital. Documento final. 5º Fórum da 
Arrábida. 20 e 21 de Outubro de 2006. APDSI. Arrábida.
texto [ pdf (1,51MB)]")</f>
        <v>Coelho, D. et al. (2006). Repensar o Futuro da Sociedade da Informação. 
Segurança, Privacidade e Identidade Digital. Documento final. 5º Fórum da 
Arrábida. 20 e 21 de Outubro de 2006. APDSI. Arrábida.
texto [ pdf (1,51MB)]</v>
      </c>
      <c r="C559" s="2">
        <f t="shared" ca="1" si="0"/>
        <v>19</v>
      </c>
      <c r="D559" t="str">
        <f t="shared" ca="1" si="8"/>
        <v xml:space="preserve">Coelho, D. et al. </v>
      </c>
      <c r="E559" t="str">
        <f t="shared" ca="1" si="1"/>
        <v>2006</v>
      </c>
      <c r="F559" t="str">
        <f t="shared" ca="1" si="2"/>
        <v xml:space="preserve"> Repensar o Futuro da Sociedade da Informação. </v>
      </c>
      <c r="G559" s="3">
        <f t="shared" ca="1" si="3"/>
        <v>24</v>
      </c>
      <c r="H559" s="2">
        <f t="shared" ca="1" si="4"/>
        <v>71</v>
      </c>
      <c r="I559" t="e">
        <f t="shared" ca="1" si="5"/>
        <v>#VALUE!</v>
      </c>
      <c r="J559" s="3" t="e">
        <f t="shared" ca="1" si="9"/>
        <v>#VALUE!</v>
      </c>
      <c r="K559" t="str">
        <f t="shared" ca="1" si="6"/>
        <v xml:space="preserve">Coelho, D. et al. </v>
      </c>
      <c r="L559" t="str">
        <f t="shared" ca="1" si="7"/>
        <v xml:space="preserve">Quental, C. </v>
      </c>
    </row>
    <row r="560" spans="1:12" ht="15.75" customHeight="1">
      <c r="A560">
        <f ca="1">IFERROR(__xludf.DUMMYFUNCTION("""COMPUTED_VALUE"""),6)</f>
        <v>6</v>
      </c>
      <c r="B560" t="str">
        <f ca="1">IFERROR(__xludf.DUMMYFUNCTION("""COMPUTED_VALUE"""),"Gouveia, L. e Gouveia, F. (2006). *A preocupação com os Sistemas de 
Informação*. Jornadas Internas: O Papel e a Acção da Universidade nos dias 
de hoje. UFP. Anfiteatro da Saúde. Porto, 9 de Junho.
apresentação [ pdf (64KB)]")</f>
        <v>Gouveia, L. e Gouveia, F. (2006). *A preocupação com os Sistemas de 
Informação*. Jornadas Internas: O Papel e a Acção da Universidade nos dias 
de hoje. UFP. Anfiteatro da Saúde. Porto, 9 de Junho.
apresentação [ pdf (64KB)]</v>
      </c>
      <c r="C560" s="2">
        <f t="shared" ca="1" si="0"/>
        <v>27</v>
      </c>
      <c r="D560" t="str">
        <f t="shared" ca="1" si="8"/>
        <v xml:space="preserve">Gouveia, L. e Gouveia, F. </v>
      </c>
      <c r="E560" t="str">
        <f t="shared" ca="1" si="1"/>
        <v>2006</v>
      </c>
      <c r="F560" t="str">
        <f t="shared" ca="1" si="2"/>
        <v xml:space="preserve"> *A preocupação com os Sistemas de 
Informação*. </v>
      </c>
      <c r="G560" s="3">
        <f t="shared" ca="1" si="3"/>
        <v>32</v>
      </c>
      <c r="H560" s="2">
        <f t="shared" ca="1" si="4"/>
        <v>81</v>
      </c>
      <c r="I560" t="e">
        <f t="shared" ca="1" si="5"/>
        <v>#VALUE!</v>
      </c>
      <c r="J560" s="3" t="e">
        <f t="shared" ca="1" si="9"/>
        <v>#VALUE!</v>
      </c>
      <c r="K560" t="str">
        <f t="shared" ca="1" si="6"/>
        <v xml:space="preserve">Gouveia, L. e Gouveia, F. </v>
      </c>
      <c r="L560" t="str">
        <f t="shared" ca="1" si="7"/>
        <v xml:space="preserve">Quental, C. </v>
      </c>
    </row>
    <row r="561" spans="1:12" ht="15.75" customHeight="1">
      <c r="A561">
        <f ca="1">IFERROR(__xludf.DUMMYFUNCTION("""COMPUTED_VALUE"""),5)</f>
        <v>5</v>
      </c>
      <c r="B561" t="str">
        <f ca="1">IFERROR(__xludf.DUMMYFUNCTION("""COMPUTED_VALUE"""),"Gouveia, L. (2006). *A gestão da Informação: em busca do equilíbrio perdido*. 
Simpósio Equilíbria. Auditório da Universidade Fernando Pessoa. 23 de Março 
de 2006.
apresentação [ pdf (180KB)]")</f>
        <v>Gouveia, L. (2006). *A gestão da Informação: em busca do equilíbrio perdido*. 
Simpósio Equilíbria. Auditório da Universidade Fernando Pessoa. 23 de Março 
de 2006.
apresentação [ pdf (180KB)]</v>
      </c>
      <c r="C561" s="2">
        <f t="shared" ca="1" si="0"/>
        <v>13</v>
      </c>
      <c r="D561" t="str">
        <f t="shared" ca="1" si="8"/>
        <v xml:space="preserve">Gouveia, L. </v>
      </c>
      <c r="E561" t="str">
        <f t="shared" ca="1" si="1"/>
        <v>2006</v>
      </c>
      <c r="F561" t="str">
        <f t="shared" ca="1" si="2"/>
        <v xml:space="preserve"> *A gestão da Informação: em busca do equilíbrio perdido*. </v>
      </c>
      <c r="G561" s="3">
        <f t="shared" ca="1" si="3"/>
        <v>18</v>
      </c>
      <c r="H561" s="2">
        <f t="shared" ca="1" si="4"/>
        <v>77</v>
      </c>
      <c r="I561" t="e">
        <f t="shared" ca="1" si="5"/>
        <v>#VALUE!</v>
      </c>
      <c r="J561" s="3" t="e">
        <f t="shared" ca="1" si="9"/>
        <v>#VALUE!</v>
      </c>
      <c r="K561" t="str">
        <f t="shared" ca="1" si="6"/>
        <v xml:space="preserve">Gouveia, L. </v>
      </c>
      <c r="L561" t="str">
        <f t="shared" ca="1" si="7"/>
        <v xml:space="preserve">Quental, C. </v>
      </c>
    </row>
    <row r="562" spans="1:12" ht="15.75" customHeight="1">
      <c r="A562">
        <f ca="1">IFERROR(__xludf.DUMMYFUNCTION("""COMPUTED_VALUE"""),4)</f>
        <v>4</v>
      </c>
      <c r="B562" t="str">
        <f ca="1">IFERROR(__xludf.DUMMYFUNCTION("""COMPUTED_VALUE"""),"Gouveia, L. (2005). *Uso de meios digitais no contexto do ensino superior*. Evento 
de ensino virtual e e-learning. 28 - 29 de Janeiro de 2005. Universidade 
Fernando Pessoa.
apresentação [ pdf (111KB) ]")</f>
        <v>Gouveia, L. (2005). *Uso de meios digitais no contexto do ensino superior*. Evento 
de ensino virtual e e-learning. 28 - 29 de Janeiro de 2005. Universidade 
Fernando Pessoa.
apresentação [ pdf (111KB) ]</v>
      </c>
      <c r="C562" s="2">
        <f t="shared" ca="1" si="0"/>
        <v>13</v>
      </c>
      <c r="D562" t="str">
        <f t="shared" ca="1" si="8"/>
        <v xml:space="preserve">Gouveia, L. </v>
      </c>
      <c r="E562" t="str">
        <f t="shared" ca="1" si="1"/>
        <v>2005</v>
      </c>
      <c r="F562" t="str">
        <f t="shared" ca="1" si="2"/>
        <v xml:space="preserve"> *Uso de meios digitais no contexto do ensino superior*. </v>
      </c>
      <c r="G562" s="3">
        <f t="shared" ca="1" si="3"/>
        <v>18</v>
      </c>
      <c r="H562" s="2">
        <f t="shared" ca="1" si="4"/>
        <v>75</v>
      </c>
      <c r="I562" t="e">
        <f t="shared" ca="1" si="5"/>
        <v>#VALUE!</v>
      </c>
      <c r="J562" s="3" t="e">
        <f t="shared" ca="1" si="9"/>
        <v>#VALUE!</v>
      </c>
      <c r="K562" t="str">
        <f t="shared" ca="1" si="6"/>
        <v xml:space="preserve">Gouveia, L. </v>
      </c>
      <c r="L562" t="str">
        <f t="shared" ca="1" si="7"/>
        <v xml:space="preserve">Quental, C. </v>
      </c>
    </row>
    <row r="563" spans="1:12" ht="15.75" customHeight="1">
      <c r="A563">
        <f ca="1">IFERROR(__xludf.DUMMYFUNCTION("""COMPUTED_VALUE"""),3)</f>
        <v>3</v>
      </c>
      <c r="B563" t="str">
        <f ca="1">IFERROR(__xludf.DUMMYFUNCTION("""COMPUTED_VALUE"""),"Gouveia, L. (2003). A mobilidade no Gaia Global: conceitos e aplicações. 
Festa da Mobilidade. Casa dos Ferradores. Gaia, 15 de Novembro.")</f>
        <v>Gouveia, L. (2003). A mobilidade no Gaia Global: conceitos e aplicações. 
Festa da Mobilidade. Casa dos Ferradores. Gaia, 15 de Novembro.</v>
      </c>
      <c r="C563" s="2">
        <f t="shared" ca="1" si="0"/>
        <v>13</v>
      </c>
      <c r="D563" t="str">
        <f t="shared" ca="1" si="8"/>
        <v xml:space="preserve">Gouveia, L. </v>
      </c>
      <c r="E563" t="str">
        <f t="shared" ca="1" si="1"/>
        <v>2003</v>
      </c>
      <c r="F563" t="str">
        <f t="shared" ca="1" si="2"/>
        <v xml:space="preserve"> A mobilidade no Gaia Global: conceitos e aplicações. </v>
      </c>
      <c r="G563" s="3">
        <f t="shared" ca="1" si="3"/>
        <v>18</v>
      </c>
      <c r="H563" s="2">
        <f t="shared" ca="1" si="4"/>
        <v>72</v>
      </c>
      <c r="I563" t="e">
        <f t="shared" ca="1" si="5"/>
        <v>#VALUE!</v>
      </c>
      <c r="J563" s="3" t="e">
        <f t="shared" ca="1" si="9"/>
        <v>#VALUE!</v>
      </c>
      <c r="K563" t="str">
        <f t="shared" ca="1" si="6"/>
        <v xml:space="preserve">Gouveia, L. </v>
      </c>
      <c r="L563" t="str">
        <f t="shared" ca="1" si="7"/>
        <v xml:space="preserve">Quental, C. </v>
      </c>
    </row>
    <row r="564" spans="1:12" ht="15.75" customHeight="1">
      <c r="A564">
        <f ca="1">IFERROR(__xludf.DUMMYFUNCTION("""COMPUTED_VALUE"""),2)</f>
        <v>2</v>
      </c>
      <c r="B564" t="str">
        <f ca="1">IFERROR(__xludf.DUMMYFUNCTION("""COMPUTED_VALUE"""),"Gouveia, L. (2003). Informáticos versus Documentalistas face à Sociedade da 
Informação. WORKSHOP ""Arquivistas versus Informáticos: cooperação (e) ou 
concorrência?"" Arquivo Distrital do Porto. 29 de Julho, Porto.")</f>
        <v>Gouveia, L. (2003). Informáticos versus Documentalistas face à Sociedade da 
Informação. WORKSHOP "Arquivistas versus Informáticos: cooperação (e) ou 
concorrência?" Arquivo Distrital do Porto. 29 de Julho, Porto.</v>
      </c>
      <c r="C564" s="2">
        <f t="shared" ca="1" si="0"/>
        <v>13</v>
      </c>
      <c r="D564" t="str">
        <f t="shared" ca="1" si="8"/>
        <v xml:space="preserve">Gouveia, L. </v>
      </c>
      <c r="E564" t="str">
        <f t="shared" ca="1" si="1"/>
        <v>2003</v>
      </c>
      <c r="F564" t="str">
        <f t="shared" ca="1" si="2"/>
        <v xml:space="preserve"> Informáticos versus Documentalistas face à Sociedade da 
Informação. </v>
      </c>
      <c r="G564" s="3">
        <f t="shared" ca="1" si="3"/>
        <v>18</v>
      </c>
      <c r="H564" s="2">
        <f t="shared" ca="1" si="4"/>
        <v>88</v>
      </c>
      <c r="I564" t="e">
        <f t="shared" ca="1" si="5"/>
        <v>#VALUE!</v>
      </c>
      <c r="J564" s="3" t="e">
        <f t="shared" ca="1" si="9"/>
        <v>#VALUE!</v>
      </c>
      <c r="K564" t="str">
        <f t="shared" ca="1" si="6"/>
        <v xml:space="preserve">Gouveia, L. </v>
      </c>
      <c r="L564" t="str">
        <f t="shared" ca="1" si="7"/>
        <v xml:space="preserve">Quental, C. </v>
      </c>
    </row>
    <row r="565" spans="1:12" ht="15.75" customHeight="1">
      <c r="A565">
        <f ca="1">IFERROR(__xludf.DUMMYFUNCTION("""COMPUTED_VALUE"""),1)</f>
        <v>1</v>
      </c>
      <c r="B565" t="str">
        <f ca="1">IFERROR(__xludf.DUMMYFUNCTION("""COMPUTED_VALUE"""),"Gouveia, L. (2001) *Contribuição para o enquadramento de práticas de 
e-Learning*. Integrado no debate O Livro, as Bibliotecas e o Ensino: a 
Mediação Digital. 71ª Feira do Livro do Porto. Auditório do Pavilhão Rosa 
Mota, 8 de Junho.
texto: [ pdf (32KB) "&amp;"]")</f>
        <v>Gouveia, L. (2001) *Contribuição para o enquadramento de práticas de 
e-Learning*. Integrado no debate O Livro, as Bibliotecas e o Ensino: a 
Mediação Digital. 71ª Feira do Livro do Porto. Auditório do Pavilhão Rosa 
Mota, 8 de Junho.
texto: [ pdf (32KB) ]</v>
      </c>
      <c r="C565" s="2">
        <f t="shared" ca="1" si="0"/>
        <v>13</v>
      </c>
      <c r="D565" t="str">
        <f t="shared" ca="1" si="8"/>
        <v xml:space="preserve">Gouveia, L. </v>
      </c>
      <c r="E565" t="str">
        <f t="shared" ca="1" si="1"/>
        <v>2001</v>
      </c>
      <c r="F565" t="e">
        <f t="shared" ca="1" si="2"/>
        <v>#VALUE!</v>
      </c>
      <c r="G565" s="3" t="e">
        <f t="shared" ca="1" si="3"/>
        <v>#VALUE!</v>
      </c>
      <c r="H565" s="2" t="e">
        <f t="shared" ca="1" si="4"/>
        <v>#VALUE!</v>
      </c>
      <c r="I565" t="e">
        <f t="shared" ca="1" si="5"/>
        <v>#VALUE!</v>
      </c>
      <c r="J565" s="3" t="e">
        <f t="shared" ca="1" si="9"/>
        <v>#VALUE!</v>
      </c>
      <c r="K565" t="str">
        <f t="shared" ca="1" si="6"/>
        <v xml:space="preserve">Gouveia, L. </v>
      </c>
      <c r="L565" t="str">
        <f t="shared" ca="1" si="7"/>
        <v xml:space="preserve">Quental, C. </v>
      </c>
    </row>
    <row r="566" spans="1:12" ht="15.75" customHeight="1">
      <c r="A566" t="str">
        <f ca="1">IFERROR(__xludf.DUMMYFUNCTION("""COMPUTED_VALUE"""),"[ top ]")</f>
        <v>[ top ]</v>
      </c>
      <c r="B566" t="str">
        <f ca="1">IFERROR(__xludf.DUMMYFUNCTION("""COMPUTED_VALUE"""),"*Outros media* / *Other media*")</f>
        <v>*Outros media* / *Other media*</v>
      </c>
      <c r="C566" s="2" t="e">
        <f t="shared" ca="1" si="0"/>
        <v>#VALUE!</v>
      </c>
      <c r="D566" t="e">
        <f t="shared" ca="1" si="8"/>
        <v>#VALUE!</v>
      </c>
      <c r="E566" t="e">
        <f t="shared" ca="1" si="1"/>
        <v>#VALUE!</v>
      </c>
      <c r="F566" t="e">
        <f t="shared" ca="1" si="2"/>
        <v>#VALUE!</v>
      </c>
      <c r="G566" s="3" t="e">
        <f t="shared" ca="1" si="3"/>
        <v>#VALUE!</v>
      </c>
      <c r="H566" s="2" t="e">
        <f t="shared" ca="1" si="4"/>
        <v>#VALUE!</v>
      </c>
      <c r="I566" t="e">
        <f t="shared" ca="1" si="5"/>
        <v>#VALUE!</v>
      </c>
      <c r="J566" s="3" t="e">
        <f t="shared" ca="1" si="9"/>
        <v>#VALUE!</v>
      </c>
      <c r="K566" t="e">
        <f t="shared" ca="1" si="6"/>
        <v>#VALUE!</v>
      </c>
      <c r="L566" t="str">
        <f t="shared" ca="1" si="7"/>
        <v xml:space="preserve">Quental, C. </v>
      </c>
    </row>
    <row r="567" spans="1:12" ht="15.75" customHeight="1">
      <c r="A567" t="str">
        <f ca="1">IFERROR(__xludf.DUMMYFUNCTION("""COMPUTED_VALUE"""),"_________")</f>
        <v>_________</v>
      </c>
      <c r="B567" t="str">
        <f ca="1">IFERROR(__xludf.DUMMYFUNCTION("""COMPUTED_VALUE"""),"textos e artigos nos media / texts and articles on media")</f>
        <v>textos e artigos nos media / texts and articles on media</v>
      </c>
      <c r="C567" s="2" t="e">
        <f t="shared" ca="1" si="0"/>
        <v>#VALUE!</v>
      </c>
      <c r="D567" t="e">
        <f t="shared" ca="1" si="8"/>
        <v>#VALUE!</v>
      </c>
      <c r="E567" t="e">
        <f t="shared" ca="1" si="1"/>
        <v>#VALUE!</v>
      </c>
      <c r="F567" t="e">
        <f t="shared" ca="1" si="2"/>
        <v>#VALUE!</v>
      </c>
      <c r="G567" s="3" t="e">
        <f t="shared" ca="1" si="3"/>
        <v>#VALUE!</v>
      </c>
      <c r="H567" s="2" t="e">
        <f t="shared" ca="1" si="4"/>
        <v>#VALUE!</v>
      </c>
      <c r="I567" t="e">
        <f t="shared" ca="1" si="5"/>
        <v>#VALUE!</v>
      </c>
      <c r="J567" s="3" t="e">
        <f t="shared" ca="1" si="9"/>
        <v>#VALUE!</v>
      </c>
      <c r="K567" t="e">
        <f t="shared" ca="1" si="6"/>
        <v>#VALUE!</v>
      </c>
      <c r="L567" t="str">
        <f t="shared" ca="1" si="7"/>
        <v xml:space="preserve">Quental, C. </v>
      </c>
    </row>
    <row r="568" spans="1:12" ht="15.75" customHeight="1">
      <c r="A568">
        <f ca="1">IFERROR(__xludf.DUMMYFUNCTION("""COMPUTED_VALUE"""),34)</f>
        <v>34</v>
      </c>
      <c r="B568" t="str">
        <f ca="1">IFERROR(__xludf.DUMMYFUNCTION("""COMPUTED_VALUE"""),"Cordeiro, S. e Gouveia, L. (2018). RGPD: o novo pesadelo das empresas?. 
Artigo de opinião. O Gaiense. Semanário de Vila Nova de Gaia., Página 9. 25 
de Maio.
[ Recorte do jornal ]")</f>
        <v>Cordeiro, S. e Gouveia, L. (2018). RGPD: o novo pesadelo das empresas?. 
Artigo de opinião. O Gaiense. Semanário de Vila Nova de Gaia., Página 9. 25 
de Maio.
[ Recorte do jornal ]</v>
      </c>
      <c r="C568" s="2">
        <f t="shared" ca="1" si="0"/>
        <v>28</v>
      </c>
      <c r="D568" t="str">
        <f t="shared" ca="1" si="8"/>
        <v xml:space="preserve">Cordeiro, S. e Gouveia, L. </v>
      </c>
      <c r="E568" t="str">
        <f t="shared" ca="1" si="1"/>
        <v>2018</v>
      </c>
      <c r="F568" t="str">
        <f t="shared" ca="1" si="2"/>
        <v xml:space="preserve"> RGPD: o novo pesadelo das empresas?. </v>
      </c>
      <c r="G568" s="3">
        <f t="shared" ca="1" si="3"/>
        <v>33</v>
      </c>
      <c r="H568" s="2">
        <f t="shared" ca="1" si="4"/>
        <v>71</v>
      </c>
      <c r="I568" t="e">
        <f t="shared" ca="1" si="5"/>
        <v>#VALUE!</v>
      </c>
      <c r="J568" s="3" t="e">
        <f t="shared" ca="1" si="9"/>
        <v>#VALUE!</v>
      </c>
      <c r="K568" t="str">
        <f t="shared" ca="1" si="6"/>
        <v xml:space="preserve">Cordeiro, S. e Gouveia, L. </v>
      </c>
      <c r="L568" t="str">
        <f t="shared" ca="1" si="7"/>
        <v xml:space="preserve">Quental, C. </v>
      </c>
    </row>
    <row r="569" spans="1:12" ht="15.75" customHeight="1">
      <c r="A569">
        <f ca="1">IFERROR(__xludf.DUMMYFUNCTION("""COMPUTED_VALUE"""),33)</f>
        <v>33</v>
      </c>
      <c r="B569" t="str">
        <f ca="1">IFERROR(__xludf.DUMMYFUNCTION("""COMPUTED_VALUE"""),"Araújo, A. e Gouveia, L. (2018). As Tecnologias de Informação e Comunicação 
aplicadas ao ensino. Artigo acadêmico.  23 de Março. Administradores.com.
[ handle ]")</f>
        <v>Araújo, A. e Gouveia, L. (2018). As Tecnologias de Informação e Comunicação 
aplicadas ao ensino. Artigo acadêmico.  23 de Março. Administradores.com.
[ handle ]</v>
      </c>
      <c r="C569" s="2">
        <f t="shared" ca="1" si="0"/>
        <v>26</v>
      </c>
      <c r="D569" t="str">
        <f t="shared" ca="1" si="8"/>
        <v xml:space="preserve">Araújo, A. e Gouveia, L. </v>
      </c>
      <c r="E569" t="str">
        <f t="shared" ca="1" si="1"/>
        <v>2018</v>
      </c>
      <c r="F569" t="str">
        <f t="shared" ca="1" si="2"/>
        <v xml:space="preserve"> As Tecnologias de Informação e Comunicação 
aplicadas ao ensino. </v>
      </c>
      <c r="G569" s="3">
        <f t="shared" ca="1" si="3"/>
        <v>31</v>
      </c>
      <c r="H569" s="2">
        <f t="shared" ca="1" si="4"/>
        <v>97</v>
      </c>
      <c r="I569" t="e">
        <f t="shared" ca="1" si="5"/>
        <v>#VALUE!</v>
      </c>
      <c r="J569" s="3" t="e">
        <f t="shared" ca="1" si="9"/>
        <v>#VALUE!</v>
      </c>
      <c r="K569" t="str">
        <f t="shared" ca="1" si="6"/>
        <v xml:space="preserve">Araújo, A. e Gouveia, L. </v>
      </c>
      <c r="L569" t="str">
        <f t="shared" ca="1" si="7"/>
        <v xml:space="preserve">Quental, C. </v>
      </c>
    </row>
    <row r="570" spans="1:12" ht="15.75" customHeight="1">
      <c r="A570">
        <f ca="1">IFERROR(__xludf.DUMMYFUNCTION("""COMPUTED_VALUE"""),32)</f>
        <v>32</v>
      </c>
      <c r="B570" t="str">
        <f ca="1">IFERROR(__xludf.DUMMYFUNCTION("""COMPUTED_VALUE"""),"Araújo, A. e Gouveia, L. (2018). Pressupostos sobre a pesquisa científica e 
teste piloto. Artigo acadêmico. 13 de Março. Administradores.com.
[ handle ]")</f>
        <v>Araújo, A. e Gouveia, L. (2018). Pressupostos sobre a pesquisa científica e 
teste piloto. Artigo acadêmico. 13 de Março. Administradores.com.
[ handle ]</v>
      </c>
      <c r="C570" s="2">
        <f t="shared" ca="1" si="0"/>
        <v>26</v>
      </c>
      <c r="D570" t="str">
        <f t="shared" ca="1" si="8"/>
        <v xml:space="preserve">Araújo, A. e Gouveia, L. </v>
      </c>
      <c r="E570" t="str">
        <f t="shared" ca="1" si="1"/>
        <v>2018</v>
      </c>
      <c r="F570" t="str">
        <f t="shared" ca="1" si="2"/>
        <v xml:space="preserve"> Pressupostos sobre a pesquisa científica e 
teste piloto. </v>
      </c>
      <c r="G570" s="3">
        <f t="shared" ca="1" si="3"/>
        <v>31</v>
      </c>
      <c r="H570" s="2">
        <f t="shared" ca="1" si="4"/>
        <v>90</v>
      </c>
      <c r="I570" t="e">
        <f t="shared" ca="1" si="5"/>
        <v>#VALUE!</v>
      </c>
      <c r="J570" s="3" t="e">
        <f t="shared" ca="1" si="9"/>
        <v>#VALUE!</v>
      </c>
      <c r="K570" t="str">
        <f t="shared" ca="1" si="6"/>
        <v xml:space="preserve">Araújo, A. e Gouveia, L. </v>
      </c>
      <c r="L570" t="str">
        <f t="shared" ca="1" si="7"/>
        <v xml:space="preserve">Quental, C. </v>
      </c>
    </row>
    <row r="571" spans="1:12" ht="15.75" customHeight="1">
      <c r="A571">
        <f ca="1">IFERROR(__xludf.DUMMYFUNCTION("""COMPUTED_VALUE"""),31)</f>
        <v>31</v>
      </c>
      <c r="B571" t="str">
        <f ca="1">IFERROR(__xludf.DUMMYFUNCTION("""COMPUTED_VALUE"""),"Gouveia, L. (2014). Desafios e oportunidades da Sociedade em Rede para o 
ensino e a aprendizagem. Palestra na pós-graduação em Educação em Turismo, 
Hotelaria e Restauração. ESEIG Escola Superior de Estudos Industriais e de 
Gestão do Instituto Politécni"&amp;"co do Porto. 11 de Julho. Vila do Conde.
[ handle ]")</f>
        <v>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
[ handle ]</v>
      </c>
      <c r="C571" s="2">
        <f t="shared" ca="1" si="0"/>
        <v>13</v>
      </c>
      <c r="D571" t="str">
        <f t="shared" ca="1" si="8"/>
        <v xml:space="preserve">Gouveia, L. </v>
      </c>
      <c r="E571" t="str">
        <f t="shared" ca="1" si="1"/>
        <v>2014</v>
      </c>
      <c r="F571" t="str">
        <f t="shared" ca="1" si="2"/>
        <v xml:space="preserve"> Desafios e oportunidades da Sociedade em Rede para o 
ensino e a aprendizagem. </v>
      </c>
      <c r="G571" s="3">
        <f t="shared" ca="1" si="3"/>
        <v>18</v>
      </c>
      <c r="H571" s="2">
        <f t="shared" ca="1" si="4"/>
        <v>98</v>
      </c>
      <c r="I571" t="e">
        <f t="shared" ca="1" si="5"/>
        <v>#VALUE!</v>
      </c>
      <c r="J571" s="3" t="e">
        <f t="shared" ca="1" si="9"/>
        <v>#VALUE!</v>
      </c>
      <c r="K571" t="str">
        <f t="shared" ca="1" si="6"/>
        <v xml:space="preserve">Gouveia, L. </v>
      </c>
      <c r="L571" t="str">
        <f t="shared" ca="1" si="7"/>
        <v xml:space="preserve">Quental, C. </v>
      </c>
    </row>
    <row r="572" spans="1:12" ht="15.75" customHeight="1">
      <c r="A572">
        <f ca="1">IFERROR(__xludf.DUMMYFUNCTION("""COMPUTED_VALUE"""),30)</f>
        <v>30</v>
      </c>
      <c r="B572" t="str">
        <f ca="1">IFERROR(__xludf.DUMMYFUNCTION("""COMPUTED_VALUE"""),"Coelho, J. et al. e Gouveia, L. (2013). As TIC e a Produtividade: a 
escassez de investimento no software em Portugal. 16ª Tomada de Posição do 
Grupo de Alto Nível da APDSI. Associação para  a Promoção e Desenvolvimento 
da Sociedade da Informação. Lisbo"&amp;"a, 3 de Outubro.
[ texto ]")</f>
        <v>Coelho, J. et al. e Gouveia, L. (2013). As TIC e a Produtividade: a 
escassez de investimento no software em Portugal. 16ª Tomada de Posição do 
Grupo de Alto Nível da APDSI. Associação para  a Promoção e Desenvolvimento 
da Sociedade da Informação. Lisboa, 3 de Outubro.
[ texto ]</v>
      </c>
      <c r="C572" s="2">
        <f t="shared" ca="1" si="0"/>
        <v>33</v>
      </c>
      <c r="D572" t="str">
        <f t="shared" ca="1" si="8"/>
        <v xml:space="preserve">Coelho, J. et al. e Gouveia, L. </v>
      </c>
      <c r="E572" t="str">
        <f t="shared" ca="1" si="1"/>
        <v>2013</v>
      </c>
      <c r="F572" t="str">
        <f t="shared" ca="1" si="2"/>
        <v xml:space="preserve"> As TIC e a Produtividade: a 
escassez de investimento no software em Portugal. </v>
      </c>
      <c r="G572" s="3">
        <f t="shared" ca="1" si="3"/>
        <v>38</v>
      </c>
      <c r="H572" s="2">
        <f t="shared" ca="1" si="4"/>
        <v>118</v>
      </c>
      <c r="I572" t="e">
        <f t="shared" ca="1" si="5"/>
        <v>#VALUE!</v>
      </c>
      <c r="J572" s="3" t="e">
        <f t="shared" ca="1" si="9"/>
        <v>#VALUE!</v>
      </c>
      <c r="K572" t="str">
        <f t="shared" ca="1" si="6"/>
        <v xml:space="preserve">Coelho, J. et al. e Gouveia, L. </v>
      </c>
      <c r="L572" t="str">
        <f t="shared" ca="1" si="7"/>
        <v xml:space="preserve">Quental, C. </v>
      </c>
    </row>
    <row r="573" spans="1:12" ht="15.75" customHeight="1">
      <c r="A573">
        <f ca="1">IFERROR(__xludf.DUMMYFUNCTION("""COMPUTED_VALUE"""),29)</f>
        <v>29</v>
      </c>
      <c r="B573" t="str">
        <f ca="1">IFERROR(__xludf.DUMMYFUNCTION("""COMPUTED_VALUE"""),"Coelho, J. et al. e Gouveia, L. (2013). Transparência e Sigilo na 
Administração Pública: A questão dos dados fiscais. 15ª Tomada de Posição 
do Grupo de Alto Nível da APDSI. Associação para  a Promoção e 
Desenvolvimento da Sociedade da Informação. Lisbo"&amp;"a, 24 de Abril.
[ texto ]")</f>
        <v>Coelho, J. et al. e Gouveia, L. (2013). Transparência e Sigilo na 
Administração Pública: A questão dos dados fiscais. 15ª Tomada de Posição 
do Grupo de Alto Nível da APDSI. Associação para  a Promoção e 
Desenvolvimento da Sociedade da Informação. Lisboa, 24 de Abril.
[ texto ]</v>
      </c>
      <c r="C573" s="2">
        <f t="shared" ca="1" si="0"/>
        <v>33</v>
      </c>
      <c r="D573" t="str">
        <f t="shared" ca="1" si="8"/>
        <v xml:space="preserve">Coelho, J. et al. e Gouveia, L. </v>
      </c>
      <c r="E573" t="str">
        <f t="shared" ca="1" si="1"/>
        <v>2013</v>
      </c>
      <c r="F573" t="str">
        <f t="shared" ca="1" si="2"/>
        <v xml:space="preserve"> Transparência e Sigilo na 
Administração Pública: A questão dos dados fiscais. </v>
      </c>
      <c r="G573" s="3">
        <f t="shared" ca="1" si="3"/>
        <v>38</v>
      </c>
      <c r="H573" s="2">
        <f t="shared" ca="1" si="4"/>
        <v>118</v>
      </c>
      <c r="I573" t="e">
        <f t="shared" ca="1" si="5"/>
        <v>#VALUE!</v>
      </c>
      <c r="J573" s="3" t="e">
        <f t="shared" ca="1" si="9"/>
        <v>#VALUE!</v>
      </c>
      <c r="K573" t="str">
        <f t="shared" ca="1" si="6"/>
        <v xml:space="preserve">Coelho, J. et al. e Gouveia, L. </v>
      </c>
      <c r="L573" t="str">
        <f t="shared" ca="1" si="7"/>
        <v xml:space="preserve">Quental, C. </v>
      </c>
    </row>
    <row r="574" spans="1:12" ht="15.75" customHeight="1">
      <c r="A574">
        <f ca="1">IFERROR(__xludf.DUMMYFUNCTION("""COMPUTED_VALUE"""),28)</f>
        <v>28</v>
      </c>
      <c r="B574" t="str">
        <f ca="1">IFERROR(__xludf.DUMMYFUNCTION("""COMPUTED_VALUE"""),"Coelho, J. et al. e Gouveia, L. (2012). Cultura e Arte na SI. Indústrias 
Criativas. 14ª Tomada de Posição do Grupo de Alto Nível da APDSI. 
Associação para  a Promoção e Desenvolvimento da Sociedade da Informação. 
Lisboa, 29 de Setembro.
[ texto ]")</f>
        <v>Coelho, J. et al. e Gouveia, L. (2012). Cultura e Arte na SI. Indústrias 
Criativas. 14ª Tomada de Posição do Grupo de Alto Nível da APDSI. 
Associação para  a Promoção e Desenvolvimento da Sociedade da Informação. 
Lisboa, 29 de Setembro.
[ texto ]</v>
      </c>
      <c r="C574" s="2">
        <f t="shared" ca="1" si="0"/>
        <v>33</v>
      </c>
      <c r="D574" t="str">
        <f t="shared" ca="1" si="8"/>
        <v xml:space="preserve">Coelho, J. et al. e Gouveia, L. </v>
      </c>
      <c r="E574" t="str">
        <f t="shared" ca="1" si="1"/>
        <v>2012</v>
      </c>
      <c r="F574" t="str">
        <f t="shared" ca="1" si="2"/>
        <v xml:space="preserve"> Cultura e Arte na SI. </v>
      </c>
      <c r="G574" s="3">
        <f t="shared" ca="1" si="3"/>
        <v>38</v>
      </c>
      <c r="H574" s="2">
        <f t="shared" ca="1" si="4"/>
        <v>61</v>
      </c>
      <c r="I574" t="e">
        <f t="shared" ca="1" si="5"/>
        <v>#VALUE!</v>
      </c>
      <c r="J574" s="3" t="e">
        <f t="shared" ca="1" si="9"/>
        <v>#VALUE!</v>
      </c>
      <c r="K574" t="str">
        <f t="shared" ca="1" si="6"/>
        <v xml:space="preserve">Coelho, J. et al. e Gouveia, L. </v>
      </c>
      <c r="L574" t="str">
        <f t="shared" ca="1" si="7"/>
        <v xml:space="preserve">Quental, C. </v>
      </c>
    </row>
    <row r="575" spans="1:12" ht="15.75" customHeight="1">
      <c r="A575">
        <f ca="1">IFERROR(__xludf.DUMMYFUNCTION("""COMPUTED_VALUE"""),27)</f>
        <v>27</v>
      </c>
      <c r="B575" t="str">
        <f ca="1">IFERROR(__xludf.DUMMYFUNCTION("""COMPUTED_VALUE"""),"Gouveia, L. (2012). Prefácio à 5ª edição. Ribeiro, N. (2012). Multimédia e 
Tecnologias Interativas. Lisboa: FCA - Editora de Informática. 5ª Edição, 
pp XXXI-XXXIII.  ISBN 9789727227440.")</f>
        <v>Gouveia, L. (2012). Prefácio à 5ª edição. Ribeiro, N. (2012). Multimédia e 
Tecnologias Interativas. Lisboa: FCA - Editora de Informática. 5ª Edição, 
pp XXXI-XXXIII.  ISBN 9789727227440.</v>
      </c>
      <c r="C575" s="2">
        <f t="shared" ca="1" si="0"/>
        <v>13</v>
      </c>
      <c r="D575" t="str">
        <f t="shared" ca="1" si="8"/>
        <v xml:space="preserve">Gouveia, L. </v>
      </c>
      <c r="E575" t="str">
        <f t="shared" ca="1" si="1"/>
        <v>2012</v>
      </c>
      <c r="F575" t="str">
        <f t="shared" ca="1" si="2"/>
        <v xml:space="preserve"> Prefácio à 5ª edição. </v>
      </c>
      <c r="G575" s="3">
        <f t="shared" ca="1" si="3"/>
        <v>18</v>
      </c>
      <c r="H575" s="2">
        <f t="shared" ca="1" si="4"/>
        <v>41</v>
      </c>
      <c r="I575" t="str">
        <f t="shared" ca="1" si="5"/>
        <v>Ribeiro, N. (2012).</v>
      </c>
      <c r="J575" s="3">
        <f t="shared" ca="1" si="9"/>
        <v>60</v>
      </c>
      <c r="K575" t="str">
        <f t="shared" ca="1" si="6"/>
        <v xml:space="preserve">Gouveia, L. </v>
      </c>
      <c r="L575" t="str">
        <f t="shared" ca="1" si="7"/>
        <v xml:space="preserve">Quental, C. </v>
      </c>
    </row>
    <row r="576" spans="1:12" ht="15.75" customHeight="1">
      <c r="A576">
        <f ca="1">IFERROR(__xludf.DUMMYFUNCTION("""COMPUTED_VALUE"""),26)</f>
        <v>26</v>
      </c>
      <c r="B576" t="str">
        <f ca="1">IFERROR(__xludf.DUMMYFUNCTION("""COMPUTED_VALUE"""),"Coelho, J. et al. e Gouveia, L. (2012). A Estratégia do XIX Governo 
Constitucional para as TIC: Racionalizar para Melhorar? 13ª Tomada de 
Posição do Grupo de Alto Nível da APDSI. Associação para  a Promoção e 
Desenvolvimento da Sociedade da Informação."&amp;" Lisboa, 11 de Abril.
[ texto ]")</f>
        <v>Coelho, J. et al. e Gouveia, L. (2012). A Estratégia do XIX Governo 
Constitucional para as TIC: Racionalizar para Melhorar? 13ª Tomada de 
Posição do Grupo de Alto Nível da APDSI. Associação para  a Promoção e 
Desenvolvimento da Sociedade da Informação. Lisboa, 11 de Abril.
[ texto ]</v>
      </c>
      <c r="C576" s="2">
        <f t="shared" ca="1" si="0"/>
        <v>33</v>
      </c>
      <c r="D576" t="str">
        <f t="shared" ca="1" si="8"/>
        <v xml:space="preserve">Coelho, J. et al. e Gouveia, L. </v>
      </c>
      <c r="E576" t="str">
        <f t="shared" ca="1" si="1"/>
        <v>2012</v>
      </c>
      <c r="F576" t="str">
        <f t="shared" ca="1" si="2"/>
        <v xml:space="preserve"> A Estratégia do XIX Governo 
Constitucional para as TIC: Racionalizar para Melhorar? 13ª Tomada de 
Posição do Grupo de Alto Nível da APDSI. </v>
      </c>
      <c r="G576" s="3">
        <f t="shared" ca="1" si="3"/>
        <v>38</v>
      </c>
      <c r="H576" s="2">
        <f t="shared" ca="1" si="4"/>
        <v>180</v>
      </c>
      <c r="I576" t="e">
        <f t="shared" ca="1" si="5"/>
        <v>#VALUE!</v>
      </c>
      <c r="J576" s="3" t="e">
        <f t="shared" ca="1" si="9"/>
        <v>#VALUE!</v>
      </c>
      <c r="K576" t="str">
        <f t="shared" ca="1" si="6"/>
        <v xml:space="preserve">Coelho, J. et al. e Gouveia, L. </v>
      </c>
      <c r="L576" t="str">
        <f t="shared" ca="1" si="7"/>
        <v xml:space="preserve">Quental, C. </v>
      </c>
    </row>
    <row r="577" spans="1:12" ht="15.75" customHeight="1">
      <c r="A577">
        <f ca="1">IFERROR(__xludf.DUMMYFUNCTION("""COMPUTED_VALUE"""),25)</f>
        <v>25</v>
      </c>
      <c r="B577" t="str">
        <f ca="1">IFERROR(__xludf.DUMMYFUNCTION("""COMPUTED_VALUE"""),"Gouveia, L. (2011). Texto sobre a inutilidade. In Duarte, F. e Bruinsma, M. 
(2011). Sem uso/Useless. EXD'11. Lisboa: Experimenta Design/Babel.
[ link ]")</f>
        <v>Gouveia, L. (2011). Texto sobre a inutilidade. In Duarte, F. e Bruinsma, M. 
(2011). Sem uso/Useless. EXD'11. Lisboa: Experimenta Design/Babel.
[ link ]</v>
      </c>
      <c r="C577" s="2">
        <f t="shared" ca="1" si="0"/>
        <v>13</v>
      </c>
      <c r="D577" t="str">
        <f t="shared" ca="1" si="8"/>
        <v xml:space="preserve">Gouveia, L. </v>
      </c>
      <c r="E577" t="str">
        <f t="shared" ca="1" si="1"/>
        <v>2011</v>
      </c>
      <c r="F577" t="str">
        <f t="shared" ca="1" si="2"/>
        <v xml:space="preserve"> Texto sobre a inutilidade. </v>
      </c>
      <c r="G577" s="3">
        <f t="shared" ca="1" si="3"/>
        <v>18</v>
      </c>
      <c r="H577" s="2">
        <f t="shared" ca="1" si="4"/>
        <v>46</v>
      </c>
      <c r="I577" t="str">
        <f t="shared" ca="1" si="5"/>
        <v>In Duarte, F. e Bruinsma, M. 
(2011).</v>
      </c>
      <c r="J577" s="3">
        <f t="shared" ca="1" si="9"/>
        <v>83</v>
      </c>
      <c r="K577" t="str">
        <f t="shared" ca="1" si="6"/>
        <v xml:space="preserve">Gouveia, L. </v>
      </c>
      <c r="L577" t="str">
        <f t="shared" ca="1" si="7"/>
        <v xml:space="preserve">Quental, C. </v>
      </c>
    </row>
    <row r="578" spans="1:12" ht="15.75" customHeight="1">
      <c r="A578">
        <f ca="1">IFERROR(__xludf.DUMMYFUNCTION("""COMPUTED_VALUE"""),24)</f>
        <v>24</v>
      </c>
      <c r="B578" t="str">
        <f ca="1">IFERROR(__xludf.DUMMYFUNCTION("""COMPUTED_VALUE"""),"Gouveia, L. (2007). *Uma reflexão sobre capacitar o território por 
tecnologia*. Suplemento de Economia. Diário do Minho. 10 de Julho.
texto [ pdf (385KB) ]")</f>
        <v>Gouveia, L. (2007). *Uma reflexão sobre capacitar o território por 
tecnologia*. Suplemento de Economia. Diário do Minho. 10 de Julho.
texto [ pdf (385KB) ]</v>
      </c>
      <c r="C578" s="2">
        <f t="shared" ca="1" si="0"/>
        <v>13</v>
      </c>
      <c r="D578" t="str">
        <f t="shared" ca="1" si="8"/>
        <v xml:space="preserve">Gouveia, L. </v>
      </c>
      <c r="E578" t="str">
        <f t="shared" ca="1" si="1"/>
        <v>2007</v>
      </c>
      <c r="F578" t="str">
        <f t="shared" ca="1" si="2"/>
        <v xml:space="preserve"> *Uma reflexão sobre capacitar o território por 
tecnologia*. </v>
      </c>
      <c r="G578" s="3">
        <f t="shared" ca="1" si="3"/>
        <v>18</v>
      </c>
      <c r="H578" s="2">
        <f t="shared" ca="1" si="4"/>
        <v>80</v>
      </c>
      <c r="I578" t="e">
        <f t="shared" ca="1" si="5"/>
        <v>#VALUE!</v>
      </c>
      <c r="J578" s="3" t="e">
        <f t="shared" ca="1" si="9"/>
        <v>#VALUE!</v>
      </c>
      <c r="K578" t="str">
        <f t="shared" ca="1" si="6"/>
        <v xml:space="preserve">Gouveia, L. </v>
      </c>
      <c r="L578" t="str">
        <f t="shared" ca="1" si="7"/>
        <v xml:space="preserve">Quental, C. </v>
      </c>
    </row>
    <row r="579" spans="1:12" ht="15.75" customHeight="1">
      <c r="A579">
        <f ca="1">IFERROR(__xludf.DUMMYFUNCTION("""COMPUTED_VALUE"""),23)</f>
        <v>23</v>
      </c>
      <c r="B579" t="str">
        <f ca="1">IFERROR(__xludf.DUMMYFUNCTION("""COMPUTED_VALUE"""),"Gouveia, L. (2007). *Território, conhecimento e competências: um triângulo 
a fixar*. Suplemento de Economia. Diário do Minho. 10 de Julho.
texto [ pdf (378KB) ]")</f>
        <v>Gouveia, L. (2007). *Território, conhecimento e competências: um triângulo 
a fixar*. Suplemento de Economia. Diário do Minho. 10 de Julho.
texto [ pdf (378KB) ]</v>
      </c>
      <c r="C579" s="2">
        <f t="shared" ca="1" si="0"/>
        <v>13</v>
      </c>
      <c r="D579" t="str">
        <f t="shared" ca="1" si="8"/>
        <v xml:space="preserve">Gouveia, L. </v>
      </c>
      <c r="E579" t="str">
        <f t="shared" ca="1" si="1"/>
        <v>2007</v>
      </c>
      <c r="F579" t="str">
        <f t="shared" ca="1" si="2"/>
        <v xml:space="preserve"> *Território, conhecimento e competências: um triângulo 
a fixar*. </v>
      </c>
      <c r="G579" s="3">
        <f t="shared" ca="1" si="3"/>
        <v>18</v>
      </c>
      <c r="H579" s="2">
        <f t="shared" ca="1" si="4"/>
        <v>85</v>
      </c>
      <c r="I579" t="e">
        <f t="shared" ca="1" si="5"/>
        <v>#VALUE!</v>
      </c>
      <c r="J579" s="3" t="e">
        <f t="shared" ca="1" si="9"/>
        <v>#VALUE!</v>
      </c>
      <c r="K579" t="str">
        <f t="shared" ca="1" si="6"/>
        <v xml:space="preserve">Gouveia, L. </v>
      </c>
      <c r="L579" t="str">
        <f t="shared" ca="1" si="7"/>
        <v xml:space="preserve">Quental, C. </v>
      </c>
    </row>
    <row r="580" spans="1:12" ht="15.75" customHeight="1">
      <c r="A580">
        <f ca="1">IFERROR(__xludf.DUMMYFUNCTION("""COMPUTED_VALUE"""),22)</f>
        <v>22</v>
      </c>
      <c r="B580" t="str">
        <f ca="1">IFERROR(__xludf.DUMMYFUNCTION("""COMPUTED_VALUE"""),"Gouveia, L. (2007). *Tirar partido dos Sistemas de Informação no contexto 
actual*. Suplemento de Economia. Diário do Minho. 19 de Junho.
texto [ pdf (372KB) ]")</f>
        <v>Gouveia, L. (2007). *Tirar partido dos Sistemas de Informação no contexto 
actual*. Suplemento de Economia. Diário do Minho. 19 de Junho.
texto [ pdf (372KB) ]</v>
      </c>
      <c r="C580" s="2">
        <f t="shared" ca="1" si="0"/>
        <v>13</v>
      </c>
      <c r="D580" t="str">
        <f t="shared" ca="1" si="8"/>
        <v xml:space="preserve">Gouveia, L. </v>
      </c>
      <c r="E580" t="str">
        <f t="shared" ca="1" si="1"/>
        <v>2007</v>
      </c>
      <c r="F580" t="str">
        <f t="shared" ca="1" si="2"/>
        <v xml:space="preserve"> *Tirar partido dos Sistemas de Informação no contexto 
actual*. </v>
      </c>
      <c r="G580" s="3">
        <f t="shared" ca="1" si="3"/>
        <v>18</v>
      </c>
      <c r="H580" s="2">
        <f t="shared" ca="1" si="4"/>
        <v>83</v>
      </c>
      <c r="I580" t="e">
        <f t="shared" ca="1" si="5"/>
        <v>#VALUE!</v>
      </c>
      <c r="J580" s="3" t="e">
        <f t="shared" ca="1" si="9"/>
        <v>#VALUE!</v>
      </c>
      <c r="K580" t="str">
        <f t="shared" ca="1" si="6"/>
        <v xml:space="preserve">Gouveia, L. </v>
      </c>
      <c r="L580" t="str">
        <f t="shared" ca="1" si="7"/>
        <v xml:space="preserve">Quental, C. </v>
      </c>
    </row>
    <row r="581" spans="1:12" ht="15.75" customHeight="1">
      <c r="A581">
        <f ca="1">IFERROR(__xludf.DUMMYFUNCTION("""COMPUTED_VALUE"""),21)</f>
        <v>21</v>
      </c>
      <c r="B581" t="str">
        <f ca="1">IFERROR(__xludf.DUMMYFUNCTION("""COMPUTED_VALUE"""),"Gouveia, L. (2006). *Afinal não é assim tão caro ou uma história sobre o 
conhecimento.* UFP, Novembro.
texto [ pdf ]")</f>
        <v>Gouveia, L. (2006). *Afinal não é assim tão caro ou uma história sobre o 
conhecimento.* UFP, Novembro.
texto [ pdf ]</v>
      </c>
      <c r="C581" s="2">
        <f t="shared" ca="1" si="0"/>
        <v>13</v>
      </c>
      <c r="D581" t="str">
        <f t="shared" ca="1" si="8"/>
        <v xml:space="preserve">Gouveia, L. </v>
      </c>
      <c r="E581" t="str">
        <f t="shared" ca="1" si="1"/>
        <v>2006</v>
      </c>
      <c r="F581" t="str">
        <f t="shared" ca="1" si="2"/>
        <v xml:space="preserve"> *Afinal não é assim tão caro ou uma história sobre o 
conhecimento.*</v>
      </c>
      <c r="G581" s="3">
        <f t="shared" ca="1" si="3"/>
        <v>18</v>
      </c>
      <c r="H581" s="2">
        <f t="shared" ca="1" si="4"/>
        <v>87</v>
      </c>
      <c r="I581" t="e">
        <f t="shared" ca="1" si="5"/>
        <v>#VALUE!</v>
      </c>
      <c r="J581" s="3" t="e">
        <f t="shared" ca="1" si="9"/>
        <v>#VALUE!</v>
      </c>
      <c r="K581" t="str">
        <f t="shared" ca="1" si="6"/>
        <v xml:space="preserve">Gouveia, L. </v>
      </c>
      <c r="L581" t="str">
        <f t="shared" ca="1" si="7"/>
        <v xml:space="preserve">Quental, C. </v>
      </c>
    </row>
    <row r="582" spans="1:12" ht="15.75" customHeight="1">
      <c r="A582">
        <f ca="1">IFERROR(__xludf.DUMMYFUNCTION("""COMPUTED_VALUE"""),20)</f>
        <v>20</v>
      </c>
      <c r="B582" t="str">
        <f ca="1">IFERROR(__xludf.DUMMYFUNCTION("""COMPUTED_VALUE"""),"Gouveia, L. (2006). *A necessidade de capacitar conhecimento para o 
território.* Revista e-ciência, T-Media. 19 de Outubro, pp 13-14.
texto [ pdf (20KB)]")</f>
        <v>Gouveia, L. (2006). *A necessidade de capacitar conhecimento para o 
território.* Revista e-ciência, T-Media. 19 de Outubro, pp 13-14.
texto [ pdf (20KB)]</v>
      </c>
      <c r="C582" s="2">
        <f t="shared" ca="1" si="0"/>
        <v>13</v>
      </c>
      <c r="D582" t="str">
        <f t="shared" ca="1" si="8"/>
        <v xml:space="preserve">Gouveia, L. </v>
      </c>
      <c r="E582" t="str">
        <f t="shared" ca="1" si="1"/>
        <v>2006</v>
      </c>
      <c r="F582" t="str">
        <f t="shared" ca="1" si="2"/>
        <v xml:space="preserve"> *A necessidade de capacitar conhecimento para o 
território.*</v>
      </c>
      <c r="G582" s="3">
        <f t="shared" ca="1" si="3"/>
        <v>18</v>
      </c>
      <c r="H582" s="2">
        <f t="shared" ca="1" si="4"/>
        <v>80</v>
      </c>
      <c r="I582" t="e">
        <f t="shared" ca="1" si="5"/>
        <v>#VALUE!</v>
      </c>
      <c r="J582" s="3" t="e">
        <f t="shared" ca="1" si="9"/>
        <v>#VALUE!</v>
      </c>
      <c r="K582" t="str">
        <f t="shared" ca="1" si="6"/>
        <v xml:space="preserve">Gouveia, L. </v>
      </c>
      <c r="L582" t="str">
        <f t="shared" ca="1" si="7"/>
        <v xml:space="preserve">Quental, C. </v>
      </c>
    </row>
    <row r="583" spans="1:12" ht="15.75" customHeight="1">
      <c r="A583">
        <f ca="1">IFERROR(__xludf.DUMMYFUNCTION("""COMPUTED_VALUE"""),19)</f>
        <v>19</v>
      </c>
      <c r="B583" t="str">
        <f ca="1">IFERROR(__xludf.DUMMYFUNCTION("""COMPUTED_VALUE"""),"Gouveia, L. (2005). *Cidades e Regiões Digitais: no limiar da maioridade.* 
Artigo de opinião publicado na revista e-Ciência, nº 039 de 16 de Junho de 
2005, pp 34-35.
texto [ pdf (36KB) ]")</f>
        <v>Gouveia, L. (2005). *Cidades e Regiões Digitais: no limiar da maioridade.* 
Artigo de opinião publicado na revista e-Ciência, nº 039 de 16 de Junho de 
2005, pp 34-35.
texto [ pdf (36KB) ]</v>
      </c>
      <c r="C583" s="2">
        <f t="shared" ca="1" si="0"/>
        <v>13</v>
      </c>
      <c r="D583" t="str">
        <f t="shared" ca="1" si="8"/>
        <v xml:space="preserve">Gouveia, L. </v>
      </c>
      <c r="E583" t="str">
        <f t="shared" ca="1" si="1"/>
        <v>2005</v>
      </c>
      <c r="F583" t="str">
        <f t="shared" ca="1" si="2"/>
        <v xml:space="preserve"> *Cidades e Regiões Digitais: no limiar da maioridade.*</v>
      </c>
      <c r="G583" s="3">
        <f t="shared" ca="1" si="3"/>
        <v>18</v>
      </c>
      <c r="H583" s="2">
        <f t="shared" ca="1" si="4"/>
        <v>73</v>
      </c>
      <c r="I583" t="e">
        <f t="shared" ca="1" si="5"/>
        <v>#VALUE!</v>
      </c>
      <c r="J583" s="3" t="e">
        <f t="shared" ca="1" si="9"/>
        <v>#VALUE!</v>
      </c>
      <c r="K583" t="str">
        <f t="shared" ca="1" si="6"/>
        <v xml:space="preserve">Gouveia, L. </v>
      </c>
      <c r="L583" t="str">
        <f t="shared" ca="1" si="7"/>
        <v xml:space="preserve">Quental, C. </v>
      </c>
    </row>
    <row r="584" spans="1:12" ht="15.75" customHeight="1">
      <c r="A584">
        <f ca="1">IFERROR(__xludf.DUMMYFUNCTION("""COMPUTED_VALUE"""),18)</f>
        <v>18</v>
      </c>
      <c r="B584" t="str">
        <f ca="1">IFERROR(__xludf.DUMMYFUNCTION("""COMPUTED_VALUE"""),"Gouveia, L. (2005). *A minha homepage faz dez anos!* Newsletter Professores 
Inovadores. Microsoft Educação. Novembro.
texto [ pdf (104KB)]")</f>
        <v>Gouveia, L. (2005). *A minha homepage faz dez anos!* Newsletter Professores 
Inovadores. Microsoft Educação. Novembro.
texto [ pdf (104KB)]</v>
      </c>
      <c r="C584" s="2">
        <f t="shared" ca="1" si="0"/>
        <v>13</v>
      </c>
      <c r="D584" t="str">
        <f t="shared" ca="1" si="8"/>
        <v xml:space="preserve">Gouveia, L. </v>
      </c>
      <c r="E584" t="str">
        <f t="shared" ca="1" si="1"/>
        <v>2005</v>
      </c>
      <c r="F584" t="str">
        <f t="shared" ca="1" si="2"/>
        <v xml:space="preserve"> *A minha homepage faz dez anos!* Newsletter Professores 
Inovadores. </v>
      </c>
      <c r="G584" s="3">
        <f t="shared" ca="1" si="3"/>
        <v>18</v>
      </c>
      <c r="H584" s="2">
        <f t="shared" ca="1" si="4"/>
        <v>88</v>
      </c>
      <c r="I584" t="e">
        <f t="shared" ca="1" si="5"/>
        <v>#VALUE!</v>
      </c>
      <c r="J584" s="3" t="e">
        <f t="shared" ca="1" si="9"/>
        <v>#VALUE!</v>
      </c>
      <c r="K584" t="str">
        <f t="shared" ca="1" si="6"/>
        <v xml:space="preserve">Gouveia, L. </v>
      </c>
      <c r="L584" t="str">
        <f t="shared" ca="1" si="7"/>
        <v xml:space="preserve">Quental, C. </v>
      </c>
    </row>
    <row r="585" spans="1:12" ht="15.75" customHeight="1">
      <c r="A585">
        <f ca="1">IFERROR(__xludf.DUMMYFUNCTION("""COMPUTED_VALUE"""),17)</f>
        <v>17</v>
      </c>
      <c r="B585" t="str">
        <f ca="1">IFERROR(__xludf.DUMMYFUNCTION("""COMPUTED_VALUE"""),"Gouveia, L. (2004). *A Sociedade da Informação e as autarquias digitais*. 
Revista Autárquica. nº 1 (Ano 1), Novembro, pp 81-85.")</f>
        <v>Gouveia, L. (2004). *A Sociedade da Informação e as autarquias digitais*. 
Revista Autárquica. nº 1 (Ano 1), Novembro, pp 81-85.</v>
      </c>
      <c r="C585" s="2">
        <f t="shared" ca="1" si="0"/>
        <v>13</v>
      </c>
      <c r="D585" t="str">
        <f t="shared" ca="1" si="8"/>
        <v xml:space="preserve">Gouveia, L. </v>
      </c>
      <c r="E585" t="str">
        <f t="shared" ca="1" si="1"/>
        <v>2004</v>
      </c>
      <c r="F585" t="str">
        <f t="shared" ca="1" si="2"/>
        <v xml:space="preserve"> *A Sociedade da Informação e as autarquias digitais*. </v>
      </c>
      <c r="G585" s="3">
        <f t="shared" ca="1" si="3"/>
        <v>18</v>
      </c>
      <c r="H585" s="2">
        <f t="shared" ca="1" si="4"/>
        <v>73</v>
      </c>
      <c r="I585" t="e">
        <f t="shared" ca="1" si="5"/>
        <v>#VALUE!</v>
      </c>
      <c r="J585" s="3" t="e">
        <f t="shared" ca="1" si="9"/>
        <v>#VALUE!</v>
      </c>
      <c r="K585" t="str">
        <f t="shared" ca="1" si="6"/>
        <v xml:space="preserve">Gouveia, L. </v>
      </c>
      <c r="L585" t="str">
        <f t="shared" ca="1" si="7"/>
        <v xml:space="preserve">Quental, C. </v>
      </c>
    </row>
    <row r="586" spans="1:12" ht="15.75" customHeight="1">
      <c r="A586">
        <f ca="1">IFERROR(__xludf.DUMMYFUNCTION("""COMPUTED_VALUE"""),16)</f>
        <v>16</v>
      </c>
      <c r="B586" t="str">
        <f ca="1">IFERROR(__xludf.DUMMYFUNCTION("""COMPUTED_VALUE"""),"Gouveia, L. (2004). *Sociedade da Informação. Notas de contribuição para 
uma definição operacional*. UFP, Novembro.
texto [ pdf ]")</f>
        <v>Gouveia, L. (2004). *Sociedade da Informação. Notas de contribuição para 
uma definição operacional*. UFP, Novembro.
texto [ pdf ]</v>
      </c>
      <c r="C586" s="2">
        <f t="shared" ca="1" si="0"/>
        <v>13</v>
      </c>
      <c r="D586" t="str">
        <f t="shared" ca="1" si="8"/>
        <v xml:space="preserve">Gouveia, L. </v>
      </c>
      <c r="E586" t="str">
        <f t="shared" ca="1" si="1"/>
        <v>2004</v>
      </c>
      <c r="F586" t="str">
        <f t="shared" ca="1" si="2"/>
        <v xml:space="preserve"> *Sociedade da Informação. </v>
      </c>
      <c r="G586" s="3">
        <f t="shared" ca="1" si="3"/>
        <v>18</v>
      </c>
      <c r="H586" s="2">
        <f t="shared" ca="1" si="4"/>
        <v>45</v>
      </c>
      <c r="I586" t="e">
        <f t="shared" ca="1" si="5"/>
        <v>#VALUE!</v>
      </c>
      <c r="J586" s="3" t="e">
        <f t="shared" ca="1" si="9"/>
        <v>#VALUE!</v>
      </c>
      <c r="K586" t="str">
        <f t="shared" ca="1" si="6"/>
        <v xml:space="preserve">Gouveia, L. </v>
      </c>
      <c r="L586" t="str">
        <f t="shared" ca="1" si="7"/>
        <v xml:space="preserve">Quental, C. </v>
      </c>
    </row>
    <row r="587" spans="1:12" ht="15.75" customHeight="1">
      <c r="A587">
        <f ca="1">IFERROR(__xludf.DUMMYFUNCTION("""COMPUTED_VALUE"""),15)</f>
        <v>15</v>
      </c>
      <c r="B587" t="str">
        <f ca="1">IFERROR(__xludf.DUMMYFUNCTION("""COMPUTED_VALUE"""),"Gouveia, L. (2004). *Como analisar um caso de estudo*. UFP, Novembro.
texto [ pdf ]")</f>
        <v>Gouveia, L. (2004). *Como analisar um caso de estudo*. UFP, Novembro.
texto [ pdf ]</v>
      </c>
      <c r="C587" s="2">
        <f t="shared" ca="1" si="0"/>
        <v>13</v>
      </c>
      <c r="D587" t="str">
        <f t="shared" ca="1" si="8"/>
        <v xml:space="preserve">Gouveia, L. </v>
      </c>
      <c r="E587" t="str">
        <f t="shared" ca="1" si="1"/>
        <v>2004</v>
      </c>
      <c r="F587" t="str">
        <f t="shared" ca="1" si="2"/>
        <v xml:space="preserve"> *Como analisar um caso de estudo*. </v>
      </c>
      <c r="G587" s="3">
        <f t="shared" ca="1" si="3"/>
        <v>18</v>
      </c>
      <c r="H587" s="2">
        <f t="shared" ca="1" si="4"/>
        <v>54</v>
      </c>
      <c r="I587" t="e">
        <f t="shared" ca="1" si="5"/>
        <v>#VALUE!</v>
      </c>
      <c r="J587" s="3" t="e">
        <f t="shared" ca="1" si="9"/>
        <v>#VALUE!</v>
      </c>
      <c r="K587" t="str">
        <f t="shared" ca="1" si="6"/>
        <v xml:space="preserve">Gouveia, L. </v>
      </c>
      <c r="L587" t="str">
        <f t="shared" ca="1" si="7"/>
        <v xml:space="preserve">Quental, C. </v>
      </c>
    </row>
    <row r="588" spans="1:12" ht="15.75" customHeight="1">
      <c r="A588">
        <f ca="1">IFERROR(__xludf.DUMMYFUNCTION("""COMPUTED_VALUE"""),14)</f>
        <v>14</v>
      </c>
      <c r="B588" t="str">
        <f ca="1">IFERROR(__xludf.DUMMYFUNCTION("""COMPUTED_VALUE"""),"Gouveia, L. e Xavier, J. (2004). *Serviços Municipais de Integração: uma 
perspectiva de integração*. Quem é Quem? Revista Algébrica. Algébrica, pp 
22-24.
texto: [ pdf (1,2MB) ]")</f>
        <v>Gouveia, L. e Xavier, J. (2004). *Serviços Municipais de Integração: uma 
perspectiva de integração*. Quem é Quem? Revista Algébrica. Algébrica, pp 
22-24.
texto: [ pdf (1,2MB) ]</v>
      </c>
      <c r="C588" s="2">
        <f t="shared" ca="1" si="0"/>
        <v>26</v>
      </c>
      <c r="D588" t="str">
        <f t="shared" ca="1" si="8"/>
        <v xml:space="preserve">Gouveia, L. e Xavier, J. </v>
      </c>
      <c r="E588" t="str">
        <f t="shared" ca="1" si="1"/>
        <v>2004</v>
      </c>
      <c r="F588" t="str">
        <f t="shared" ca="1" si="2"/>
        <v xml:space="preserve"> *Serviços Municipais de Integração: uma 
perspectiva de integração*. </v>
      </c>
      <c r="G588" s="3">
        <f t="shared" ca="1" si="3"/>
        <v>31</v>
      </c>
      <c r="H588" s="2">
        <f t="shared" ca="1" si="4"/>
        <v>101</v>
      </c>
      <c r="I588" t="e">
        <f t="shared" ca="1" si="5"/>
        <v>#VALUE!</v>
      </c>
      <c r="J588" s="3" t="e">
        <f t="shared" ca="1" si="9"/>
        <v>#VALUE!</v>
      </c>
      <c r="K588" t="str">
        <f t="shared" ca="1" si="6"/>
        <v xml:space="preserve">Gouveia, L. e Xavier, J. </v>
      </c>
      <c r="L588" t="str">
        <f t="shared" ca="1" si="7"/>
        <v xml:space="preserve">Quental, C. </v>
      </c>
    </row>
    <row r="589" spans="1:12" ht="15.75" customHeight="1">
      <c r="A589">
        <f ca="1">IFERROR(__xludf.DUMMYFUNCTION("""COMPUTED_VALUE"""),13)</f>
        <v>13</v>
      </c>
      <c r="B589" t="str">
        <f ca="1">IFERROR(__xludf.DUMMYFUNCTION("""COMPUTED_VALUE"""),"Gouveia, F. e Gouveia, L. (2003). *Gestão da Informação: conceitos e 
importância*. Magazine Centroatlântico.pt. Edição nº 3, Outubro 2003.")</f>
        <v>Gouveia, F. e Gouveia, L. (2003). *Gestão da Informação: conceitos e 
importância*. Magazine Centroatlântico.pt. Edição nº 3, Outubro 2003.</v>
      </c>
      <c r="C589" s="2">
        <f t="shared" ca="1" si="0"/>
        <v>27</v>
      </c>
      <c r="D589" t="str">
        <f t="shared" ca="1" si="8"/>
        <v xml:space="preserve">Gouveia, F. e Gouveia, L. </v>
      </c>
      <c r="E589" t="str">
        <f t="shared" ca="1" si="1"/>
        <v>2003</v>
      </c>
      <c r="F589" t="str">
        <f t="shared" ca="1" si="2"/>
        <v xml:space="preserve"> *Gestão da Informação: conceitos e 
importância*. </v>
      </c>
      <c r="G589" s="3">
        <f t="shared" ca="1" si="3"/>
        <v>32</v>
      </c>
      <c r="H589" s="2">
        <f t="shared" ca="1" si="4"/>
        <v>83</v>
      </c>
      <c r="I589" t="e">
        <f t="shared" ca="1" si="5"/>
        <v>#VALUE!</v>
      </c>
      <c r="J589" s="3" t="e">
        <f t="shared" ca="1" si="9"/>
        <v>#VALUE!</v>
      </c>
      <c r="K589" t="str">
        <f t="shared" ca="1" si="6"/>
        <v xml:space="preserve">Gouveia, F. e Gouveia, L. </v>
      </c>
      <c r="L589" t="str">
        <f t="shared" ca="1" si="7"/>
        <v xml:space="preserve">Quental, C. </v>
      </c>
    </row>
    <row r="590" spans="1:12" ht="15.75" customHeight="1">
      <c r="A590">
        <f ca="1">IFERROR(__xludf.DUMMYFUNCTION("""COMPUTED_VALUE"""),12)</f>
        <v>12</v>
      </c>
      <c r="B590" t="str">
        <f ca="1">IFERROR(__xludf.DUMMYFUNCTION("""COMPUTED_VALUE"""),"Gouveia, J. e Gouveia, L. (2002). *Cidades Digitais*. Magazine 
Centroatlântico.pt. Outubro 2002, pp 14-16.
resumo [ pdf (1,24MB)]")</f>
        <v>Gouveia, J. e Gouveia, L. (2002). *Cidades Digitais*. Magazine 
Centroatlântico.pt. Outubro 2002, pp 14-16.
resumo [ pdf (1,24MB)]</v>
      </c>
      <c r="C590" s="2">
        <f t="shared" ca="1" si="0"/>
        <v>27</v>
      </c>
      <c r="D590" t="str">
        <f t="shared" ca="1" si="8"/>
        <v xml:space="preserve">Gouveia, J. e Gouveia, L. </v>
      </c>
      <c r="E590" t="str">
        <f t="shared" ca="1" si="1"/>
        <v>2002</v>
      </c>
      <c r="F590" t="str">
        <f t="shared" ca="1" si="2"/>
        <v xml:space="preserve"> *Cidades Digitais*. </v>
      </c>
      <c r="G590" s="3">
        <f t="shared" ca="1" si="3"/>
        <v>32</v>
      </c>
      <c r="H590" s="2">
        <f t="shared" ca="1" si="4"/>
        <v>53</v>
      </c>
      <c r="I590" t="e">
        <f t="shared" ca="1" si="5"/>
        <v>#VALUE!</v>
      </c>
      <c r="J590" s="3" t="e">
        <f t="shared" ca="1" si="9"/>
        <v>#VALUE!</v>
      </c>
      <c r="K590" t="str">
        <f t="shared" ca="1" si="6"/>
        <v xml:space="preserve">Gouveia, J. e Gouveia, L. </v>
      </c>
      <c r="L590" t="str">
        <f t="shared" ca="1" si="7"/>
        <v xml:space="preserve">Quental, C. </v>
      </c>
    </row>
    <row r="591" spans="1:12" ht="15.75" customHeight="1">
      <c r="A591">
        <f ca="1">IFERROR(__xludf.DUMMYFUNCTION("""COMPUTED_VALUE"""),11)</f>
        <v>11</v>
      </c>
      <c r="B591" t="str">
        <f ca="1">IFERROR(__xludf.DUMMYFUNCTION("""COMPUTED_VALUE"""),"Gouveia, L. e Gouveia, J. (2002). *As cidades digitais e o Gaia Digital*. 
28 de Setembro de 2002. Cadernos de Informática - Autarquias Digitais, 
Suplemento do Semanário Expresso de 28 de Setembro.")</f>
        <v>Gouveia, L. e Gouveia, J. (2002). *As cidades digitais e o Gaia Digital*. 
28 de Setembro de 2002. Cadernos de Informática - Autarquias Digitais, 
Suplemento do Semanário Expresso de 28 de Setembro.</v>
      </c>
      <c r="C591" s="2">
        <f t="shared" ca="1" si="0"/>
        <v>27</v>
      </c>
      <c r="D591" t="str">
        <f t="shared" ca="1" si="8"/>
        <v xml:space="preserve">Gouveia, L. e Gouveia, J. </v>
      </c>
      <c r="E591" t="str">
        <f t="shared" ca="1" si="1"/>
        <v>2002</v>
      </c>
      <c r="F591" t="str">
        <f t="shared" ca="1" si="2"/>
        <v xml:space="preserve"> *As cidades digitais e o Gaia Digital*. </v>
      </c>
      <c r="G591" s="3">
        <f t="shared" ca="1" si="3"/>
        <v>32</v>
      </c>
      <c r="H591" s="2">
        <f t="shared" ca="1" si="4"/>
        <v>73</v>
      </c>
      <c r="I591" t="e">
        <f t="shared" ca="1" si="5"/>
        <v>#VALUE!</v>
      </c>
      <c r="J591" s="3" t="e">
        <f t="shared" ca="1" si="9"/>
        <v>#VALUE!</v>
      </c>
      <c r="K591" t="str">
        <f t="shared" ca="1" si="6"/>
        <v xml:space="preserve">Gouveia, L. e Gouveia, J. </v>
      </c>
      <c r="L591" t="str">
        <f t="shared" ca="1" si="7"/>
        <v xml:space="preserve">Quental, C. </v>
      </c>
    </row>
    <row r="592" spans="1:12" ht="15.75" customHeight="1">
      <c r="A592">
        <f ca="1">IFERROR(__xludf.DUMMYFUNCTION("""COMPUTED_VALUE"""),10)</f>
        <v>10</v>
      </c>
      <c r="B592" t="str">
        <f ca="1">IFERROR(__xludf.DUMMYFUNCTION("""COMPUTED_VALUE"""),"Gouveia, L. (2002). *Competências críticas para a Sociedade da Informação e 
do conhecimento*. Excesso de Informação. UFP, Janeiro.
texto [ pdf ]")</f>
        <v>Gouveia, L. (2002). *Competências críticas para a Sociedade da Informação e 
do conhecimento*. Excesso de Informação. UFP, Janeiro.
texto [ pdf ]</v>
      </c>
      <c r="C592" s="2">
        <f t="shared" ca="1" si="0"/>
        <v>13</v>
      </c>
      <c r="D592" t="str">
        <f t="shared" ca="1" si="8"/>
        <v xml:space="preserve">Gouveia, L. </v>
      </c>
      <c r="E592" t="str">
        <f t="shared" ca="1" si="1"/>
        <v>2002</v>
      </c>
      <c r="F592" t="str">
        <f t="shared" ca="1" si="2"/>
        <v xml:space="preserve"> *Competências críticas para a Sociedade da Informação e 
do conhecimento*. </v>
      </c>
      <c r="G592" s="3">
        <f t="shared" ca="1" si="3"/>
        <v>18</v>
      </c>
      <c r="H592" s="2">
        <f t="shared" ca="1" si="4"/>
        <v>94</v>
      </c>
      <c r="I592" t="e">
        <f t="shared" ca="1" si="5"/>
        <v>#VALUE!</v>
      </c>
      <c r="J592" s="3" t="e">
        <f t="shared" ca="1" si="9"/>
        <v>#VALUE!</v>
      </c>
      <c r="K592" t="str">
        <f t="shared" ca="1" si="6"/>
        <v xml:space="preserve">Gouveia, L. </v>
      </c>
      <c r="L592" t="str">
        <f t="shared" ca="1" si="7"/>
        <v xml:space="preserve">Quental, C. </v>
      </c>
    </row>
    <row r="593" spans="1:12" ht="15.75" customHeight="1">
      <c r="A593">
        <f ca="1">IFERROR(__xludf.DUMMYFUNCTION("""COMPUTED_VALUE"""),9)</f>
        <v>9</v>
      </c>
      <c r="B593" t="str">
        <f ca="1">IFERROR(__xludf.DUMMYFUNCTION("""COMPUTED_VALUE"""),"Gouveia, L. (2001). *Tecnologias de Informação. Perspectivas tecnológica, 
produtos e serviços e de gestão*. UFP, Outubro.
texto [ pdf ]")</f>
        <v>Gouveia, L. (2001). *Tecnologias de Informação. Perspectivas tecnológica, 
produtos e serviços e de gestão*. UFP, Outubro.
texto [ pdf ]</v>
      </c>
      <c r="C593" s="2">
        <f t="shared" ca="1" si="0"/>
        <v>13</v>
      </c>
      <c r="D593" t="str">
        <f t="shared" ca="1" si="8"/>
        <v xml:space="preserve">Gouveia, L. </v>
      </c>
      <c r="E593" t="str">
        <f t="shared" ca="1" si="1"/>
        <v>2001</v>
      </c>
      <c r="F593" t="str">
        <f t="shared" ca="1" si="2"/>
        <v xml:space="preserve"> *Tecnologias de Informação. </v>
      </c>
      <c r="G593" s="3">
        <f t="shared" ca="1" si="3"/>
        <v>18</v>
      </c>
      <c r="H593" s="2">
        <f t="shared" ca="1" si="4"/>
        <v>47</v>
      </c>
      <c r="I593" t="e">
        <f t="shared" ca="1" si="5"/>
        <v>#VALUE!</v>
      </c>
      <c r="J593" s="3" t="e">
        <f t="shared" ca="1" si="9"/>
        <v>#VALUE!</v>
      </c>
      <c r="K593" t="str">
        <f t="shared" ca="1" si="6"/>
        <v xml:space="preserve">Gouveia, L. </v>
      </c>
      <c r="L593" t="str">
        <f t="shared" ca="1" si="7"/>
        <v xml:space="preserve">Quental, C. </v>
      </c>
    </row>
    <row r="594" spans="1:12" ht="15.75" customHeight="1">
      <c r="A594">
        <f ca="1">IFERROR(__xludf.DUMMYFUNCTION("""COMPUTED_VALUE"""),8)</f>
        <v>8</v>
      </c>
      <c r="B594" t="str">
        <f ca="1">IFERROR(__xludf.DUMMYFUNCTION("""COMPUTED_VALUE"""),"Gouveia, L. (1998). *In**ternet - a emergência do novo social*. UFP, 
Fevereiro.
Adaptação para Web de texto de Agosto de 1996.
texto [ HTML ]")</f>
        <v>Gouveia, L. (1998). *In**ternet - a emergência do novo social*. UFP, 
Fevereiro.
Adaptação para Web de texto de Agosto de 1996.
texto [ HTML ]</v>
      </c>
      <c r="C594" s="2">
        <f t="shared" ca="1" si="0"/>
        <v>13</v>
      </c>
      <c r="D594" t="str">
        <f t="shared" ca="1" si="8"/>
        <v xml:space="preserve">Gouveia, L. </v>
      </c>
      <c r="E594" t="str">
        <f t="shared" ca="1" si="1"/>
        <v>1998</v>
      </c>
      <c r="F594" t="str">
        <f t="shared" ca="1" si="2"/>
        <v xml:space="preserve"> *In**ternet - a emergência do novo social*. </v>
      </c>
      <c r="G594" s="3">
        <f t="shared" ca="1" si="3"/>
        <v>18</v>
      </c>
      <c r="H594" s="2">
        <f t="shared" ca="1" si="4"/>
        <v>63</v>
      </c>
      <c r="I594" t="e">
        <f t="shared" ca="1" si="5"/>
        <v>#VALUE!</v>
      </c>
      <c r="J594" s="3" t="e">
        <f t="shared" ca="1" si="9"/>
        <v>#VALUE!</v>
      </c>
      <c r="K594" t="str">
        <f t="shared" ca="1" si="6"/>
        <v xml:space="preserve">Gouveia, L. </v>
      </c>
      <c r="L594" t="str">
        <f t="shared" ca="1" si="7"/>
        <v xml:space="preserve">Quental, C. </v>
      </c>
    </row>
    <row r="595" spans="1:12" ht="15.75" customHeight="1">
      <c r="A595">
        <f ca="1">IFERROR(__xludf.DUMMYFUNCTION("""COMPUTED_VALUE"""),7)</f>
        <v>7</v>
      </c>
      <c r="B595" t="str">
        <f ca="1">IFERROR(__xludf.DUMMYFUNCTION("""COMPUTED_VALUE"""),"Gouveia, L. (1998). *A humanização das Tecnologias de Informação*. UFP, 
Fevereiro.
texto [ HTML ]")</f>
        <v>Gouveia, L. (1998). *A humanização das Tecnologias de Informação*. UFP, 
Fevereiro.
texto [ HTML ]</v>
      </c>
      <c r="C595" s="2">
        <f t="shared" ca="1" si="0"/>
        <v>13</v>
      </c>
      <c r="D595" t="str">
        <f t="shared" ca="1" si="8"/>
        <v xml:space="preserve">Gouveia, L. </v>
      </c>
      <c r="E595" t="str">
        <f t="shared" ca="1" si="1"/>
        <v>1998</v>
      </c>
      <c r="F595" t="str">
        <f t="shared" ca="1" si="2"/>
        <v xml:space="preserve"> *A humanização das Tecnologias de Informação*. </v>
      </c>
      <c r="G595" s="3">
        <f t="shared" ca="1" si="3"/>
        <v>18</v>
      </c>
      <c r="H595" s="2">
        <f t="shared" ca="1" si="4"/>
        <v>66</v>
      </c>
      <c r="I595" t="e">
        <f t="shared" ca="1" si="5"/>
        <v>#VALUE!</v>
      </c>
      <c r="J595" s="3" t="e">
        <f t="shared" ca="1" si="9"/>
        <v>#VALUE!</v>
      </c>
      <c r="K595" t="str">
        <f t="shared" ca="1" si="6"/>
        <v xml:space="preserve">Gouveia, L. </v>
      </c>
      <c r="L595" t="str">
        <f t="shared" ca="1" si="7"/>
        <v xml:space="preserve">Quental, C. </v>
      </c>
    </row>
    <row r="596" spans="1:12" ht="15.75" customHeight="1">
      <c r="A596">
        <f ca="1">IFERROR(__xludf.DUMMYFUNCTION("""COMPUTED_VALUE"""),6)</f>
        <v>6</v>
      </c>
      <c r="B596" t="str">
        <f ca="1">IFERROR(__xludf.DUMMYFUNCTION("""COMPUTED_VALUE"""),"Gouveia, L. (1997). *A Internet, oportunidade ou ameaça ao Professor?* 
Artigo aceite para a Revista do Departamento de Ciências da Administração 
da UFP. Porto, Dezembro. 
texto [ HTML ]")</f>
        <v>Gouveia, L. (1997). *A Internet, oportunidade ou ameaça ao Professor?* 
Artigo aceite para a Revista do Departamento de Ciências da Administração 
da UFP. Porto, Dezembro. 
texto [ HTML ]</v>
      </c>
      <c r="C596" s="2">
        <f t="shared" ca="1" si="0"/>
        <v>13</v>
      </c>
      <c r="D596" t="str">
        <f t="shared" ca="1" si="8"/>
        <v xml:space="preserve">Gouveia, L. </v>
      </c>
      <c r="E596" t="str">
        <f t="shared" ca="1" si="1"/>
        <v>1997</v>
      </c>
      <c r="F596" t="str">
        <f t="shared" ca="1" si="2"/>
        <v xml:space="preserve"> *A Internet, oportunidade ou ameaça ao Professor?* 
Artigo aceite para a Revista do Departamento de Ciências da Administração 
da UFP. </v>
      </c>
      <c r="G596" s="3">
        <f t="shared" ca="1" si="3"/>
        <v>18</v>
      </c>
      <c r="H596" s="2">
        <f t="shared" ca="1" si="4"/>
        <v>154</v>
      </c>
      <c r="I596" t="e">
        <f t="shared" ca="1" si="5"/>
        <v>#VALUE!</v>
      </c>
      <c r="J596" s="3" t="e">
        <f t="shared" ca="1" si="9"/>
        <v>#VALUE!</v>
      </c>
      <c r="K596" t="str">
        <f t="shared" ca="1" si="6"/>
        <v xml:space="preserve">Gouveia, L. </v>
      </c>
      <c r="L596" t="str">
        <f t="shared" ca="1" si="7"/>
        <v xml:space="preserve">Quental, C. </v>
      </c>
    </row>
    <row r="597" spans="1:12" ht="15.75" customHeight="1">
      <c r="A597">
        <f ca="1">IFERROR(__xludf.DUMMYFUNCTION("""COMPUTED_VALUE"""),5)</f>
        <v>5</v>
      </c>
      <c r="B597" t="str">
        <f ca="1">IFERROR(__xludf.DUMMYFUNCTION("""COMPUTED_VALUE"""),"Gouveia, L. (1997). *O projecto, a gestão de projectos e o Gestor de 
Projectos*. UFP, Maio de 1997.
texto [ HTML ]")</f>
        <v>Gouveia, L. (1997). *O projecto, a gestão de projectos e o Gestor de 
Projectos*. UFP, Maio de 1997.
texto [ HTML ]</v>
      </c>
      <c r="C597" s="2">
        <f t="shared" ca="1" si="0"/>
        <v>13</v>
      </c>
      <c r="D597" t="str">
        <f t="shared" ca="1" si="8"/>
        <v xml:space="preserve">Gouveia, L. </v>
      </c>
      <c r="E597" t="str">
        <f t="shared" ca="1" si="1"/>
        <v>1997</v>
      </c>
      <c r="F597" t="str">
        <f t="shared" ca="1" si="2"/>
        <v xml:space="preserve"> *O projecto, a gestão de projectos e o Gestor de 
Projectos*. </v>
      </c>
      <c r="G597" s="3">
        <f t="shared" ca="1" si="3"/>
        <v>18</v>
      </c>
      <c r="H597" s="2">
        <f t="shared" ca="1" si="4"/>
        <v>81</v>
      </c>
      <c r="I597" t="e">
        <f t="shared" ca="1" si="5"/>
        <v>#VALUE!</v>
      </c>
      <c r="J597" s="3" t="e">
        <f t="shared" ca="1" si="9"/>
        <v>#VALUE!</v>
      </c>
      <c r="K597" t="str">
        <f t="shared" ca="1" si="6"/>
        <v xml:space="preserve">Gouveia, L. </v>
      </c>
      <c r="L597" t="str">
        <f t="shared" ca="1" si="7"/>
        <v xml:space="preserve">Quental, C. </v>
      </c>
    </row>
    <row r="598" spans="1:12" ht="15.75" customHeight="1">
      <c r="A598">
        <f ca="1">IFERROR(__xludf.DUMMYFUNCTION("""COMPUTED_VALUE"""),4)</f>
        <v>4</v>
      </c>
      <c r="B598" t="str">
        <f ca="1">IFERROR(__xludf.DUMMYFUNCTION("""COMPUTED_VALUE"""),"Gouveia, L. (1997). A redacção de documentos científicos, dicas para a 
escrita de textos de relatórios e monografia. UFP, Abril.
texto [ HTML ]")</f>
        <v>Gouveia, L. (1997). A redacção de documentos científicos, dicas para a 
escrita de textos de relatórios e monografia. UFP, Abril.
texto [ HTML ]</v>
      </c>
      <c r="C598" s="2">
        <f t="shared" ca="1" si="0"/>
        <v>13</v>
      </c>
      <c r="D598" t="str">
        <f t="shared" ca="1" si="8"/>
        <v xml:space="preserve">Gouveia, L. </v>
      </c>
      <c r="E598" t="str">
        <f t="shared" ca="1" si="1"/>
        <v>1997</v>
      </c>
      <c r="F598" t="str">
        <f t="shared" ca="1" si="2"/>
        <v xml:space="preserve"> A redacção de documentos científicos, dicas para a 
escrita de textos de relatórios e monografia. </v>
      </c>
      <c r="G598" s="3">
        <f t="shared" ca="1" si="3"/>
        <v>18</v>
      </c>
      <c r="H598" s="2">
        <f t="shared" ca="1" si="4"/>
        <v>117</v>
      </c>
      <c r="I598" t="e">
        <f t="shared" ca="1" si="5"/>
        <v>#VALUE!</v>
      </c>
      <c r="J598" s="3" t="e">
        <f t="shared" ca="1" si="9"/>
        <v>#VALUE!</v>
      </c>
      <c r="K598" t="str">
        <f t="shared" ca="1" si="6"/>
        <v xml:space="preserve">Gouveia, L. </v>
      </c>
      <c r="L598" t="str">
        <f t="shared" ca="1" si="7"/>
        <v xml:space="preserve">Quental, C. </v>
      </c>
    </row>
    <row r="599" spans="1:12" ht="15.75" customHeight="1">
      <c r="A599">
        <f ca="1">IFERROR(__xludf.DUMMYFUNCTION("""COMPUTED_VALUE"""),3)</f>
        <v>3</v>
      </c>
      <c r="B599" t="str">
        <f ca="1">IFERROR(__xludf.DUMMYFUNCTION("""COMPUTED_VALUE"""),"Gouveia, L. (1996). *E agora, vou ter de escrever!* UFP, Dezembro.
texto [ HTML ]")</f>
        <v>Gouveia, L. (1996). *E agora, vou ter de escrever!* UFP, Dezembro.
texto [ HTML ]</v>
      </c>
      <c r="C599" s="2">
        <f t="shared" ca="1" si="0"/>
        <v>13</v>
      </c>
      <c r="D599" t="str">
        <f t="shared" ca="1" si="8"/>
        <v xml:space="preserve">Gouveia, L. </v>
      </c>
      <c r="E599" t="str">
        <f t="shared" ca="1" si="1"/>
        <v>1996</v>
      </c>
      <c r="F599" t="str">
        <f t="shared" ca="1" si="2"/>
        <v xml:space="preserve"> *E agora, vou ter de escrever!* UFP, Dezembro.
</v>
      </c>
      <c r="G599" s="3">
        <f t="shared" ca="1" si="3"/>
        <v>18</v>
      </c>
      <c r="H599" s="2">
        <f t="shared" ca="1" si="4"/>
        <v>66</v>
      </c>
      <c r="I599" t="e">
        <f t="shared" ca="1" si="5"/>
        <v>#VALUE!</v>
      </c>
      <c r="J599" s="3" t="e">
        <f t="shared" ca="1" si="9"/>
        <v>#VALUE!</v>
      </c>
      <c r="K599" t="str">
        <f t="shared" ca="1" si="6"/>
        <v xml:space="preserve">Gouveia, L. </v>
      </c>
      <c r="L599" t="str">
        <f t="shared" ca="1" si="7"/>
        <v xml:space="preserve">Quental, C. </v>
      </c>
    </row>
    <row r="600" spans="1:12" ht="15.75" customHeight="1">
      <c r="A600">
        <f ca="1">IFERROR(__xludf.DUMMYFUNCTION("""COMPUTED_VALUE"""),2)</f>
        <v>2</v>
      </c>
      <c r="B600" t="str">
        <f ca="1">IFERROR(__xludf.DUMMYFUNCTION("""COMPUTED_VALUE"""),"Gouveia, L. (1991). *O Videotex: um serviço actual? Seminário Sobre Ética e 
Carreira Informática. Revista do 2º seminário ALIUP. Fórum da Maia, 25 e 26 
de Outubro, pp 8-9.*  
texto [ pdf ]")</f>
        <v>Gouveia, L. (1991). *O Videotex: um serviço actual? Seminário Sobre Ética e 
Carreira Informática. Revista do 2º seminário ALIUP. Fórum da Maia, 25 e 26 
de Outubro, pp 8-9.*  
texto [ pdf ]</v>
      </c>
      <c r="C600" s="2">
        <f t="shared" ca="1" si="0"/>
        <v>13</v>
      </c>
      <c r="D600" t="str">
        <f t="shared" ca="1" si="8"/>
        <v xml:space="preserve">Gouveia, L. </v>
      </c>
      <c r="E600" t="str">
        <f t="shared" ca="1" si="1"/>
        <v>1991</v>
      </c>
      <c r="F600" t="str">
        <f t="shared" ca="1" si="2"/>
        <v xml:space="preserve"> *O Videotex: um serviço actual? Seminário Sobre Ética e 
Carreira Informática. </v>
      </c>
      <c r="G600" s="3">
        <f t="shared" ca="1" si="3"/>
        <v>18</v>
      </c>
      <c r="H600" s="2">
        <f t="shared" ca="1" si="4"/>
        <v>98</v>
      </c>
      <c r="I600" t="e">
        <f t="shared" ca="1" si="5"/>
        <v>#VALUE!</v>
      </c>
      <c r="J600" s="3" t="e">
        <f t="shared" ca="1" si="9"/>
        <v>#VALUE!</v>
      </c>
      <c r="K600" t="str">
        <f t="shared" ca="1" si="6"/>
        <v xml:space="preserve">Gouveia, L. </v>
      </c>
      <c r="L600" t="str">
        <f t="shared" ca="1" si="7"/>
        <v xml:space="preserve">Quental, C. </v>
      </c>
    </row>
    <row r="601" spans="1:12" ht="15.75" customHeight="1">
      <c r="A601">
        <f ca="1">IFERROR(__xludf.DUMMYFUNCTION("""COMPUTED_VALUE"""),1)</f>
        <v>1</v>
      </c>
      <c r="B601" t="str">
        <f ca="1">IFERROR(__xludf.DUMMYFUNCTION("""COMPUTED_VALUE"""),"Gouveia, L. (1989). *Um testemunho.* Artigo publicado em Janeiro de 1989, 
na Revista Mensal de Informática ""O Computador"", nº4.
texto [ pdf ]")</f>
        <v>Gouveia, L. (1989). *Um testemunho.* Artigo publicado em Janeiro de 1989, 
na Revista Mensal de Informática "O Computador", nº4.
texto [ pdf ]</v>
      </c>
      <c r="C601" s="2">
        <f t="shared" ca="1" si="0"/>
        <v>13</v>
      </c>
      <c r="D601" t="str">
        <f t="shared" ca="1" si="8"/>
        <v xml:space="preserve">Gouveia, L. </v>
      </c>
      <c r="E601" t="str">
        <f t="shared" ca="1" si="1"/>
        <v>1989</v>
      </c>
      <c r="F601" t="str">
        <f t="shared" ca="1" si="2"/>
        <v xml:space="preserve"> *Um testemunho.*</v>
      </c>
      <c r="G601" s="3">
        <f t="shared" ca="1" si="3"/>
        <v>18</v>
      </c>
      <c r="H601" s="2">
        <f t="shared" ca="1" si="4"/>
        <v>35</v>
      </c>
      <c r="I601" t="e">
        <f t="shared" ca="1" si="5"/>
        <v>#VALUE!</v>
      </c>
      <c r="J601" s="3" t="e">
        <f t="shared" ca="1" si="9"/>
        <v>#VALUE!</v>
      </c>
      <c r="K601" t="str">
        <f t="shared" ca="1" si="6"/>
        <v xml:space="preserve">Gouveia, L. </v>
      </c>
      <c r="L601" t="str">
        <f t="shared" ca="1" si="7"/>
        <v xml:space="preserve">Quental, C. </v>
      </c>
    </row>
    <row r="602" spans="1:12" ht="15.75" customHeight="1">
      <c r="A602" t="str">
        <f ca="1">IFERROR(__xludf.DUMMYFUNCTION("""COMPUTED_VALUE"""),"_________")</f>
        <v>_________</v>
      </c>
      <c r="B602" t="str">
        <f ca="1">IFERROR(__xludf.DUMMYFUNCTION("""COMPUTED_VALUE"""),"palestras, entrevistas e vídeos / talks, interviews and video content")</f>
        <v>palestras, entrevistas e vídeos / talks, interviews and video content</v>
      </c>
      <c r="C602" s="2" t="e">
        <f t="shared" ca="1" si="0"/>
        <v>#VALUE!</v>
      </c>
      <c r="D602" t="e">
        <f t="shared" ca="1" si="8"/>
        <v>#VALUE!</v>
      </c>
      <c r="E602" t="e">
        <f t="shared" ca="1" si="1"/>
        <v>#VALUE!</v>
      </c>
      <c r="F602" t="e">
        <f t="shared" ca="1" si="2"/>
        <v>#VALUE!</v>
      </c>
      <c r="G602" s="3" t="e">
        <f t="shared" ca="1" si="3"/>
        <v>#VALUE!</v>
      </c>
      <c r="H602" s="2" t="e">
        <f t="shared" ca="1" si="4"/>
        <v>#VALUE!</v>
      </c>
      <c r="I602" t="e">
        <f t="shared" ca="1" si="5"/>
        <v>#VALUE!</v>
      </c>
      <c r="J602" s="3" t="e">
        <f t="shared" ca="1" si="9"/>
        <v>#VALUE!</v>
      </c>
      <c r="K602" t="e">
        <f t="shared" ca="1" si="6"/>
        <v>#VALUE!</v>
      </c>
      <c r="L602" t="str">
        <f t="shared" ca="1" si="7"/>
        <v xml:space="preserve">Quental, C. </v>
      </c>
    </row>
    <row r="603" spans="1:12" ht="15.75" customHeight="1">
      <c r="A603">
        <f ca="1">IFERROR(__xludf.DUMMYFUNCTION("""COMPUTED_VALUE"""),10)</f>
        <v>10</v>
      </c>
      <c r="B603" t="str">
        <f ca="1">IFERROR(__xludf.DUMMYFUNCTION("""COMPUTED_VALUE"""),"Gouveia, L. (2007). Entrevista sobre o Blogue pessoal (lmbg.blogspot.com). 
Programa X-Blog. 2ª Parte. Invicta TV. Porto. Outubro.
Video [ youtube (9:33) ]")</f>
        <v>Gouveia, L. (2007). Entrevista sobre o Blogue pessoal (lmbg.blogspot.com). 
Programa X-Blog. 2ª Parte. Invicta TV. Porto. Outubro.
Video [ youtube (9:33) ]</v>
      </c>
      <c r="C603" s="2">
        <f t="shared" ca="1" si="0"/>
        <v>13</v>
      </c>
      <c r="D603" t="str">
        <f t="shared" ca="1" si="8"/>
        <v xml:space="preserve">Gouveia, L. </v>
      </c>
      <c r="E603" t="str">
        <f t="shared" ca="1" si="1"/>
        <v>2007</v>
      </c>
      <c r="F603" t="str">
        <f t="shared" ca="1" si="2"/>
        <v xml:space="preserve"> Entrevista sobre o Blogue pessoal (lmbg.b</v>
      </c>
      <c r="G603" s="3">
        <f t="shared" ca="1" si="3"/>
        <v>18</v>
      </c>
      <c r="H603" s="2">
        <f t="shared" ca="1" si="4"/>
        <v>60</v>
      </c>
      <c r="I603" t="str">
        <f t="shared" ca="1" si="5"/>
        <v>logspot.com).</v>
      </c>
      <c r="J603" s="3">
        <f t="shared" ca="1" si="9"/>
        <v>73</v>
      </c>
      <c r="K603" t="str">
        <f t="shared" ca="1" si="6"/>
        <v xml:space="preserve">Gouveia, L. </v>
      </c>
      <c r="L603" t="str">
        <f t="shared" ca="1" si="7"/>
        <v xml:space="preserve">Quental, C. </v>
      </c>
    </row>
    <row r="604" spans="1:12" ht="15.75" customHeight="1">
      <c r="A604">
        <f ca="1">IFERROR(__xludf.DUMMYFUNCTION("""COMPUTED_VALUE"""),9)</f>
        <v>9</v>
      </c>
      <c r="B604" t="str">
        <f ca="1">IFERROR(__xludf.DUMMYFUNCTION("""COMPUTED_VALUE"""),"Gouveia, L. (2007). *Do território digital à governação de pessoas e do 
conhecimento*. 1ª Jornadas de Informática - Administração Digital. Escola 
Superior de Tecnologia. Câmara Municipal de Barcelos. 30 de Março.
texto [ pdf (43KB) ]")</f>
        <v>Gouveia, L. (2007). *Do território digital à governação de pessoas e do 
conhecimento*. 1ª Jornadas de Informática - Administração Digital. Escola 
Superior de Tecnologia. Câmara Municipal de Barcelos. 30 de Março.
texto [ pdf (43KB) ]</v>
      </c>
      <c r="C604" s="2">
        <f t="shared" ca="1" si="0"/>
        <v>13</v>
      </c>
      <c r="D604" t="str">
        <f t="shared" ca="1" si="8"/>
        <v xml:space="preserve">Gouveia, L. </v>
      </c>
      <c r="E604" t="str">
        <f t="shared" ca="1" si="1"/>
        <v>2007</v>
      </c>
      <c r="F604" t="str">
        <f t="shared" ca="1" si="2"/>
        <v xml:space="preserve"> *Do território digital à governação de pessoas e do 
conhecimento*. </v>
      </c>
      <c r="G604" s="3">
        <f t="shared" ca="1" si="3"/>
        <v>18</v>
      </c>
      <c r="H604" s="2">
        <f t="shared" ca="1" si="4"/>
        <v>87</v>
      </c>
      <c r="I604" t="e">
        <f t="shared" ca="1" si="5"/>
        <v>#VALUE!</v>
      </c>
      <c r="J604" s="3" t="e">
        <f t="shared" ca="1" si="9"/>
        <v>#VALUE!</v>
      </c>
      <c r="K604" t="str">
        <f t="shared" ca="1" si="6"/>
        <v xml:space="preserve">Gouveia, L. </v>
      </c>
      <c r="L604" t="str">
        <f t="shared" ca="1" si="7"/>
        <v xml:space="preserve">Quental, C. </v>
      </c>
    </row>
    <row r="605" spans="1:12" ht="15.75" customHeight="1">
      <c r="A605">
        <f ca="1">IFERROR(__xludf.DUMMYFUNCTION("""COMPUTED_VALUE"""),8)</f>
        <v>8</v>
      </c>
      <c r="B605" t="str">
        <f ca="1">IFERROR(__xludf.DUMMYFUNCTION("""COMPUTED_VALUE"""),"Gouveia, L. (2006). *Entrevista de opinião sobre o plano tecnológico*. 
Revista Media XXI. Ano X, n85, pp 26-28.
texto [ pdf (20KB)]")</f>
        <v>Gouveia, L. (2006). *Entrevista de opinião sobre o plano tecnológico*. 
Revista Media XXI. Ano X, n85, pp 26-28.
texto [ pdf (20KB)]</v>
      </c>
      <c r="C605" s="2">
        <f t="shared" ca="1" si="0"/>
        <v>13</v>
      </c>
      <c r="D605" t="str">
        <f t="shared" ca="1" si="8"/>
        <v xml:space="preserve">Gouveia, L. </v>
      </c>
      <c r="E605" t="str">
        <f t="shared" ca="1" si="1"/>
        <v>2006</v>
      </c>
      <c r="F605" t="str">
        <f t="shared" ca="1" si="2"/>
        <v xml:space="preserve"> *Entrevista de opinião sobre o plano tecnológico*. </v>
      </c>
      <c r="G605" s="3">
        <f t="shared" ca="1" si="3"/>
        <v>18</v>
      </c>
      <c r="H605" s="2">
        <f t="shared" ca="1" si="4"/>
        <v>70</v>
      </c>
      <c r="I605" t="e">
        <f t="shared" ca="1" si="5"/>
        <v>#VALUE!</v>
      </c>
      <c r="J605" s="3" t="e">
        <f t="shared" ca="1" si="9"/>
        <v>#VALUE!</v>
      </c>
      <c r="K605" t="str">
        <f t="shared" ca="1" si="6"/>
        <v xml:space="preserve">Gouveia, L. </v>
      </c>
      <c r="L605" t="str">
        <f t="shared" ca="1" si="7"/>
        <v xml:space="preserve">Quental, C. </v>
      </c>
    </row>
    <row r="606" spans="1:12" ht="15.75" customHeight="1">
      <c r="A606">
        <f ca="1">IFERROR(__xludf.DUMMYFUNCTION("""COMPUTED_VALUE"""),7)</f>
        <v>7</v>
      </c>
      <c r="B606" t="str">
        <f ca="1">IFERROR(__xludf.DUMMYFUNCTION("""COMPUTED_VALUE"""),"Gouveia, L. (2005). *Comemorando o décimo ano de funcionamento das páginas 
LMBG na World Wide Web*. Fevereiro.
apresentação [ pdf ]")</f>
        <v>Gouveia, L. (2005). *Comemorando o décimo ano de funcionamento das páginas 
LMBG na World Wide Web*. Fevereiro.
apresentação [ pdf ]</v>
      </c>
      <c r="C606" s="2">
        <f t="shared" ca="1" si="0"/>
        <v>13</v>
      </c>
      <c r="D606" t="str">
        <f t="shared" ca="1" si="8"/>
        <v xml:space="preserve">Gouveia, L. </v>
      </c>
      <c r="E606" t="str">
        <f t="shared" ca="1" si="1"/>
        <v>2005</v>
      </c>
      <c r="F606" t="str">
        <f t="shared" ca="1" si="2"/>
        <v xml:space="preserve"> *Comemorando o décimo ano de funcionamento das páginas 
LMBG na World Wide Web*. </v>
      </c>
      <c r="G606" s="3">
        <f t="shared" ca="1" si="3"/>
        <v>18</v>
      </c>
      <c r="H606" s="2">
        <f t="shared" ca="1" si="4"/>
        <v>100</v>
      </c>
      <c r="I606" t="e">
        <f t="shared" ca="1" si="5"/>
        <v>#VALUE!</v>
      </c>
      <c r="J606" s="3" t="e">
        <f t="shared" ca="1" si="9"/>
        <v>#VALUE!</v>
      </c>
      <c r="K606" t="str">
        <f t="shared" ca="1" si="6"/>
        <v xml:space="preserve">Gouveia, L. </v>
      </c>
      <c r="L606" t="str">
        <f t="shared" ca="1" si="7"/>
        <v xml:space="preserve">Quental, C. </v>
      </c>
    </row>
    <row r="607" spans="1:12" ht="15.75" customHeight="1">
      <c r="A607">
        <f ca="1">IFERROR(__xludf.DUMMYFUNCTION("""COMPUTED_VALUE"""),6)</f>
        <v>6</v>
      </c>
      <c r="B607" t="str">
        <f ca="1">IFERROR(__xludf.DUMMYFUNCTION("""COMPUTED_VALUE"""),"Gouveia, L. (2004). *Entrevista sobre o projecto Gaia Global*. Revista 
e-Ciência. Grupo T-Media. nº29, 27 de Maio.
texto [ pdf ]")</f>
        <v>Gouveia, L. (2004). *Entrevista sobre o projecto Gaia Global*. Revista 
e-Ciência. Grupo T-Media. nº29, 27 de Maio.
texto [ pdf ]</v>
      </c>
      <c r="C607" s="2">
        <f t="shared" ca="1" si="0"/>
        <v>13</v>
      </c>
      <c r="D607" t="str">
        <f t="shared" ca="1" si="8"/>
        <v xml:space="preserve">Gouveia, L. </v>
      </c>
      <c r="E607" t="str">
        <f t="shared" ca="1" si="1"/>
        <v>2004</v>
      </c>
      <c r="F607" t="str">
        <f t="shared" ca="1" si="2"/>
        <v xml:space="preserve"> *Entrevista sobre o projecto Gaia Global*. </v>
      </c>
      <c r="G607" s="3">
        <f t="shared" ca="1" si="3"/>
        <v>18</v>
      </c>
      <c r="H607" s="2">
        <f t="shared" ca="1" si="4"/>
        <v>62</v>
      </c>
      <c r="I607" t="e">
        <f t="shared" ca="1" si="5"/>
        <v>#VALUE!</v>
      </c>
      <c r="J607" s="3" t="e">
        <f t="shared" ca="1" si="9"/>
        <v>#VALUE!</v>
      </c>
      <c r="K607" t="str">
        <f t="shared" ca="1" si="6"/>
        <v xml:space="preserve">Gouveia, L. </v>
      </c>
      <c r="L607" t="str">
        <f t="shared" ca="1" si="7"/>
        <v xml:space="preserve">Quental, C. </v>
      </c>
    </row>
    <row r="608" spans="1:12" ht="15.75" customHeight="1">
      <c r="A608">
        <f ca="1">IFERROR(__xludf.DUMMYFUNCTION("""COMPUTED_VALUE"""),5)</f>
        <v>5</v>
      </c>
      <c r="B608" t="str">
        <f ca="1">IFERROR(__xludf.DUMMYFUNCTION("""COMPUTED_VALUE"""),"Gouveia, L. (2002). *Ensinar a aprender, ensinar e aprender. Competências 
para a Sociedade da  Informação e do Conhecimento.* Seminário Interacto. 
Centro Multimeios de Espinho, Espinho, 9-10 de Maio.
paper [ pdf (17KB)]")</f>
        <v>Gouveia, L. (2002). *Ensinar a aprender, ensinar e aprender. Competências 
para a Sociedade da  Informação e do Conhecimento.* Seminário Interacto. 
Centro Multimeios de Espinho, Espinho, 9-10 de Maio.
paper [ pdf (17KB)]</v>
      </c>
      <c r="C608" s="2">
        <f t="shared" ca="1" si="0"/>
        <v>13</v>
      </c>
      <c r="D608" t="str">
        <f t="shared" ca="1" si="8"/>
        <v xml:space="preserve">Gouveia, L. </v>
      </c>
      <c r="E608" t="str">
        <f t="shared" ca="1" si="1"/>
        <v>2002</v>
      </c>
      <c r="F608" t="str">
        <f t="shared" ca="1" si="2"/>
        <v xml:space="preserve"> *Ensinar a aprender, ensinar e aprender. </v>
      </c>
      <c r="G608" s="3">
        <f t="shared" ca="1" si="3"/>
        <v>18</v>
      </c>
      <c r="H608" s="2">
        <f t="shared" ca="1" si="4"/>
        <v>60</v>
      </c>
      <c r="I608" t="e">
        <f t="shared" ca="1" si="5"/>
        <v>#VALUE!</v>
      </c>
      <c r="J608" s="3" t="e">
        <f t="shared" ca="1" si="9"/>
        <v>#VALUE!</v>
      </c>
      <c r="K608" t="str">
        <f t="shared" ca="1" si="6"/>
        <v xml:space="preserve">Gouveia, L. </v>
      </c>
      <c r="L608" t="str">
        <f t="shared" ca="1" si="7"/>
        <v xml:space="preserve">Quental, C. </v>
      </c>
    </row>
    <row r="609" spans="1:12" ht="15.75" customHeight="1">
      <c r="A609">
        <f ca="1">IFERROR(__xludf.DUMMYFUNCTION("""COMPUTED_VALUE"""),4)</f>
        <v>4</v>
      </c>
      <c r="B609" t="str">
        <f ca="1">IFERROR(__xludf.DUMMYFUNCTION("""COMPUTED_VALUE"""),"Gouveia, L. (2001) *E-learning: o conceito EFTWeb*. Evento Microsoft.net. 
Anfiteatro do IETA. Universidade de Aveiro, Aveiro, 25 de Maio.
texto: [ pdf (203KB) ]")</f>
        <v>Gouveia, L. (2001) *E-learning: o conceito EFTWeb*. Evento Microsoft.net. 
Anfiteatro do IETA. Universidade de Aveiro, Aveiro, 25 de Maio.
texto: [ pdf (203KB) ]</v>
      </c>
      <c r="C609" s="2">
        <f t="shared" ca="1" si="0"/>
        <v>13</v>
      </c>
      <c r="D609" t="str">
        <f t="shared" ca="1" si="8"/>
        <v xml:space="preserve">Gouveia, L. </v>
      </c>
      <c r="E609" t="str">
        <f t="shared" ca="1" si="1"/>
        <v>2001</v>
      </c>
      <c r="F609" t="e">
        <f t="shared" ca="1" si="2"/>
        <v>#VALUE!</v>
      </c>
      <c r="G609" s="3" t="e">
        <f t="shared" ca="1" si="3"/>
        <v>#VALUE!</v>
      </c>
      <c r="H609" s="2" t="e">
        <f t="shared" ca="1" si="4"/>
        <v>#VALUE!</v>
      </c>
      <c r="I609" t="e">
        <f t="shared" ca="1" si="5"/>
        <v>#VALUE!</v>
      </c>
      <c r="J609" s="3" t="e">
        <f t="shared" ca="1" si="9"/>
        <v>#VALUE!</v>
      </c>
      <c r="K609" t="str">
        <f t="shared" ca="1" si="6"/>
        <v xml:space="preserve">Gouveia, L. </v>
      </c>
      <c r="L609" t="str">
        <f t="shared" ca="1" si="7"/>
        <v xml:space="preserve">Quental, C. </v>
      </c>
    </row>
    <row r="610" spans="1:12" ht="15.75" customHeight="1">
      <c r="A610">
        <f ca="1">IFERROR(__xludf.DUMMYFUNCTION("""COMPUTED_VALUE"""),3)</f>
        <v>3</v>
      </c>
      <c r="B610" t="str">
        <f ca="1">IFERROR(__xludf.DUMMYFUNCTION("""COMPUTED_VALUE"""),"Gouveia, L. (2001) *Está na altura de rever o que ensinamos e como 
aprendemos*. Conferência As Tic. Multimédia na Educação. Integrado no 
evento 2001 Odisseia Multimédia.  Forum da Maia, Maia, 26 de Abril.
texto: [ pdf (53KB) ]")</f>
        <v>Gouveia, L. (2001) *Está na altura de rever o que ensinamos e como 
aprendemos*. Conferência As Tic. Multimédia na Educação. Integrado no 
evento 2001 Odisseia Multimédia.  Forum da Maia, Maia, 26 de Abril.
texto: [ pdf (53KB) ]</v>
      </c>
      <c r="C610" s="2">
        <f t="shared" ca="1" si="0"/>
        <v>13</v>
      </c>
      <c r="D610" t="str">
        <f t="shared" ca="1" si="8"/>
        <v xml:space="preserve">Gouveia, L. </v>
      </c>
      <c r="E610" t="str">
        <f t="shared" ca="1" si="1"/>
        <v>2001</v>
      </c>
      <c r="F610" t="e">
        <f t="shared" ca="1" si="2"/>
        <v>#VALUE!</v>
      </c>
      <c r="G610" s="3" t="e">
        <f t="shared" ca="1" si="3"/>
        <v>#VALUE!</v>
      </c>
      <c r="H610" s="2" t="e">
        <f t="shared" ca="1" si="4"/>
        <v>#VALUE!</v>
      </c>
      <c r="I610" t="e">
        <f t="shared" ca="1" si="5"/>
        <v>#VALUE!</v>
      </c>
      <c r="J610" s="3" t="e">
        <f t="shared" ca="1" si="9"/>
        <v>#VALUE!</v>
      </c>
      <c r="K610" t="str">
        <f t="shared" ca="1" si="6"/>
        <v xml:space="preserve">Gouveia, L. </v>
      </c>
      <c r="L610" t="str">
        <f t="shared" ca="1" si="7"/>
        <v xml:space="preserve">Quental, C. </v>
      </c>
    </row>
    <row r="611" spans="1:12" ht="15.75" customHeight="1">
      <c r="A611">
        <f ca="1">IFERROR(__xludf.DUMMYFUNCTION("""COMPUTED_VALUE"""),2)</f>
        <v>2</v>
      </c>
      <c r="B611" t="str">
        <f ca="1">IFERROR(__xludf.DUMMYFUNCTION("""COMPUTED_VALUE"""),"Gouveia, L. (2000). *Eu, Nós e o Valor da diferença*. Painel sobre a 
Sociedade da Informação. 9º Jornadas ESPE. Hotel Praia Golfe, ESPE. 
Espinho, 18-19 de Maio.
texto: [ pdf (38KB) ]")</f>
        <v>Gouveia, L. (2000). *Eu, Nós e o Valor da diferença*. Painel sobre a 
Sociedade da Informação. 9º Jornadas ESPE. Hotel Praia Golfe, ESPE. 
Espinho, 18-19 de Maio.
texto: [ pdf (38KB) ]</v>
      </c>
      <c r="C611" s="2">
        <f t="shared" ca="1" si="0"/>
        <v>13</v>
      </c>
      <c r="D611" t="str">
        <f t="shared" ca="1" si="8"/>
        <v xml:space="preserve">Gouveia, L. </v>
      </c>
      <c r="E611" t="str">
        <f t="shared" ca="1" si="1"/>
        <v>2000</v>
      </c>
      <c r="F611" t="str">
        <f t="shared" ca="1" si="2"/>
        <v xml:space="preserve"> *Eu, Nós e o Valor da diferença*. </v>
      </c>
      <c r="G611" s="3">
        <f t="shared" ca="1" si="3"/>
        <v>18</v>
      </c>
      <c r="H611" s="2">
        <f t="shared" ca="1" si="4"/>
        <v>53</v>
      </c>
      <c r="I611" t="e">
        <f t="shared" ca="1" si="5"/>
        <v>#VALUE!</v>
      </c>
      <c r="J611" s="3" t="e">
        <f t="shared" ca="1" si="9"/>
        <v>#VALUE!</v>
      </c>
      <c r="K611" t="str">
        <f t="shared" ca="1" si="6"/>
        <v xml:space="preserve">Gouveia, L. </v>
      </c>
      <c r="L611" t="str">
        <f t="shared" ca="1" si="7"/>
        <v xml:space="preserve">Quental, C. </v>
      </c>
    </row>
    <row r="612" spans="1:12" ht="15.75" customHeight="1">
      <c r="A612">
        <f ca="1">IFERROR(__xludf.DUMMYFUNCTION("""COMPUTED_VALUE"""),1)</f>
        <v>1</v>
      </c>
      <c r="B612" t="str">
        <f ca="1">IFERROR(__xludf.DUMMYFUNCTION("""COMPUTED_VALUE"""),"Gouveia, L. (1999). *Shared Visualisation and Virtual Environments for 
Co-operative Learning.* Postgrad'99 conference. Computing Department. 
Lancaster University. 24-25 May. 
poster [ gif(40KB) ]")</f>
        <v>Gouveia, L. (1999). *Shared Visualisation and Virtual Environments for 
Co-operative Learning.* Postgrad'99 conference. Computing Department. 
Lancaster University. 24-25 May. 
poster [ gif(40KB) ]</v>
      </c>
      <c r="C612" s="2">
        <f t="shared" ca="1" si="0"/>
        <v>13</v>
      </c>
      <c r="D612" t="str">
        <f t="shared" ca="1" si="8"/>
        <v xml:space="preserve">Gouveia, L. </v>
      </c>
      <c r="E612" t="str">
        <f t="shared" ca="1" si="1"/>
        <v>1999</v>
      </c>
      <c r="F612" t="str">
        <f t="shared" ca="1" si="2"/>
        <v xml:space="preserve"> *Shared Visualisation and Virtual Environments for 
Co-operative Learning.*</v>
      </c>
      <c r="G612" s="3">
        <f t="shared" ca="1" si="3"/>
        <v>18</v>
      </c>
      <c r="H612" s="2">
        <f t="shared" ca="1" si="4"/>
        <v>94</v>
      </c>
      <c r="I612" t="e">
        <f t="shared" ca="1" si="5"/>
        <v>#VALUE!</v>
      </c>
      <c r="J612" s="3" t="e">
        <f t="shared" ca="1" si="9"/>
        <v>#VALUE!</v>
      </c>
      <c r="K612" t="str">
        <f t="shared" ca="1" si="6"/>
        <v xml:space="preserve">Gouveia, L. </v>
      </c>
      <c r="L612" t="str">
        <f t="shared" ca="1" si="7"/>
        <v xml:space="preserve">Quental, C. </v>
      </c>
    </row>
    <row r="613" spans="1:12" ht="15.75" customHeight="1">
      <c r="A613" t="str">
        <f ca="1">IFERROR(__xludf.DUMMYFUNCTION("""COMPUTED_VALUE"""),"_________")</f>
        <v>_________</v>
      </c>
      <c r="B613" t="str">
        <f ca="1">IFERROR(__xludf.DUMMYFUNCTION("""COMPUTED_VALUE"""),"conteúdos pedagógicos / learning materials")</f>
        <v>conteúdos pedagógicos / learning materials</v>
      </c>
      <c r="C613" s="2" t="e">
        <f t="shared" ca="1" si="0"/>
        <v>#VALUE!</v>
      </c>
      <c r="D613" t="e">
        <f t="shared" ca="1" si="8"/>
        <v>#VALUE!</v>
      </c>
      <c r="E613" t="e">
        <f t="shared" ca="1" si="1"/>
        <v>#VALUE!</v>
      </c>
      <c r="F613" t="e">
        <f t="shared" ca="1" si="2"/>
        <v>#VALUE!</v>
      </c>
      <c r="G613" s="3" t="e">
        <f t="shared" ca="1" si="3"/>
        <v>#VALUE!</v>
      </c>
      <c r="H613" s="2" t="e">
        <f t="shared" ca="1" si="4"/>
        <v>#VALUE!</v>
      </c>
      <c r="I613" t="e">
        <f t="shared" ca="1" si="5"/>
        <v>#VALUE!</v>
      </c>
      <c r="J613" s="3" t="e">
        <f t="shared" ca="1" si="9"/>
        <v>#VALUE!</v>
      </c>
      <c r="K613" t="e">
        <f t="shared" ca="1" si="6"/>
        <v>#VALUE!</v>
      </c>
      <c r="L613" t="str">
        <f t="shared" ca="1" si="7"/>
        <v xml:space="preserve">Quental, C. </v>
      </c>
    </row>
    <row r="614" spans="1:12" ht="15.75" customHeight="1">
      <c r="A614">
        <f ca="1">IFERROR(__xludf.DUMMYFUNCTION("""COMPUTED_VALUE"""),50)</f>
        <v>50</v>
      </c>
      <c r="B614" t="str">
        <f ca="1">IFERROR(__xludf.DUMMYFUNCTION("""COMPUTED_VALUE"""),"Gouveia, L. (2017).  Notas e transparências sobre conceitos de Sistemas de 
Informação. Universidade Fernando Pessoa.  
[ handle ]")</f>
        <v>Gouveia, L. (2017).  Notas e transparências sobre conceitos de Sistemas de 
Informação. Universidade Fernando Pessoa.  
[ handle ]</v>
      </c>
      <c r="C614" s="2">
        <f t="shared" ca="1" si="0"/>
        <v>13</v>
      </c>
      <c r="D614" t="str">
        <f t="shared" ca="1" si="8"/>
        <v xml:space="preserve">Gouveia, L. </v>
      </c>
      <c r="E614" t="str">
        <f t="shared" ca="1" si="1"/>
        <v>2017</v>
      </c>
      <c r="F614" t="str">
        <f t="shared" ca="1" si="2"/>
        <v xml:space="preserve">  Notas e transparências sobre conceitos de Sistemas de 
Informação. </v>
      </c>
      <c r="G614" s="3">
        <f t="shared" ca="1" si="3"/>
        <v>18</v>
      </c>
      <c r="H614" s="2">
        <f t="shared" ca="1" si="4"/>
        <v>87</v>
      </c>
      <c r="I614" t="e">
        <f t="shared" ca="1" si="5"/>
        <v>#VALUE!</v>
      </c>
      <c r="J614" s="3" t="e">
        <f t="shared" ca="1" si="9"/>
        <v>#VALUE!</v>
      </c>
      <c r="K614" t="str">
        <f t="shared" ca="1" si="6"/>
        <v xml:space="preserve">Gouveia, L. </v>
      </c>
      <c r="L614" t="str">
        <f t="shared" ca="1" si="7"/>
        <v xml:space="preserve">Quental, C. </v>
      </c>
    </row>
    <row r="615" spans="1:12" ht="15.75" customHeight="1">
      <c r="A615">
        <f ca="1">IFERROR(__xludf.DUMMYFUNCTION("""COMPUTED_VALUE"""),49)</f>
        <v>49</v>
      </c>
      <c r="B615" t="str">
        <f ca="1">IFERROR(__xludf.DUMMYFUNCTION("""COMPUTED_VALUE"""),"Gouveia, L. (2017).  Notas e transparências sobre Tecnologias em Sistemas 
de Informação. Universidade Fernando Pessoa. 
[ handle ]")</f>
        <v>Gouveia, L. (2017).  Notas e transparências sobre Tecnologias em Sistemas 
de Informação. Universidade Fernando Pessoa. 
[ handle ]</v>
      </c>
      <c r="C615" s="2">
        <f t="shared" ca="1" si="0"/>
        <v>13</v>
      </c>
      <c r="D615" t="str">
        <f t="shared" ca="1" si="8"/>
        <v xml:space="preserve">Gouveia, L. </v>
      </c>
      <c r="E615" t="str">
        <f t="shared" ca="1" si="1"/>
        <v>2017</v>
      </c>
      <c r="F615" t="str">
        <f t="shared" ca="1" si="2"/>
        <v xml:space="preserve">  Notas e transparências sobre Tecnologias em Sistemas 
de Informação. </v>
      </c>
      <c r="G615" s="3">
        <f t="shared" ca="1" si="3"/>
        <v>18</v>
      </c>
      <c r="H615" s="2">
        <f t="shared" ca="1" si="4"/>
        <v>89</v>
      </c>
      <c r="I615" t="e">
        <f t="shared" ca="1" si="5"/>
        <v>#VALUE!</v>
      </c>
      <c r="J615" s="3" t="e">
        <f t="shared" ca="1" si="9"/>
        <v>#VALUE!</v>
      </c>
      <c r="K615" t="str">
        <f t="shared" ca="1" si="6"/>
        <v xml:space="preserve">Gouveia, L. </v>
      </c>
      <c r="L615" t="str">
        <f t="shared" ca="1" si="7"/>
        <v xml:space="preserve">Quental, C. </v>
      </c>
    </row>
    <row r="616" spans="1:12" ht="15.75" customHeight="1">
      <c r="A616">
        <f ca="1">IFERROR(__xludf.DUMMYFUNCTION("""COMPUTED_VALUE"""),48)</f>
        <v>48</v>
      </c>
      <c r="B616" t="str">
        <f ca="1">IFERROR(__xludf.DUMMYFUNCTION("""COMPUTED_VALUE"""),"Gouveia, L. (2017).  Sistemas de Informação para a Sociedade do 
Conhecimento: módulos 1 e 2, aulas práticas. Universidade Fernando Pessoa. 
[ handle ]")</f>
        <v>Gouveia, L. (2017).  Sistemas de Informação para a Sociedade do 
Conhecimento: módulos 1 e 2, aulas práticas. Universidade Fernando Pessoa. 
[ handle ]</v>
      </c>
      <c r="C616" s="2">
        <f t="shared" ca="1" si="0"/>
        <v>13</v>
      </c>
      <c r="D616" t="str">
        <f t="shared" ca="1" si="8"/>
        <v xml:space="preserve">Gouveia, L. </v>
      </c>
      <c r="E616" t="str">
        <f t="shared" ca="1" si="1"/>
        <v>2017</v>
      </c>
      <c r="F616" t="str">
        <f t="shared" ca="1" si="2"/>
        <v xml:space="preserve">  Sistemas de Informação para a Sociedade do 
Conhecimento: módulos 1 e 2, aulas práticas. </v>
      </c>
      <c r="G616" s="3">
        <f t="shared" ca="1" si="3"/>
        <v>18</v>
      </c>
      <c r="H616" s="2">
        <f t="shared" ca="1" si="4"/>
        <v>109</v>
      </c>
      <c r="I616" t="e">
        <f t="shared" ca="1" si="5"/>
        <v>#VALUE!</v>
      </c>
      <c r="J616" s="3" t="e">
        <f t="shared" ca="1" si="9"/>
        <v>#VALUE!</v>
      </c>
      <c r="K616" t="str">
        <f t="shared" ca="1" si="6"/>
        <v xml:space="preserve">Gouveia, L. </v>
      </c>
      <c r="L616" t="str">
        <f t="shared" ca="1" si="7"/>
        <v xml:space="preserve">Quental, C. </v>
      </c>
    </row>
    <row r="617" spans="1:12" ht="15.75" customHeight="1">
      <c r="A617">
        <f ca="1">IFERROR(__xludf.DUMMYFUNCTION("""COMPUTED_VALUE"""),47)</f>
        <v>47</v>
      </c>
      <c r="B617" t="str">
        <f ca="1">IFERROR(__xludf.DUMMYFUNCTION("""COMPUTED_VALUE"""),"Gouveia, L. (2017). *Gestão da Segurança da Informação*. Manual prático, 52 
páginas. Grupo *TRS, Tecnologia, Redes e Sociedade. Universidade Fernando 
Pessoa.
[ handle ]")</f>
        <v>Gouveia, L. (2017). *Gestão da Segurança da Informação*. Manual prático, 52 
páginas. Grupo *TRS, Tecnologia, Redes e Sociedade. Universidade Fernando 
Pessoa.
[ handle ]</v>
      </c>
      <c r="C617" s="2">
        <f t="shared" ca="1" si="0"/>
        <v>13</v>
      </c>
      <c r="D617" t="str">
        <f t="shared" ca="1" si="8"/>
        <v xml:space="preserve">Gouveia, L. </v>
      </c>
      <c r="E617" t="str">
        <f t="shared" ca="1" si="1"/>
        <v>2017</v>
      </c>
      <c r="F617" t="str">
        <f t="shared" ca="1" si="2"/>
        <v xml:space="preserve"> *Gestão da Segurança da Informação*. </v>
      </c>
      <c r="G617" s="3">
        <f t="shared" ca="1" si="3"/>
        <v>18</v>
      </c>
      <c r="H617" s="2">
        <f t="shared" ca="1" si="4"/>
        <v>56</v>
      </c>
      <c r="I617" t="e">
        <f t="shared" ca="1" si="5"/>
        <v>#VALUE!</v>
      </c>
      <c r="J617" s="3" t="e">
        <f t="shared" ca="1" si="9"/>
        <v>#VALUE!</v>
      </c>
      <c r="K617" t="str">
        <f t="shared" ca="1" si="6"/>
        <v xml:space="preserve">Gouveia, L. </v>
      </c>
      <c r="L617" t="str">
        <f t="shared" ca="1" si="7"/>
        <v xml:space="preserve">Quental, C. </v>
      </c>
    </row>
    <row r="618" spans="1:12" ht="15.75" customHeight="1">
      <c r="A618">
        <f ca="1">IFERROR(__xludf.DUMMYFUNCTION("""COMPUTED_VALUE"""),46)</f>
        <v>46</v>
      </c>
      <c r="B618" t="str">
        <f ca="1">IFERROR(__xludf.DUMMYFUNCTION("""COMPUTED_VALUE"""),"Gouveia, L. (2017). *Uma breve introdução ao R: Exploração prática e 
exercícios*. Manual prático, 68 páginas. Grupo *TRS, Tecnologia, Redes e 
Sociedade. Universidade Fernando Pessoa.
[ handle ]")</f>
        <v>Gouveia, L. (2017). *Uma breve introdução ao R: Exploração prática e 
exercícios*. Manual prático, 68 páginas. Grupo *TRS, Tecnologia, Redes e 
Sociedade. Universidade Fernando Pessoa.
[ handle ]</v>
      </c>
      <c r="C618" s="2">
        <f t="shared" ca="1" si="0"/>
        <v>13</v>
      </c>
      <c r="D618" t="str">
        <f t="shared" ca="1" si="8"/>
        <v xml:space="preserve">Gouveia, L. </v>
      </c>
      <c r="E618" t="str">
        <f t="shared" ca="1" si="1"/>
        <v>2017</v>
      </c>
      <c r="F618" t="str">
        <f t="shared" ca="1" si="2"/>
        <v xml:space="preserve"> *Uma breve introdução ao R: Exploração prática e 
exercícios*. </v>
      </c>
      <c r="G618" s="3">
        <f t="shared" ca="1" si="3"/>
        <v>18</v>
      </c>
      <c r="H618" s="2">
        <f t="shared" ca="1" si="4"/>
        <v>82</v>
      </c>
      <c r="I618" t="e">
        <f t="shared" ca="1" si="5"/>
        <v>#VALUE!</v>
      </c>
      <c r="J618" s="3" t="e">
        <f t="shared" ca="1" si="9"/>
        <v>#VALUE!</v>
      </c>
      <c r="K618" t="str">
        <f t="shared" ca="1" si="6"/>
        <v xml:space="preserve">Gouveia, L. </v>
      </c>
      <c r="L618" t="str">
        <f t="shared" ca="1" si="7"/>
        <v xml:space="preserve">Quental, C. </v>
      </c>
    </row>
    <row r="619" spans="1:12" ht="15.75" customHeight="1">
      <c r="A619">
        <f ca="1">IFERROR(__xludf.DUMMYFUNCTION("""COMPUTED_VALUE"""),45)</f>
        <v>45</v>
      </c>
      <c r="B619" t="str">
        <f ca="1">IFERROR(__xludf.DUMMYFUNCTION("""COMPUTED_VALUE"""),"Gouveia, L. (2015). Human Computer Interaction. Version 0.5 Main slides 
collection. University Fernando Pessoa. 299 slides.")</f>
        <v>Gouveia, L. (2015). Human Computer Interaction. Version 0.5 Main slides 
collection. University Fernando Pessoa. 299 slides.</v>
      </c>
      <c r="C619" s="2">
        <f t="shared" ca="1" si="0"/>
        <v>13</v>
      </c>
      <c r="D619" t="str">
        <f t="shared" ca="1" si="8"/>
        <v xml:space="preserve">Gouveia, L. </v>
      </c>
      <c r="E619" t="str">
        <f t="shared" ca="1" si="1"/>
        <v>2015</v>
      </c>
      <c r="F619" t="str">
        <f t="shared" ca="1" si="2"/>
        <v xml:space="preserve"> Human Computer Interaction. </v>
      </c>
      <c r="G619" s="3">
        <f t="shared" ca="1" si="3"/>
        <v>18</v>
      </c>
      <c r="H619" s="2">
        <f t="shared" ca="1" si="4"/>
        <v>47</v>
      </c>
      <c r="I619" t="e">
        <f t="shared" ca="1" si="5"/>
        <v>#VALUE!</v>
      </c>
      <c r="J619" s="3" t="e">
        <f t="shared" ca="1" si="9"/>
        <v>#VALUE!</v>
      </c>
      <c r="K619" t="str">
        <f t="shared" ca="1" si="6"/>
        <v xml:space="preserve">Gouveia, L. </v>
      </c>
      <c r="L619" t="str">
        <f t="shared" ca="1" si="7"/>
        <v xml:space="preserve">Quental, C. </v>
      </c>
    </row>
    <row r="620" spans="1:12" ht="15.75" customHeight="1">
      <c r="A620">
        <f ca="1">IFERROR(__xludf.DUMMYFUNCTION("""COMPUTED_VALUE"""),44)</f>
        <v>44</v>
      </c>
      <c r="B620" t="str">
        <f ca="1">IFERROR(__xludf.DUMMYFUNCTION("""COMPUTED_VALUE"""),"Gouveia, L. (2015). Arquivo Empresarial e Administrativo. Versão 2.5. 
Transparências sobre os conceitos de arquivística. Universidade Fernando 
Pessoa. 262 slides.")</f>
        <v>Gouveia, L. (2015). Arquivo Empresarial e Administrativo. Versão 2.5. 
Transparências sobre os conceitos de arquivística. Universidade Fernando 
Pessoa. 262 slides.</v>
      </c>
      <c r="C620" s="2">
        <f t="shared" ca="1" si="0"/>
        <v>13</v>
      </c>
      <c r="D620" t="str">
        <f t="shared" ca="1" si="8"/>
        <v xml:space="preserve">Gouveia, L. </v>
      </c>
      <c r="E620" t="str">
        <f t="shared" ca="1" si="1"/>
        <v>2015</v>
      </c>
      <c r="F620" t="str">
        <f t="shared" ca="1" si="2"/>
        <v xml:space="preserve"> Arquivo Empresarial e Administrativo. </v>
      </c>
      <c r="G620" s="3">
        <f t="shared" ca="1" si="3"/>
        <v>18</v>
      </c>
      <c r="H620" s="2">
        <f t="shared" ca="1" si="4"/>
        <v>57</v>
      </c>
      <c r="I620" t="e">
        <f t="shared" ca="1" si="5"/>
        <v>#VALUE!</v>
      </c>
      <c r="J620" s="3" t="e">
        <f t="shared" ca="1" si="9"/>
        <v>#VALUE!</v>
      </c>
      <c r="K620" t="str">
        <f t="shared" ca="1" si="6"/>
        <v xml:space="preserve">Gouveia, L. </v>
      </c>
      <c r="L620" t="str">
        <f t="shared" ca="1" si="7"/>
        <v xml:space="preserve">Quental, C. </v>
      </c>
    </row>
    <row r="621" spans="1:12" ht="15.75" customHeight="1">
      <c r="A621">
        <f ca="1">IFERROR(__xludf.DUMMYFUNCTION("""COMPUTED_VALUE"""),43)</f>
        <v>43</v>
      </c>
      <c r="B621" t="str">
        <f ca="1">IFERROR(__xludf.DUMMYFUNCTION("""COMPUTED_VALUE"""),"Gouveia, L. (2015). Knowledge Management in 20 slides. Version 2.01. 
University Fernando Pessoa. 21 slides.")</f>
        <v>Gouveia, L. (2015). Knowledge Management in 20 slides. Version 2.01. 
University Fernando Pessoa. 21 slides.</v>
      </c>
      <c r="C621" s="2">
        <f t="shared" ca="1" si="0"/>
        <v>13</v>
      </c>
      <c r="D621" t="str">
        <f t="shared" ca="1" si="8"/>
        <v xml:space="preserve">Gouveia, L. </v>
      </c>
      <c r="E621" t="str">
        <f t="shared" ca="1" si="1"/>
        <v>2015</v>
      </c>
      <c r="F621" t="str">
        <f t="shared" ca="1" si="2"/>
        <v xml:space="preserve"> Knowledge Management in 20 slides. </v>
      </c>
      <c r="G621" s="3">
        <f t="shared" ca="1" si="3"/>
        <v>18</v>
      </c>
      <c r="H621" s="2">
        <f t="shared" ca="1" si="4"/>
        <v>54</v>
      </c>
      <c r="I621" t="e">
        <f t="shared" ca="1" si="5"/>
        <v>#VALUE!</v>
      </c>
      <c r="J621" s="3" t="e">
        <f t="shared" ca="1" si="9"/>
        <v>#VALUE!</v>
      </c>
      <c r="K621" t="str">
        <f t="shared" ca="1" si="6"/>
        <v xml:space="preserve">Gouveia, L. </v>
      </c>
      <c r="L621" t="str">
        <f t="shared" ca="1" si="7"/>
        <v xml:space="preserve">Quental, C. </v>
      </c>
    </row>
    <row r="622" spans="1:12" ht="15.75" customHeight="1">
      <c r="A622">
        <f ca="1">IFERROR(__xludf.DUMMYFUNCTION("""COMPUTED_VALUE"""),42)</f>
        <v>42</v>
      </c>
      <c r="B622" t="str">
        <f ca="1">IFERROR(__xludf.DUMMYFUNCTION("""COMPUTED_VALUE"""),"Gouveia, L. (2015). Segurança da Informação e proteção de dados. Versão 
3.4. Universidade Fernando Pessoa. 374 slides.")</f>
        <v>Gouveia, L. (2015). Segurança da Informação e proteção de dados. Versão 
3.4. Universidade Fernando Pessoa. 374 slides.</v>
      </c>
      <c r="C622" s="2">
        <f t="shared" ca="1" si="0"/>
        <v>13</v>
      </c>
      <c r="D622" t="str">
        <f t="shared" ca="1" si="8"/>
        <v xml:space="preserve">Gouveia, L. </v>
      </c>
      <c r="E622" t="str">
        <f t="shared" ca="1" si="1"/>
        <v>2015</v>
      </c>
      <c r="F622" t="str">
        <f t="shared" ca="1" si="2"/>
        <v xml:space="preserve"> Segurança da Informação e proteção de dados. </v>
      </c>
      <c r="G622" s="3">
        <f t="shared" ca="1" si="3"/>
        <v>18</v>
      </c>
      <c r="H622" s="2">
        <f t="shared" ca="1" si="4"/>
        <v>64</v>
      </c>
      <c r="I622" t="e">
        <f t="shared" ca="1" si="5"/>
        <v>#VALUE!</v>
      </c>
      <c r="J622" s="3" t="e">
        <f t="shared" ca="1" si="9"/>
        <v>#VALUE!</v>
      </c>
      <c r="K622" t="str">
        <f t="shared" ca="1" si="6"/>
        <v xml:space="preserve">Gouveia, L. </v>
      </c>
      <c r="L622" t="str">
        <f t="shared" ca="1" si="7"/>
        <v xml:space="preserve">Quental, C. </v>
      </c>
    </row>
    <row r="623" spans="1:12" ht="15.75" customHeight="1">
      <c r="A623">
        <f ca="1">IFERROR(__xludf.DUMMYFUNCTION("""COMPUTED_VALUE"""),41)</f>
        <v>41</v>
      </c>
      <c r="B623" t="str">
        <f ca="1">IFERROR(__xludf.DUMMYFUNCTION("""COMPUTED_VALUE"""),"Gouveia, L. (2015). Análise de Sistemas: conceitos, módulo 1. Versão 3.05. 
Universidade Fernando Pessoa. 270 slides.")</f>
        <v>Gouveia, L. (2015). Análise de Sistemas: conceitos, módulo 1. Versão 3.05. 
Universidade Fernando Pessoa. 270 slides.</v>
      </c>
      <c r="C623" s="2">
        <f t="shared" ca="1" si="0"/>
        <v>13</v>
      </c>
      <c r="D623" t="str">
        <f t="shared" ca="1" si="8"/>
        <v xml:space="preserve">Gouveia, L. </v>
      </c>
      <c r="E623" t="str">
        <f t="shared" ca="1" si="1"/>
        <v>2015</v>
      </c>
      <c r="F623" t="str">
        <f t="shared" ca="1" si="2"/>
        <v xml:space="preserve"> Análise de Sistemas: conceitos, módulo 1. </v>
      </c>
      <c r="G623" s="3">
        <f t="shared" ca="1" si="3"/>
        <v>18</v>
      </c>
      <c r="H623" s="2">
        <f t="shared" ca="1" si="4"/>
        <v>61</v>
      </c>
      <c r="I623" t="e">
        <f t="shared" ca="1" si="5"/>
        <v>#VALUE!</v>
      </c>
      <c r="J623" s="3" t="e">
        <f t="shared" ca="1" si="9"/>
        <v>#VALUE!</v>
      </c>
      <c r="K623" t="str">
        <f t="shared" ca="1" si="6"/>
        <v xml:space="preserve">Gouveia, L. </v>
      </c>
      <c r="L623" t="str">
        <f t="shared" ca="1" si="7"/>
        <v xml:space="preserve">Quental, C. </v>
      </c>
    </row>
    <row r="624" spans="1:12" ht="15.75" customHeight="1">
      <c r="A624">
        <f ca="1">IFERROR(__xludf.DUMMYFUNCTION("""COMPUTED_VALUE"""),40)</f>
        <v>40</v>
      </c>
      <c r="B624" t="str">
        <f ca="1">IFERROR(__xludf.DUMMYFUNCTION("""COMPUTED_VALUE"""),"Gouveia, L. (2015). Análise de Sistemas: a abordagem estruturada, módulo 2. 
Versão 4. Universidade Fernando Pessoa. 192 slides.")</f>
        <v>Gouveia, L. (2015). Análise de Sistemas: a abordagem estruturada, módulo 2. 
Versão 4. Universidade Fernando Pessoa. 192 slides.</v>
      </c>
      <c r="C624" s="2">
        <f t="shared" ca="1" si="0"/>
        <v>13</v>
      </c>
      <c r="D624" t="str">
        <f t="shared" ca="1" si="8"/>
        <v xml:space="preserve">Gouveia, L. </v>
      </c>
      <c r="E624" t="str">
        <f t="shared" ca="1" si="1"/>
        <v>2015</v>
      </c>
      <c r="F624" t="str">
        <f t="shared" ca="1" si="2"/>
        <v xml:space="preserve"> Análise de Sistemas: a abordagem estruturada, módulo 2. </v>
      </c>
      <c r="G624" s="3">
        <f t="shared" ca="1" si="3"/>
        <v>18</v>
      </c>
      <c r="H624" s="2">
        <f t="shared" ca="1" si="4"/>
        <v>75</v>
      </c>
      <c r="I624" t="e">
        <f t="shared" ca="1" si="5"/>
        <v>#VALUE!</v>
      </c>
      <c r="J624" s="3" t="e">
        <f t="shared" ca="1" si="9"/>
        <v>#VALUE!</v>
      </c>
      <c r="K624" t="str">
        <f t="shared" ca="1" si="6"/>
        <v xml:space="preserve">Gouveia, L. </v>
      </c>
      <c r="L624" t="str">
        <f t="shared" ca="1" si="7"/>
        <v xml:space="preserve">Quental, C. </v>
      </c>
    </row>
    <row r="625" spans="1:12" ht="15.75" customHeight="1">
      <c r="A625">
        <f ca="1">IFERROR(__xludf.DUMMYFUNCTION("""COMPUTED_VALUE"""),39)</f>
        <v>39</v>
      </c>
      <c r="B625" t="str">
        <f ca="1">IFERROR(__xludf.DUMMYFUNCTION("""COMPUTED_VALUE"""),"Gouveia, L. (2015). Análise de Sistemas: a abordagem orientada aos objetos, 
módulo 3. Versão 3.8. Universidade Fernando Pessoa. 306 slides.")</f>
        <v>Gouveia, L. (2015). Análise de Sistemas: a abordagem orientada aos objetos, 
módulo 3. Versão 3.8. Universidade Fernando Pessoa. 306 slides.</v>
      </c>
      <c r="C625" s="2">
        <f t="shared" ca="1" si="0"/>
        <v>13</v>
      </c>
      <c r="D625" t="str">
        <f t="shared" ca="1" si="8"/>
        <v xml:space="preserve">Gouveia, L. </v>
      </c>
      <c r="E625" t="str">
        <f t="shared" ca="1" si="1"/>
        <v>2015</v>
      </c>
      <c r="F625" t="str">
        <f t="shared" ca="1" si="2"/>
        <v xml:space="preserve"> Análise de Sistemas: a abordagem orientada aos objetos, 
módulo 3. </v>
      </c>
      <c r="G625" s="3">
        <f t="shared" ca="1" si="3"/>
        <v>18</v>
      </c>
      <c r="H625" s="2">
        <f t="shared" ca="1" si="4"/>
        <v>86</v>
      </c>
      <c r="I625" t="e">
        <f t="shared" ca="1" si="5"/>
        <v>#VALUE!</v>
      </c>
      <c r="J625" s="3" t="e">
        <f t="shared" ca="1" si="9"/>
        <v>#VALUE!</v>
      </c>
      <c r="K625" t="str">
        <f t="shared" ca="1" si="6"/>
        <v xml:space="preserve">Gouveia, L. </v>
      </c>
      <c r="L625" t="str">
        <f t="shared" ca="1" si="7"/>
        <v xml:space="preserve">Quental, C. </v>
      </c>
    </row>
    <row r="626" spans="1:12" ht="15.75" customHeight="1">
      <c r="A626">
        <f ca="1">IFERROR(__xludf.DUMMYFUNCTION("""COMPUTED_VALUE"""),38)</f>
        <v>38</v>
      </c>
      <c r="B626" t="str">
        <f ca="1">IFERROR(__xludf.DUMMYFUNCTION("""COMPUTED_VALUE"""),"Gouveia, L. (2015). Análise de Sistemas: a abordagem SSM, módulo 4. Versão 
2.1. Universidade Fernando Pessoa. 86 slides.")</f>
        <v>Gouveia, L. (2015). Análise de Sistemas: a abordagem SSM, módulo 4. Versão 
2.1. Universidade Fernando Pessoa. 86 slides.</v>
      </c>
      <c r="C626" s="2">
        <f t="shared" ca="1" si="0"/>
        <v>13</v>
      </c>
      <c r="D626" t="str">
        <f t="shared" ca="1" si="8"/>
        <v xml:space="preserve">Gouveia, L. </v>
      </c>
      <c r="E626" t="str">
        <f t="shared" ca="1" si="1"/>
        <v>2015</v>
      </c>
      <c r="F626" t="str">
        <f t="shared" ca="1" si="2"/>
        <v xml:space="preserve"> Análise de Sistemas: a abordagem SSM, módulo 4. </v>
      </c>
      <c r="G626" s="3">
        <f t="shared" ca="1" si="3"/>
        <v>18</v>
      </c>
      <c r="H626" s="2">
        <f t="shared" ca="1" si="4"/>
        <v>67</v>
      </c>
      <c r="I626" t="e">
        <f t="shared" ca="1" si="5"/>
        <v>#VALUE!</v>
      </c>
      <c r="J626" s="3" t="e">
        <f t="shared" ca="1" si="9"/>
        <v>#VALUE!</v>
      </c>
      <c r="K626" t="str">
        <f t="shared" ca="1" si="6"/>
        <v xml:space="preserve">Gouveia, L. </v>
      </c>
      <c r="L626" t="str">
        <f t="shared" ca="1" si="7"/>
        <v xml:space="preserve">Quental, C. </v>
      </c>
    </row>
    <row r="627" spans="1:12" ht="15.75" customHeight="1">
      <c r="A627">
        <f ca="1">IFERROR(__xludf.DUMMYFUNCTION("""COMPUTED_VALUE"""),37)</f>
        <v>37</v>
      </c>
      <c r="B627" t="str">
        <f ca="1">IFERROR(__xludf.DUMMYFUNCTION("""COMPUTED_VALUE"""),"Gouveia, L. (2015). O que é a Ciência de Dados (data science). Discussão do 
conceito. Universidade Fernando Pessoa. Outubro. Porto.
[ apresentação ]")</f>
        <v>Gouveia, L. (2015). O que é a Ciência de Dados (data science). Discussão do 
conceito. Universidade Fernando Pessoa. Outubro. Porto.
[ apresentação ]</v>
      </c>
      <c r="C627" s="2">
        <f t="shared" ca="1" si="0"/>
        <v>13</v>
      </c>
      <c r="D627" t="str">
        <f t="shared" ca="1" si="8"/>
        <v xml:space="preserve">Gouveia, L. </v>
      </c>
      <c r="E627" t="str">
        <f t="shared" ca="1" si="1"/>
        <v>2015</v>
      </c>
      <c r="F627" t="str">
        <f t="shared" ca="1" si="2"/>
        <v xml:space="preserve"> O que é a Ciência de Dados (data science). </v>
      </c>
      <c r="G627" s="3">
        <f t="shared" ca="1" si="3"/>
        <v>18</v>
      </c>
      <c r="H627" s="2">
        <f t="shared" ca="1" si="4"/>
        <v>62</v>
      </c>
      <c r="I627" t="e">
        <f t="shared" ca="1" si="5"/>
        <v>#VALUE!</v>
      </c>
      <c r="J627" s="3" t="e">
        <f t="shared" ca="1" si="9"/>
        <v>#VALUE!</v>
      </c>
      <c r="K627" t="str">
        <f t="shared" ca="1" si="6"/>
        <v xml:space="preserve">Gouveia, L. </v>
      </c>
      <c r="L627" t="str">
        <f t="shared" ca="1" si="7"/>
        <v xml:space="preserve">Quental, C. </v>
      </c>
    </row>
    <row r="628" spans="1:12" ht="15.75" customHeight="1">
      <c r="A628">
        <f ca="1">IFERROR(__xludf.DUMMYFUNCTION("""COMPUTED_VALUE"""),36)</f>
        <v>36</v>
      </c>
      <c r="B628" t="str">
        <f ca="1">IFERROR(__xludf.DUMMYFUNCTION("""COMPUTED_VALUE"""),"Gouveia, L. (2014). *Segurança e redes sociais. Módulo 2 - Redes Sociais.* 
Elaboração de conteúdos para SeguraNet MOOC. 15 a 25 de Maio. Direção-Geral 
da Educação (DGE). Ministério da Educação e Ensino Superior.
[ recursos ]")</f>
        <v>Gouveia, L. (2014). *Segurança e redes sociais. Módulo 2 - Redes Sociais.* 
Elaboração de conteúdos para SeguraNet MOOC. 15 a 25 de Maio. Direção-Geral 
da Educação (DGE). Ministério da Educação e Ensino Superior.
[ recursos ]</v>
      </c>
      <c r="C628" s="2">
        <f t="shared" ca="1" si="0"/>
        <v>13</v>
      </c>
      <c r="D628" t="str">
        <f t="shared" ca="1" si="8"/>
        <v xml:space="preserve">Gouveia, L. </v>
      </c>
      <c r="E628" t="str">
        <f t="shared" ca="1" si="1"/>
        <v>2014</v>
      </c>
      <c r="F628" t="str">
        <f t="shared" ca="1" si="2"/>
        <v xml:space="preserve"> *Segurança e redes sociais. </v>
      </c>
      <c r="G628" s="3">
        <f t="shared" ca="1" si="3"/>
        <v>18</v>
      </c>
      <c r="H628" s="2">
        <f t="shared" ca="1" si="4"/>
        <v>47</v>
      </c>
      <c r="I628" t="str">
        <f t="shared" ca="1" si="5"/>
        <v>Módulo 2 - Redes Sociais.* 
Elaboração de conteúdos para SeguraNet MOOC. 15 a 25 de Maio. Direção-Geral 
da Educação (DGE).</v>
      </c>
      <c r="J628" s="3">
        <f t="shared" ca="1" si="9"/>
        <v>170</v>
      </c>
      <c r="K628" t="str">
        <f t="shared" ca="1" si="6"/>
        <v xml:space="preserve">Gouveia, L. </v>
      </c>
      <c r="L628" t="str">
        <f t="shared" ca="1" si="7"/>
        <v xml:space="preserve">Quental, C. </v>
      </c>
    </row>
    <row r="629" spans="1:12" ht="15.75" customHeight="1">
      <c r="A629">
        <f ca="1">IFERROR(__xludf.DUMMYFUNCTION("""COMPUTED_VALUE"""),35)</f>
        <v>35</v>
      </c>
      <c r="B629" t="str">
        <f ca="1">IFERROR(__xludf.DUMMYFUNCTION("""COMPUTED_VALUE"""),"Gouveia, L. (2006). *Transparências sobre Negócio Electrónico: conceitos e 
perspectivas de desenvolvimento*. Transparências - Colecção Negócio 
Electrónico. Dezembro de 2006. SPI - Principia.
transparências [ pdf (660KB) ]")</f>
        <v>Gouveia, L. (2006). *Transparências sobre Negócio Electrónico: conceitos e 
perspectivas de desenvolvimento*. Transparências - Colecção Negócio 
Electrónico. Dezembro de 2006. SPI - Principia.
transparências [ pdf (660KB) ]</v>
      </c>
      <c r="C629" s="2">
        <f t="shared" ca="1" si="0"/>
        <v>13</v>
      </c>
      <c r="D629" t="str">
        <f t="shared" ca="1" si="8"/>
        <v xml:space="preserve">Gouveia, L. </v>
      </c>
      <c r="E629" t="str">
        <f t="shared" ca="1" si="1"/>
        <v>2006</v>
      </c>
      <c r="F629" t="str">
        <f t="shared" ca="1" si="2"/>
        <v xml:space="preserve"> *Transparências sobre Negócio Electrónico: conceitos e 
perspectivas de desenvolvimento*. </v>
      </c>
      <c r="G629" s="3">
        <f t="shared" ca="1" si="3"/>
        <v>18</v>
      </c>
      <c r="H629" s="2">
        <f t="shared" ca="1" si="4"/>
        <v>109</v>
      </c>
      <c r="I629" t="e">
        <f t="shared" ca="1" si="5"/>
        <v>#VALUE!</v>
      </c>
      <c r="J629" s="3" t="e">
        <f t="shared" ca="1" si="9"/>
        <v>#VALUE!</v>
      </c>
      <c r="K629" t="str">
        <f t="shared" ca="1" si="6"/>
        <v xml:space="preserve">Gouveia, L. </v>
      </c>
      <c r="L629" t="str">
        <f t="shared" ca="1" si="7"/>
        <v xml:space="preserve">Quental, C. </v>
      </c>
    </row>
    <row r="630" spans="1:12" ht="15.75" customHeight="1">
      <c r="A630">
        <f ca="1">IFERROR(__xludf.DUMMYFUNCTION("""COMPUTED_VALUE"""),34)</f>
        <v>34</v>
      </c>
      <c r="B630" t="str">
        <f ca="1">IFERROR(__xludf.DUMMYFUNCTION("""COMPUTED_VALUE"""),"Gouveia, L. (2005). *Transparências sobre Local e-government: a governação 
digital na autarquia*. Transparências - Colecção Inovação e Governância nas 
autarquias. SPI.
transparências [ pdf (284KB) ]")</f>
        <v>Gouveia, L. (2005). *Transparências sobre Local e-government: a governação 
digital na autarquia*. Transparências - Colecção Inovação e Governância nas 
autarquias. SPI.
transparências [ pdf (284KB) ]</v>
      </c>
      <c r="C630" s="2">
        <f t="shared" ca="1" si="0"/>
        <v>13</v>
      </c>
      <c r="D630" t="str">
        <f t="shared" ca="1" si="8"/>
        <v xml:space="preserve">Gouveia, L. </v>
      </c>
      <c r="E630" t="str">
        <f t="shared" ca="1" si="1"/>
        <v>2005</v>
      </c>
      <c r="F630" t="str">
        <f t="shared" ca="1" si="2"/>
        <v xml:space="preserve"> *Transparências sobre Local e-government: a governação 
digital na autarquia*. </v>
      </c>
      <c r="G630" s="3">
        <f t="shared" ca="1" si="3"/>
        <v>18</v>
      </c>
      <c r="H630" s="2">
        <f t="shared" ca="1" si="4"/>
        <v>98</v>
      </c>
      <c r="I630" t="e">
        <f t="shared" ca="1" si="5"/>
        <v>#VALUE!</v>
      </c>
      <c r="J630" s="3" t="e">
        <f t="shared" ca="1" si="9"/>
        <v>#VALUE!</v>
      </c>
      <c r="K630" t="str">
        <f t="shared" ca="1" si="6"/>
        <v xml:space="preserve">Gouveia, L. </v>
      </c>
      <c r="L630" t="str">
        <f t="shared" ca="1" si="7"/>
        <v xml:space="preserve">Quental, C. </v>
      </c>
    </row>
    <row r="631" spans="1:12" ht="15.75" customHeight="1">
      <c r="A631">
        <f ca="1">IFERROR(__xludf.DUMMYFUNCTION("""COMPUTED_VALUE"""),33)</f>
        <v>33</v>
      </c>
      <c r="B631" t="str">
        <f ca="1">IFERROR(__xludf.DUMMYFUNCTION("""COMPUTED_VALUE"""),"Gouveia, L. (2005). *Transparências sobre Sistemas de Informação de Apoio à 
Decisão*. Transparências - Colecção Inovação e Governância nas autarquias. 
SPI.
transparências [ pdf (286KB) ]")</f>
        <v>Gouveia, L. (2005). *Transparências sobre Sistemas de Informação de Apoio à 
Decisão*. Transparências - Colecção Inovação e Governância nas autarquias. 
SPI.
transparências [ pdf (286KB) ]</v>
      </c>
      <c r="C631" s="2">
        <f t="shared" ca="1" si="0"/>
        <v>13</v>
      </c>
      <c r="D631" t="str">
        <f t="shared" ca="1" si="8"/>
        <v xml:space="preserve">Gouveia, L. </v>
      </c>
      <c r="E631" t="str">
        <f t="shared" ca="1" si="1"/>
        <v>2005</v>
      </c>
      <c r="F631" t="str">
        <f t="shared" ca="1" si="2"/>
        <v xml:space="preserve"> *Transparências sobre Sistemas de Informação de Apoio à 
Decisão*. </v>
      </c>
      <c r="G631" s="3">
        <f t="shared" ca="1" si="3"/>
        <v>18</v>
      </c>
      <c r="H631" s="2">
        <f t="shared" ca="1" si="4"/>
        <v>86</v>
      </c>
      <c r="I631" t="e">
        <f t="shared" ca="1" si="5"/>
        <v>#VALUE!</v>
      </c>
      <c r="J631" s="3" t="e">
        <f t="shared" ca="1" si="9"/>
        <v>#VALUE!</v>
      </c>
      <c r="K631" t="str">
        <f t="shared" ca="1" si="6"/>
        <v xml:space="preserve">Gouveia, L. </v>
      </c>
      <c r="L631" t="str">
        <f t="shared" ca="1" si="7"/>
        <v xml:space="preserve">Quental, C. </v>
      </c>
    </row>
    <row r="632" spans="1:12" ht="15.75" customHeight="1">
      <c r="A632">
        <f ca="1">IFERROR(__xludf.DUMMYFUNCTION("""COMPUTED_VALUE"""),32)</f>
        <v>32</v>
      </c>
      <c r="B632" t="str">
        <f ca="1">IFERROR(__xludf.DUMMYFUNCTION("""COMPUTED_VALUE"""),"Gouveia, L. (2005). *Sistemas de Informação para e-marketing e 
e-publicidade*. Compilação de textos. Março. Universidade Fernando Pessoa.")</f>
        <v>Gouveia, L. (2005). *Sistemas de Informação para e-marketing e 
e-publicidade*. Compilação de textos. Março. Universidade Fernando Pessoa.</v>
      </c>
      <c r="C632" s="2">
        <f t="shared" ca="1" si="0"/>
        <v>13</v>
      </c>
      <c r="D632" t="str">
        <f t="shared" ca="1" si="8"/>
        <v xml:space="preserve">Gouveia, L. </v>
      </c>
      <c r="E632" t="str">
        <f t="shared" ca="1" si="1"/>
        <v>2005</v>
      </c>
      <c r="F632" t="str">
        <f t="shared" ca="1" si="2"/>
        <v xml:space="preserve"> *Sistemas de Informação para e-marketing e 
e-publicidade*. </v>
      </c>
      <c r="G632" s="3">
        <f t="shared" ca="1" si="3"/>
        <v>18</v>
      </c>
      <c r="H632" s="2">
        <f t="shared" ca="1" si="4"/>
        <v>79</v>
      </c>
      <c r="I632" t="e">
        <f t="shared" ca="1" si="5"/>
        <v>#VALUE!</v>
      </c>
      <c r="J632" s="3" t="e">
        <f t="shared" ca="1" si="9"/>
        <v>#VALUE!</v>
      </c>
      <c r="K632" t="str">
        <f t="shared" ca="1" si="6"/>
        <v xml:space="preserve">Gouveia, L. </v>
      </c>
      <c r="L632" t="str">
        <f t="shared" ca="1" si="7"/>
        <v xml:space="preserve">Quental, C. </v>
      </c>
    </row>
    <row r="633" spans="1:12" ht="15.75" customHeight="1">
      <c r="A633">
        <f ca="1">IFERROR(__xludf.DUMMYFUNCTION("""COMPUTED_VALUE"""),31)</f>
        <v>31</v>
      </c>
      <c r="B633" t="str">
        <f ca="1">IFERROR(__xludf.DUMMYFUNCTION("""COMPUTED_VALUE"""),"Gouveia, L. (2004). *Sistemas de Informação para a Sociedade da Informação 
e do Conhecimento*. UFP, Janeiro.
apresentação [ pdf: módulos #1, #2, #3, #4 e #5 (*1998*) ]")</f>
        <v>Gouveia, L. (2004). *Sistemas de Informação para a Sociedade da Informação 
e do Conhecimento*. UFP, Janeiro.
apresentação [ pdf: módulos #1, #2, #3, #4 e #5 (*1998*) ]</v>
      </c>
      <c r="C633" s="2">
        <f t="shared" ca="1" si="0"/>
        <v>13</v>
      </c>
      <c r="D633" t="str">
        <f t="shared" ca="1" si="8"/>
        <v xml:space="preserve">Gouveia, L. </v>
      </c>
      <c r="E633" t="str">
        <f t="shared" ca="1" si="1"/>
        <v>2004</v>
      </c>
      <c r="F633" t="str">
        <f t="shared" ca="1" si="2"/>
        <v xml:space="preserve"> *Sistemas de Informação para a Sociedade da Informação 
e do Conhecimento*. </v>
      </c>
      <c r="G633" s="3">
        <f t="shared" ca="1" si="3"/>
        <v>18</v>
      </c>
      <c r="H633" s="2">
        <f t="shared" ca="1" si="4"/>
        <v>95</v>
      </c>
      <c r="I633" t="e">
        <f t="shared" ca="1" si="5"/>
        <v>#VALUE!</v>
      </c>
      <c r="J633" s="3" t="e">
        <f t="shared" ca="1" si="9"/>
        <v>#VALUE!</v>
      </c>
      <c r="K633" t="str">
        <f t="shared" ca="1" si="6"/>
        <v xml:space="preserve">Gouveia, L. </v>
      </c>
      <c r="L633" t="str">
        <f t="shared" ca="1" si="7"/>
        <v xml:space="preserve">Quental, C. </v>
      </c>
    </row>
    <row r="634" spans="1:12" ht="15.75" customHeight="1">
      <c r="A634">
        <f ca="1">IFERROR(__xludf.DUMMYFUNCTION("""COMPUTED_VALUE"""),30)</f>
        <v>30</v>
      </c>
      <c r="B634" t="str">
        <f ca="1">IFERROR(__xludf.DUMMYFUNCTION("""COMPUTED_VALUE"""),"Gouveia, L. (2003). *A Mobilidade no Gaia Global*. Câmara Municipal de 
Gaia, Energaia/POSI. Novembro.
brochura [ pdf (5MB) ]")</f>
        <v>Gouveia, L. (2003). *A Mobilidade no Gaia Global*. Câmara Municipal de 
Gaia, Energaia/POSI. Novembro.
brochura [ pdf (5MB) ]</v>
      </c>
      <c r="C634" s="2">
        <f t="shared" ca="1" si="0"/>
        <v>13</v>
      </c>
      <c r="D634" t="str">
        <f t="shared" ca="1" si="8"/>
        <v xml:space="preserve">Gouveia, L. </v>
      </c>
      <c r="E634" t="str">
        <f t="shared" ca="1" si="1"/>
        <v>2003</v>
      </c>
      <c r="F634" t="str">
        <f t="shared" ca="1" si="2"/>
        <v xml:space="preserve"> *A Mobilidade no Gaia Global*. </v>
      </c>
      <c r="G634" s="3">
        <f t="shared" ca="1" si="3"/>
        <v>18</v>
      </c>
      <c r="H634" s="2">
        <f t="shared" ca="1" si="4"/>
        <v>50</v>
      </c>
      <c r="I634" t="e">
        <f t="shared" ca="1" si="5"/>
        <v>#VALUE!</v>
      </c>
      <c r="J634" s="3" t="e">
        <f t="shared" ca="1" si="9"/>
        <v>#VALUE!</v>
      </c>
      <c r="K634" t="str">
        <f t="shared" ca="1" si="6"/>
        <v xml:space="preserve">Gouveia, L. </v>
      </c>
      <c r="L634" t="str">
        <f t="shared" ca="1" si="7"/>
        <v xml:space="preserve">Quental, C. </v>
      </c>
    </row>
    <row r="635" spans="1:12" ht="15.75" customHeight="1">
      <c r="A635">
        <f ca="1">IFERROR(__xludf.DUMMYFUNCTION("""COMPUTED_VALUE"""),29)</f>
        <v>29</v>
      </c>
      <c r="B635" t="str">
        <f ca="1">IFERROR(__xludf.DUMMYFUNCTION("""COMPUTED_VALUE"""),"Gouveia, L. (2003). *Apontamentos de Tecnologias de Informação e Sociedade*. 
Ciências da Comunicação. Universidade Fernando Pessoa. Porto, Novembro.")</f>
        <v>Gouveia, L. (2003). *Apontamentos de Tecnologias de Informação e Sociedade*. 
Ciências da Comunicação. Universidade Fernando Pessoa. Porto, Novembro.</v>
      </c>
      <c r="C635" s="2">
        <f t="shared" ca="1" si="0"/>
        <v>13</v>
      </c>
      <c r="D635" t="str">
        <f t="shared" ca="1" si="8"/>
        <v xml:space="preserve">Gouveia, L. </v>
      </c>
      <c r="E635" t="str">
        <f t="shared" ca="1" si="1"/>
        <v>2003</v>
      </c>
      <c r="F635" t="str">
        <f t="shared" ca="1" si="2"/>
        <v xml:space="preserve"> *Apontamentos de Tecnologias de Informação e Sociedade*. </v>
      </c>
      <c r="G635" s="3">
        <f t="shared" ca="1" si="3"/>
        <v>18</v>
      </c>
      <c r="H635" s="2">
        <f t="shared" ca="1" si="4"/>
        <v>76</v>
      </c>
      <c r="I635" t="e">
        <f t="shared" ca="1" si="5"/>
        <v>#VALUE!</v>
      </c>
      <c r="J635" s="3" t="e">
        <f t="shared" ca="1" si="9"/>
        <v>#VALUE!</v>
      </c>
      <c r="K635" t="str">
        <f t="shared" ca="1" si="6"/>
        <v xml:space="preserve">Gouveia, L. </v>
      </c>
      <c r="L635" t="str">
        <f t="shared" ca="1" si="7"/>
        <v xml:space="preserve">Quental, C. </v>
      </c>
    </row>
    <row r="636" spans="1:12" ht="15.75" customHeight="1">
      <c r="A636">
        <f ca="1">IFERROR(__xludf.DUMMYFUNCTION("""COMPUTED_VALUE"""),28)</f>
        <v>28</v>
      </c>
      <c r="B636" t="str">
        <f ca="1">IFERROR(__xludf.DUMMYFUNCTION("""COMPUTED_VALUE"""),"Gouveia, J. e Gouveia, L. e Xavier, J. (2003). *Gaia Global: o concelho de 
Gaia no digital. 1º ano de projecto. Conceitos e diferenciação*. Câmara 
Municipal de Gaia, Energaia/POSI. Maio.
brochura [ pdf (2.3MB) ]")</f>
        <v>Gouveia, J. e Gouveia, L. e Xavier, J. (2003). *Gaia Global: o concelho de 
Gaia no digital. 1º ano de projecto. Conceitos e diferenciação*. Câmara 
Municipal de Gaia, Energaia/POSI. Maio.
brochura [ pdf (2.3MB) ]</v>
      </c>
      <c r="C636" s="2">
        <f t="shared" ca="1" si="0"/>
        <v>40</v>
      </c>
      <c r="D636" t="str">
        <f t="shared" ca="1" si="8"/>
        <v xml:space="preserve">Gouveia, J. e Gouveia, L. e Xavier, J. </v>
      </c>
      <c r="E636" t="str">
        <f t="shared" ca="1" si="1"/>
        <v>2003</v>
      </c>
      <c r="F636" t="str">
        <f t="shared" ca="1" si="2"/>
        <v xml:space="preserve"> *Gaia Global: o concelho de 
Gaia no digital. </v>
      </c>
      <c r="G636" s="3">
        <f t="shared" ca="1" si="3"/>
        <v>45</v>
      </c>
      <c r="H636" s="2">
        <f t="shared" ca="1" si="4"/>
        <v>92</v>
      </c>
      <c r="I636" t="e">
        <f t="shared" ca="1" si="5"/>
        <v>#VALUE!</v>
      </c>
      <c r="J636" s="3" t="e">
        <f t="shared" ca="1" si="9"/>
        <v>#VALUE!</v>
      </c>
      <c r="K636" t="str">
        <f t="shared" ca="1" si="6"/>
        <v xml:space="preserve">Gouveia, J. e Gouveia, L. e Xavier, J. </v>
      </c>
      <c r="L636" t="str">
        <f t="shared" ca="1" si="7"/>
        <v xml:space="preserve">Quental, C. </v>
      </c>
    </row>
    <row r="637" spans="1:12" ht="15.75" customHeight="1">
      <c r="A637">
        <f ca="1">IFERROR(__xludf.DUMMYFUNCTION("""COMPUTED_VALUE"""),27)</f>
        <v>27</v>
      </c>
      <c r="B637" t="str">
        <f ca="1">IFERROR(__xludf.DUMMYFUNCTION("""COMPUTED_VALUE"""),"Gouveia, L. (2003). Notas complementares sobre Informática Aplicada. Pós-Graduação 
em Ciências da Informação e da Documentação. Universidade Fernando Pessoa. 
Porto, Abril.
texto [ pdf ]")</f>
        <v>Gouveia, L. (2003). Notas complementares sobre Informática Aplicada. Pós-Graduação 
em Ciências da Informação e da Documentação. Universidade Fernando Pessoa. 
Porto, Abril.
texto [ pdf ]</v>
      </c>
      <c r="C637" s="2">
        <f t="shared" ca="1" si="0"/>
        <v>13</v>
      </c>
      <c r="D637" t="str">
        <f t="shared" ca="1" si="8"/>
        <v xml:space="preserve">Gouveia, L. </v>
      </c>
      <c r="E637" t="str">
        <f t="shared" ca="1" si="1"/>
        <v>2003</v>
      </c>
      <c r="F637" t="str">
        <f t="shared" ca="1" si="2"/>
        <v xml:space="preserve"> Notas complementares sobre Informática Aplicada. </v>
      </c>
      <c r="G637" s="3">
        <f t="shared" ca="1" si="3"/>
        <v>18</v>
      </c>
      <c r="H637" s="2">
        <f t="shared" ca="1" si="4"/>
        <v>68</v>
      </c>
      <c r="I637" t="e">
        <f t="shared" ca="1" si="5"/>
        <v>#VALUE!</v>
      </c>
      <c r="J637" s="3" t="e">
        <f t="shared" ca="1" si="9"/>
        <v>#VALUE!</v>
      </c>
      <c r="K637" t="str">
        <f t="shared" ca="1" si="6"/>
        <v xml:space="preserve">Gouveia, L. </v>
      </c>
      <c r="L637" t="str">
        <f t="shared" ca="1" si="7"/>
        <v xml:space="preserve">Quental, C. </v>
      </c>
    </row>
    <row r="638" spans="1:12" ht="15.75" customHeight="1">
      <c r="A638">
        <f ca="1">IFERROR(__xludf.DUMMYFUNCTION("""COMPUTED_VALUE"""),26)</f>
        <v>26</v>
      </c>
      <c r="B638" t="str">
        <f ca="1">IFERROR(__xludf.DUMMYFUNCTION("""COMPUTED_VALUE"""),"Gouveia, L. (2003). *Complementos de Novas Tecnologias e Comunicação*. 
Mestrado de Ciências da Comunicação. Universidade Fernando Pessoa. Porto, 
Março.")</f>
        <v>Gouveia, L. (2003). *Complementos de Novas Tecnologias e Comunicação*. 
Mestrado de Ciências da Comunicação. Universidade Fernando Pessoa. Porto, 
Março.</v>
      </c>
      <c r="C638" s="2">
        <f t="shared" ca="1" si="0"/>
        <v>13</v>
      </c>
      <c r="D638" t="str">
        <f t="shared" ca="1" si="8"/>
        <v xml:space="preserve">Gouveia, L. </v>
      </c>
      <c r="E638" t="str">
        <f t="shared" ca="1" si="1"/>
        <v>2003</v>
      </c>
      <c r="F638" t="str">
        <f t="shared" ca="1" si="2"/>
        <v xml:space="preserve"> *Complementos de Novas Tecnologias e Comunicação*. </v>
      </c>
      <c r="G638" s="3">
        <f t="shared" ca="1" si="3"/>
        <v>18</v>
      </c>
      <c r="H638" s="2">
        <f t="shared" ca="1" si="4"/>
        <v>70</v>
      </c>
      <c r="I638" t="e">
        <f t="shared" ca="1" si="5"/>
        <v>#VALUE!</v>
      </c>
      <c r="J638" s="3" t="e">
        <f t="shared" ca="1" si="9"/>
        <v>#VALUE!</v>
      </c>
      <c r="K638" t="str">
        <f t="shared" ca="1" si="6"/>
        <v xml:space="preserve">Gouveia, L. </v>
      </c>
      <c r="L638" t="str">
        <f t="shared" ca="1" si="7"/>
        <v xml:space="preserve">Quental, C. </v>
      </c>
    </row>
    <row r="639" spans="1:12" ht="15.75" customHeight="1">
      <c r="A639">
        <f ca="1">IFERROR(__xludf.DUMMYFUNCTION("""COMPUTED_VALUE"""),25)</f>
        <v>25</v>
      </c>
      <c r="B639" t="str">
        <f ca="1">IFERROR(__xludf.DUMMYFUNCTION("""COMPUTED_VALUE"""),"Gouveia, L. (2003). *Apontamentos de Novas Tecnologias e Comunicação*. 
Mestrado de Ciências da Comunicação. Universidade Fernando Pessoa. Porto, 
Março.")</f>
        <v>Gouveia, L. (2003). *Apontamentos de Novas Tecnologias e Comunicação*. 
Mestrado de Ciências da Comunicação. Universidade Fernando Pessoa. Porto, 
Março.</v>
      </c>
      <c r="C639" s="2">
        <f t="shared" ca="1" si="0"/>
        <v>13</v>
      </c>
      <c r="D639" t="str">
        <f t="shared" ca="1" si="8"/>
        <v xml:space="preserve">Gouveia, L. </v>
      </c>
      <c r="E639" t="str">
        <f t="shared" ca="1" si="1"/>
        <v>2003</v>
      </c>
      <c r="F639" t="str">
        <f t="shared" ca="1" si="2"/>
        <v xml:space="preserve"> *Apontamentos de Novas Tecnologias e Comunicação*. </v>
      </c>
      <c r="G639" s="3">
        <f t="shared" ca="1" si="3"/>
        <v>18</v>
      </c>
      <c r="H639" s="2">
        <f t="shared" ca="1" si="4"/>
        <v>70</v>
      </c>
      <c r="I639" t="e">
        <f t="shared" ca="1" si="5"/>
        <v>#VALUE!</v>
      </c>
      <c r="J639" s="3" t="e">
        <f t="shared" ca="1" si="9"/>
        <v>#VALUE!</v>
      </c>
      <c r="K639" t="str">
        <f t="shared" ca="1" si="6"/>
        <v xml:space="preserve">Gouveia, L. </v>
      </c>
      <c r="L639" t="str">
        <f t="shared" ca="1" si="7"/>
        <v xml:space="preserve">Quental, C. </v>
      </c>
    </row>
    <row r="640" spans="1:12" ht="15.75" customHeight="1">
      <c r="A640">
        <f ca="1">IFERROR(__xludf.DUMMYFUNCTION("""COMPUTED_VALUE"""),24)</f>
        <v>24</v>
      </c>
      <c r="B640" t="str">
        <f ca="1">IFERROR(__xludf.DUMMYFUNCTION("""COMPUTED_VALUE"""),"Gouveia, L. (2002). *Exercícios práticos para Sistemas de Informação*. UFP. 
Março.
texto [ pdf ]")</f>
        <v>Gouveia, L. (2002). *Exercícios práticos para Sistemas de Informação*. UFP. 
Março.
texto [ pdf ]</v>
      </c>
      <c r="C640" s="2">
        <f t="shared" ca="1" si="0"/>
        <v>13</v>
      </c>
      <c r="D640" t="str">
        <f t="shared" ca="1" si="8"/>
        <v xml:space="preserve">Gouveia, L. </v>
      </c>
      <c r="E640" t="str">
        <f t="shared" ca="1" si="1"/>
        <v>2002</v>
      </c>
      <c r="F640" t="str">
        <f t="shared" ca="1" si="2"/>
        <v xml:space="preserve"> *Exercícios práticos para Sistemas de Informação*. </v>
      </c>
      <c r="G640" s="3">
        <f t="shared" ca="1" si="3"/>
        <v>18</v>
      </c>
      <c r="H640" s="2">
        <f t="shared" ca="1" si="4"/>
        <v>70</v>
      </c>
      <c r="I640" t="e">
        <f t="shared" ca="1" si="5"/>
        <v>#VALUE!</v>
      </c>
      <c r="J640" s="3" t="e">
        <f t="shared" ca="1" si="9"/>
        <v>#VALUE!</v>
      </c>
      <c r="K640" t="str">
        <f t="shared" ca="1" si="6"/>
        <v xml:space="preserve">Gouveia, L. </v>
      </c>
      <c r="L640" t="str">
        <f t="shared" ca="1" si="7"/>
        <v xml:space="preserve">Quental, C. </v>
      </c>
    </row>
    <row r="641" spans="1:12" ht="15.75" customHeight="1">
      <c r="A641">
        <f ca="1">IFERROR(__xludf.DUMMYFUNCTION("""COMPUTED_VALUE"""),23)</f>
        <v>23</v>
      </c>
      <c r="B641" t="str">
        <f ca="1">IFERROR(__xludf.DUMMYFUNCTION("""COMPUTED_VALUE"""),"Gouveia, L. (2000). *It's time to rethink the way we deal with information.* 
Accepted to the Millennial Science Essay Competition 2000. The Wellcome 
Trust and New Scientist. UK. 
text [ pdf(8,8KB)]")</f>
        <v>Gouveia, L. (2000). *It's time to rethink the way we deal with information.* 
Accepted to the Millennial Science Essay Competition 2000. The Wellcome 
Trust and New Scientist. UK. 
text [ pdf(8,8KB)]</v>
      </c>
      <c r="C641" s="2">
        <f t="shared" ca="1" si="0"/>
        <v>13</v>
      </c>
      <c r="D641" t="str">
        <f t="shared" ca="1" si="8"/>
        <v xml:space="preserve">Gouveia, L. </v>
      </c>
      <c r="E641" t="str">
        <f t="shared" ca="1" si="1"/>
        <v>2000</v>
      </c>
      <c r="F641" t="str">
        <f t="shared" ca="1" si="2"/>
        <v xml:space="preserve"> *It's time to rethink the way we deal with information.*</v>
      </c>
      <c r="G641" s="3">
        <f t="shared" ca="1" si="3"/>
        <v>18</v>
      </c>
      <c r="H641" s="2">
        <f t="shared" ca="1" si="4"/>
        <v>75</v>
      </c>
      <c r="I641" t="e">
        <f t="shared" ca="1" si="5"/>
        <v>#VALUE!</v>
      </c>
      <c r="J641" s="3" t="e">
        <f t="shared" ca="1" si="9"/>
        <v>#VALUE!</v>
      </c>
      <c r="K641" t="str">
        <f t="shared" ca="1" si="6"/>
        <v xml:space="preserve">Gouveia, L. </v>
      </c>
      <c r="L641" t="str">
        <f t="shared" ca="1" si="7"/>
        <v xml:space="preserve">Quental, C. </v>
      </c>
    </row>
    <row r="642" spans="1:12" ht="15.75" customHeight="1">
      <c r="A642">
        <f ca="1">IFERROR(__xludf.DUMMYFUNCTION("""COMPUTED_VALUE"""),22)</f>
        <v>22</v>
      </c>
      <c r="B642" t="str">
        <f ca="1">IFERROR(__xludf.DUMMYFUNCTION("""COMPUTED_VALUE"""),"Gouveia, L. (1999). *Apontamentos de Gestão de Informação,* versão 2.0. 
Reprografia da UFP. UFP, Outubro.")</f>
        <v>Gouveia, L. (1999). *Apontamentos de Gestão de Informação,* versão 2.0. 
Reprografia da UFP. UFP, Outubro.</v>
      </c>
      <c r="C642" s="2">
        <f t="shared" ca="1" si="0"/>
        <v>13</v>
      </c>
      <c r="D642" t="str">
        <f t="shared" ca="1" si="8"/>
        <v xml:space="preserve">Gouveia, L. </v>
      </c>
      <c r="E642" t="str">
        <f t="shared" ca="1" si="1"/>
        <v>1999</v>
      </c>
      <c r="F642" t="str">
        <f t="shared" ca="1" si="2"/>
        <v xml:space="preserve"> *Apontamentos de Gestão de Informação,* versão 2.0</v>
      </c>
      <c r="G642" s="3">
        <f t="shared" ca="1" si="3"/>
        <v>18</v>
      </c>
      <c r="H642" s="2">
        <f t="shared" ca="1" si="4"/>
        <v>69</v>
      </c>
      <c r="I642" t="e">
        <f t="shared" ca="1" si="5"/>
        <v>#VALUE!</v>
      </c>
      <c r="J642" s="3" t="e">
        <f t="shared" ca="1" si="9"/>
        <v>#VALUE!</v>
      </c>
      <c r="K642" t="str">
        <f t="shared" ca="1" si="6"/>
        <v xml:space="preserve">Gouveia, L. </v>
      </c>
      <c r="L642" t="str">
        <f t="shared" ca="1" si="7"/>
        <v xml:space="preserve">Quental, C. </v>
      </c>
    </row>
    <row r="643" spans="1:12" ht="15.75" customHeight="1">
      <c r="A643">
        <f ca="1">IFERROR(__xludf.DUMMYFUNCTION("""COMPUTED_VALUE"""),21)</f>
        <v>21</v>
      </c>
      <c r="B643" t="str">
        <f ca="1">IFERROR(__xludf.DUMMYFUNCTION("""COMPUTED_VALUE"""),"Gouveia, L. (1999). *Apontamentos de Media Interactivos.* UFP, Janeiro.
recursos [ pdf: intro, acetatos e texto ]")</f>
        <v>Gouveia, L. (1999). *Apontamentos de Media Interactivos.* UFP, Janeiro.
recursos [ pdf: intro, acetatos e texto ]</v>
      </c>
      <c r="C643" s="2">
        <f t="shared" ca="1" si="0"/>
        <v>13</v>
      </c>
      <c r="D643" t="str">
        <f t="shared" ca="1" si="8"/>
        <v xml:space="preserve">Gouveia, L. </v>
      </c>
      <c r="E643" t="str">
        <f t="shared" ca="1" si="1"/>
        <v>1999</v>
      </c>
      <c r="F643" t="str">
        <f t="shared" ca="1" si="2"/>
        <v xml:space="preserve"> *Apontamentos de Media Interactivos.*</v>
      </c>
      <c r="G643" s="3">
        <f t="shared" ca="1" si="3"/>
        <v>18</v>
      </c>
      <c r="H643" s="2">
        <f t="shared" ca="1" si="4"/>
        <v>56</v>
      </c>
      <c r="I643" t="e">
        <f t="shared" ca="1" si="5"/>
        <v>#VALUE!</v>
      </c>
      <c r="J643" s="3" t="e">
        <f t="shared" ca="1" si="9"/>
        <v>#VALUE!</v>
      </c>
      <c r="K643" t="str">
        <f t="shared" ca="1" si="6"/>
        <v xml:space="preserve">Gouveia, L. </v>
      </c>
      <c r="L643" t="str">
        <f t="shared" ca="1" si="7"/>
        <v xml:space="preserve">Quental, C. </v>
      </c>
    </row>
    <row r="644" spans="1:12" ht="15.75" customHeight="1">
      <c r="A644">
        <f ca="1">IFERROR(__xludf.DUMMYFUNCTION("""COMPUTED_VALUE"""),20)</f>
        <v>20</v>
      </c>
      <c r="B644" t="str">
        <f ca="1">IFERROR(__xludf.DUMMYFUNCTION("""COMPUTED_VALUE"""),"Gouveia, L. (1999). *A Análise de Sistemas. Discussão breve da actividade.* 
UFP, Janeiro.
texto [ pdf ]")</f>
        <v>Gouveia, L. (1999). *A Análise de Sistemas. Discussão breve da actividade.* 
UFP, Janeiro.
texto [ pdf ]</v>
      </c>
      <c r="C644" s="2">
        <f t="shared" ca="1" si="0"/>
        <v>13</v>
      </c>
      <c r="D644" t="str">
        <f t="shared" ca="1" si="8"/>
        <v xml:space="preserve">Gouveia, L. </v>
      </c>
      <c r="E644" t="str">
        <f t="shared" ca="1" si="1"/>
        <v>1999</v>
      </c>
      <c r="F644" t="str">
        <f t="shared" ca="1" si="2"/>
        <v xml:space="preserve"> *A Análise de Sistemas. </v>
      </c>
      <c r="G644" s="3">
        <f t="shared" ca="1" si="3"/>
        <v>18</v>
      </c>
      <c r="H644" s="2">
        <f t="shared" ca="1" si="4"/>
        <v>43</v>
      </c>
      <c r="I644" t="e">
        <f t="shared" ca="1" si="5"/>
        <v>#VALUE!</v>
      </c>
      <c r="J644" s="3" t="e">
        <f t="shared" ca="1" si="9"/>
        <v>#VALUE!</v>
      </c>
      <c r="K644" t="str">
        <f t="shared" ca="1" si="6"/>
        <v xml:space="preserve">Gouveia, L. </v>
      </c>
      <c r="L644" t="str">
        <f t="shared" ca="1" si="7"/>
        <v xml:space="preserve">Quental, C. </v>
      </c>
    </row>
    <row r="645" spans="1:12" ht="15.75" customHeight="1">
      <c r="A645">
        <f ca="1">IFERROR(__xludf.DUMMYFUNCTION("""COMPUTED_VALUE"""),19)</f>
        <v>19</v>
      </c>
      <c r="B645" t="str">
        <f ca="1">IFERROR(__xludf.DUMMYFUNCTION("""COMPUTED_VALUE"""),"Gouveia, L. (1999). *Introdução aos conceitos de Realidade Virtual*. UFP. 
Janeiro.
apresentação [ pdf ]")</f>
        <v>Gouveia, L. (1999). *Introdução aos conceitos de Realidade Virtual*. UFP. 
Janeiro.
apresentação [ pdf ]</v>
      </c>
      <c r="C645" s="2">
        <f t="shared" ca="1" si="0"/>
        <v>13</v>
      </c>
      <c r="D645" t="str">
        <f t="shared" ca="1" si="8"/>
        <v xml:space="preserve">Gouveia, L. </v>
      </c>
      <c r="E645" t="str">
        <f t="shared" ca="1" si="1"/>
        <v>1999</v>
      </c>
      <c r="F645" t="str">
        <f t="shared" ca="1" si="2"/>
        <v xml:space="preserve"> *Introdução aos conceitos de Realidade Virtual*. </v>
      </c>
      <c r="G645" s="3">
        <f t="shared" ca="1" si="3"/>
        <v>18</v>
      </c>
      <c r="H645" s="2">
        <f t="shared" ca="1" si="4"/>
        <v>68</v>
      </c>
      <c r="I645" t="e">
        <f t="shared" ca="1" si="5"/>
        <v>#VALUE!</v>
      </c>
      <c r="J645" s="3" t="e">
        <f t="shared" ca="1" si="9"/>
        <v>#VALUE!</v>
      </c>
      <c r="K645" t="str">
        <f t="shared" ca="1" si="6"/>
        <v xml:space="preserve">Gouveia, L. </v>
      </c>
      <c r="L645" t="str">
        <f t="shared" ca="1" si="7"/>
        <v xml:space="preserve">Quental, C. </v>
      </c>
    </row>
    <row r="646" spans="1:12" ht="15.75" customHeight="1">
      <c r="A646">
        <f ca="1">IFERROR(__xludf.DUMMYFUNCTION("""COMPUTED_VALUE"""),18)</f>
        <v>18</v>
      </c>
      <c r="B646" t="str">
        <f ca="1">IFERROR(__xludf.DUMMYFUNCTION("""COMPUTED_VALUE"""),"Gouveia, L. (1999). *Introdução à Linguagem JAVA.* UFP. Janeiro.
apresentação [ pdf ]")</f>
        <v>Gouveia, L. (1999). *Introdução à Linguagem JAVA.* UFP. Janeiro.
apresentação [ pdf ]</v>
      </c>
      <c r="C646" s="2">
        <f t="shared" ca="1" si="0"/>
        <v>13</v>
      </c>
      <c r="D646" t="str">
        <f t="shared" ca="1" si="8"/>
        <v xml:space="preserve">Gouveia, L. </v>
      </c>
      <c r="E646" t="str">
        <f t="shared" ca="1" si="1"/>
        <v>1999</v>
      </c>
      <c r="F646" t="str">
        <f t="shared" ca="1" si="2"/>
        <v xml:space="preserve"> *Introdução à Linguagem JAVA.*</v>
      </c>
      <c r="G646" s="3">
        <f t="shared" ca="1" si="3"/>
        <v>18</v>
      </c>
      <c r="H646" s="2">
        <f t="shared" ca="1" si="4"/>
        <v>49</v>
      </c>
      <c r="I646" t="e">
        <f t="shared" ca="1" si="5"/>
        <v>#VALUE!</v>
      </c>
      <c r="J646" s="3" t="e">
        <f t="shared" ca="1" si="9"/>
        <v>#VALUE!</v>
      </c>
      <c r="K646" t="str">
        <f t="shared" ca="1" si="6"/>
        <v xml:space="preserve">Gouveia, L. </v>
      </c>
      <c r="L646" t="str">
        <f t="shared" ca="1" si="7"/>
        <v xml:space="preserve">Quental, C. </v>
      </c>
    </row>
    <row r="647" spans="1:12" ht="15.75" customHeight="1">
      <c r="A647">
        <f ca="1">IFERROR(__xludf.DUMMYFUNCTION("""COMPUTED_VALUE"""),17)</f>
        <v>17</v>
      </c>
      <c r="B647" t="str">
        <f ca="1">IFERROR(__xludf.DUMMYFUNCTION("""COMPUTED_VALUE"""),"Gouveia, L. (1998). *Introdução ao VRML* -Virtual Reality Modeling 
Language. UFP, Março.
apresentação [ HTML ou  pdf]")</f>
        <v>Gouveia, L. (1998). *Introdução ao VRML* -Virtual Reality Modeling 
Language. UFP, Março.
apresentação [ HTML ou  pdf]</v>
      </c>
      <c r="C647" s="2">
        <f t="shared" ca="1" si="0"/>
        <v>13</v>
      </c>
      <c r="D647" t="str">
        <f t="shared" ca="1" si="8"/>
        <v xml:space="preserve">Gouveia, L. </v>
      </c>
      <c r="E647" t="str">
        <f t="shared" ca="1" si="1"/>
        <v>1998</v>
      </c>
      <c r="F647" t="str">
        <f t="shared" ca="1" si="2"/>
        <v xml:space="preserve"> *Introdução ao VRML* -Virtual Reality Modeling 
Language. </v>
      </c>
      <c r="G647" s="3">
        <f t="shared" ca="1" si="3"/>
        <v>18</v>
      </c>
      <c r="H647" s="2">
        <f t="shared" ca="1" si="4"/>
        <v>77</v>
      </c>
      <c r="I647" t="e">
        <f t="shared" ca="1" si="5"/>
        <v>#VALUE!</v>
      </c>
      <c r="J647" s="3" t="e">
        <f t="shared" ca="1" si="9"/>
        <v>#VALUE!</v>
      </c>
      <c r="K647" t="str">
        <f t="shared" ca="1" si="6"/>
        <v xml:space="preserve">Gouveia, L. </v>
      </c>
      <c r="L647" t="str">
        <f t="shared" ca="1" si="7"/>
        <v xml:space="preserve">Quental, C. </v>
      </c>
    </row>
    <row r="648" spans="1:12" ht="15.75" customHeight="1">
      <c r="A648">
        <f ca="1">IFERROR(__xludf.DUMMYFUNCTION("""COMPUTED_VALUE"""),16)</f>
        <v>16</v>
      </c>
      <c r="B648" t="str">
        <f ca="1">IFERROR(__xludf.DUMMYFUNCTION("""COMPUTED_VALUE"""),"Gouveia, L. (1998). *Apontamentos de Sistemas de Informação, versão 
1992-1995* . UFP.
apresentação [ pdf ]")</f>
        <v>Gouveia, L. (1998). *Apontamentos de Sistemas de Informação, versão 
1992-1995* . UFP.
apresentação [ pdf ]</v>
      </c>
      <c r="C648" s="2">
        <f t="shared" ca="1" si="0"/>
        <v>13</v>
      </c>
      <c r="D648" t="str">
        <f t="shared" ca="1" si="8"/>
        <v xml:space="preserve">Gouveia, L. </v>
      </c>
      <c r="E648" t="str">
        <f t="shared" ca="1" si="1"/>
        <v>1998</v>
      </c>
      <c r="F648" t="str">
        <f t="shared" ca="1" si="2"/>
        <v xml:space="preserve"> *Apontamentos de Sistemas de Informação, versão 
1992-1995* . </v>
      </c>
      <c r="G648" s="3">
        <f t="shared" ca="1" si="3"/>
        <v>18</v>
      </c>
      <c r="H648" s="2">
        <f t="shared" ca="1" si="4"/>
        <v>81</v>
      </c>
      <c r="I648" t="e">
        <f t="shared" ca="1" si="5"/>
        <v>#VALUE!</v>
      </c>
      <c r="J648" s="3" t="e">
        <f t="shared" ca="1" si="9"/>
        <v>#VALUE!</v>
      </c>
      <c r="K648" t="str">
        <f t="shared" ca="1" si="6"/>
        <v xml:space="preserve">Gouveia, L. </v>
      </c>
      <c r="L648" t="str">
        <f t="shared" ca="1" si="7"/>
        <v xml:space="preserve">Quental, C. </v>
      </c>
    </row>
    <row r="649" spans="1:12" ht="15.75" customHeight="1">
      <c r="A649">
        <f ca="1">IFERROR(__xludf.DUMMYFUNCTION("""COMPUTED_VALUE"""),15)</f>
        <v>15</v>
      </c>
      <c r="B649" t="str">
        <f ca="1">IFERROR(__xludf.DUMMYFUNCTION("""COMPUTED_VALUE"""),"Gouveia, L. (1997). *Uso básico do sistema operativo UNIX*, *introdução*. 
UFP, Dezembro.
texto [ HTML ]")</f>
        <v>Gouveia, L. (1997). *Uso básico do sistema operativo UNIX*, *introdução*. 
UFP, Dezembro.
texto [ HTML ]</v>
      </c>
      <c r="C649" s="2">
        <f t="shared" ca="1" si="0"/>
        <v>13</v>
      </c>
      <c r="D649" t="str">
        <f t="shared" ca="1" si="8"/>
        <v xml:space="preserve">Gouveia, L. </v>
      </c>
      <c r="E649" t="str">
        <f t="shared" ca="1" si="1"/>
        <v>1997</v>
      </c>
      <c r="F649" t="str">
        <f t="shared" ca="1" si="2"/>
        <v xml:space="preserve"> *Uso básico do sistema operativo UNIX*, *introdução*. </v>
      </c>
      <c r="G649" s="3">
        <f t="shared" ca="1" si="3"/>
        <v>18</v>
      </c>
      <c r="H649" s="2">
        <f t="shared" ca="1" si="4"/>
        <v>73</v>
      </c>
      <c r="I649" t="e">
        <f t="shared" ca="1" si="5"/>
        <v>#VALUE!</v>
      </c>
      <c r="J649" s="3" t="e">
        <f t="shared" ca="1" si="9"/>
        <v>#VALUE!</v>
      </c>
      <c r="K649" t="str">
        <f t="shared" ca="1" si="6"/>
        <v xml:space="preserve">Gouveia, L. </v>
      </c>
      <c r="L649" t="str">
        <f t="shared" ca="1" si="7"/>
        <v xml:space="preserve">Quental, C. </v>
      </c>
    </row>
    <row r="650" spans="1:12" ht="15.75" customHeight="1">
      <c r="A650">
        <f ca="1">IFERROR(__xludf.DUMMYFUNCTION("""COMPUTED_VALUE"""),14)</f>
        <v>14</v>
      </c>
      <c r="B650" t="str">
        <f ca="1">IFERROR(__xludf.DUMMYFUNCTION("""COMPUTED_VALUE"""),"Gouveia, L. (1997). *O modelo OSI e os esforços de normalização em 
comunicação de dados.* UFP, Outubro. 
texto [ HTML ]")</f>
        <v>Gouveia, L. (1997). *O modelo OSI e os esforços de normalização em 
comunicação de dados.* UFP, Outubro. 
texto [ HTML ]</v>
      </c>
      <c r="C650" s="2">
        <f t="shared" ca="1" si="0"/>
        <v>13</v>
      </c>
      <c r="D650" t="str">
        <f t="shared" ca="1" si="8"/>
        <v xml:space="preserve">Gouveia, L. </v>
      </c>
      <c r="E650" t="str">
        <f t="shared" ca="1" si="1"/>
        <v>1997</v>
      </c>
      <c r="F650" t="str">
        <f t="shared" ca="1" si="2"/>
        <v xml:space="preserve"> *O modelo OSI e os esforços de normalização em 
comunicação de dados.*</v>
      </c>
      <c r="G650" s="3">
        <f t="shared" ca="1" si="3"/>
        <v>18</v>
      </c>
      <c r="H650" s="2">
        <f t="shared" ca="1" si="4"/>
        <v>89</v>
      </c>
      <c r="I650" t="e">
        <f t="shared" ca="1" si="5"/>
        <v>#VALUE!</v>
      </c>
      <c r="J650" s="3" t="e">
        <f t="shared" ca="1" si="9"/>
        <v>#VALUE!</v>
      </c>
      <c r="K650" t="str">
        <f t="shared" ca="1" si="6"/>
        <v xml:space="preserve">Gouveia, L. </v>
      </c>
      <c r="L650" t="str">
        <f t="shared" ca="1" si="7"/>
        <v xml:space="preserve">Quental, C. </v>
      </c>
    </row>
    <row r="651" spans="1:12" ht="15.75" customHeight="1">
      <c r="A651">
        <f ca="1">IFERROR(__xludf.DUMMYFUNCTION("""COMPUTED_VALUE"""),13)</f>
        <v>13</v>
      </c>
      <c r="B651" t="str">
        <f ca="1">IFERROR(__xludf.DUMMYFUNCTION("""COMPUTED_VALUE"""),"Gouveia, L. (1997). *Desenvolvimento de páginas Web*, *dicas para obter o 
melhor efeito na publicação de informação na Internet*. UFP, Abril.
texto [ HTML ]")</f>
        <v>Gouveia, L. (1997). *Desenvolvimento de páginas Web*, *dicas para obter o 
melhor efeito na publicação de informação na Internet*. UFP, Abril.
texto [ HTML ]</v>
      </c>
      <c r="C651" s="2">
        <f t="shared" ca="1" si="0"/>
        <v>13</v>
      </c>
      <c r="D651" t="str">
        <f t="shared" ca="1" si="8"/>
        <v xml:space="preserve">Gouveia, L. </v>
      </c>
      <c r="E651" t="str">
        <f t="shared" ca="1" si="1"/>
        <v>1997</v>
      </c>
      <c r="F651" t="str">
        <f t="shared" ca="1" si="2"/>
        <v xml:space="preserve"> *Desenvolvimento de páginas Web*, *dicas para obter o 
melhor efeito na publicação de informação na Internet*. </v>
      </c>
      <c r="G651" s="3">
        <f t="shared" ca="1" si="3"/>
        <v>18</v>
      </c>
      <c r="H651" s="2">
        <f t="shared" ca="1" si="4"/>
        <v>130</v>
      </c>
      <c r="I651" t="e">
        <f t="shared" ca="1" si="5"/>
        <v>#VALUE!</v>
      </c>
      <c r="J651" s="3" t="e">
        <f t="shared" ca="1" si="9"/>
        <v>#VALUE!</v>
      </c>
      <c r="K651" t="str">
        <f t="shared" ca="1" si="6"/>
        <v xml:space="preserve">Gouveia, L. </v>
      </c>
      <c r="L651" t="str">
        <f t="shared" ca="1" si="7"/>
        <v xml:space="preserve">Quental, C. </v>
      </c>
    </row>
    <row r="652" spans="1:12" ht="15.75" customHeight="1">
      <c r="A652">
        <f ca="1">IFERROR(__xludf.DUMMYFUNCTION("""COMPUTED_VALUE"""),12)</f>
        <v>12</v>
      </c>
      <c r="B652" t="str">
        <f ca="1">IFERROR(__xludf.DUMMYFUNCTION("""COMPUTED_VALUE"""),"Gouveia, L. (1997).*Utilização básica do navegador Netscape.* UFP, Janeiro. 
texto [ HTML ]")</f>
        <v>Gouveia, L. (1997).*Utilização básica do navegador Netscape.* UFP, Janeiro. 
texto [ HTML ]</v>
      </c>
      <c r="C652" s="2">
        <f t="shared" ca="1" si="0"/>
        <v>13</v>
      </c>
      <c r="D652" t="str">
        <f t="shared" ca="1" si="8"/>
        <v xml:space="preserve">Gouveia, L. </v>
      </c>
      <c r="E652" t="str">
        <f t="shared" ca="1" si="1"/>
        <v>1997</v>
      </c>
      <c r="F652" t="str">
        <f t="shared" ca="1" si="2"/>
        <v>*Utilização básica do navegador Netscape.*</v>
      </c>
      <c r="G652" s="3">
        <f t="shared" ca="1" si="3"/>
        <v>18</v>
      </c>
      <c r="H652" s="2">
        <f t="shared" ca="1" si="4"/>
        <v>60</v>
      </c>
      <c r="I652" t="e">
        <f t="shared" ca="1" si="5"/>
        <v>#VALUE!</v>
      </c>
      <c r="J652" s="3" t="e">
        <f t="shared" ca="1" si="9"/>
        <v>#VALUE!</v>
      </c>
      <c r="K652" t="str">
        <f t="shared" ca="1" si="6"/>
        <v xml:space="preserve">Gouveia, L. </v>
      </c>
      <c r="L652" t="str">
        <f t="shared" ca="1" si="7"/>
        <v xml:space="preserve">Quental, C. </v>
      </c>
    </row>
    <row r="653" spans="1:12" ht="15.75" customHeight="1">
      <c r="A653">
        <f ca="1">IFERROR(__xludf.DUMMYFUNCTION("""COMPUTED_VALUE"""),11)</f>
        <v>11</v>
      </c>
      <c r="B653" t="str">
        <f ca="1">IFERROR(__xludf.DUMMYFUNCTION("""COMPUTED_VALUE"""),"Gouveia, L. (1997). *Apontamentos da cadeira de Logística e Gestão da 
Distribuição*. Cadeira leccionada no ISLA, entre 1995 e 1997.
apresentação [ pdf: resumo (7KB), introdução (77KB), logística integrada 
(62KB), serviço ao cliente (20KB), custos na dis"&amp;"tribuição (29KB), depósitos 
e política de localização (55KB) e práticas (623KB) ]")</f>
        <v>Gouveia, L. (1997). *Apontamentos da cadeira de Logística e Gestão da 
Distribuição*. Cadeira leccionada no ISLA, entre 1995 e 1997.
apresentação [ pdf: resumo (7KB), introdução (77KB), logística integrada 
(62KB), serviço ao cliente (20KB), custos na distribuição (29KB), depósitos 
e política de localização (55KB) e práticas (623KB) ]</v>
      </c>
      <c r="C653" s="2">
        <f t="shared" ca="1" si="0"/>
        <v>13</v>
      </c>
      <c r="D653" t="str">
        <f t="shared" ca="1" si="8"/>
        <v xml:space="preserve">Gouveia, L. </v>
      </c>
      <c r="E653" t="str">
        <f t="shared" ca="1" si="1"/>
        <v>1997</v>
      </c>
      <c r="F653" t="str">
        <f t="shared" ca="1" si="2"/>
        <v xml:space="preserve"> *Apontamentos da cadeira de Logística e Gestão da 
Distribuição*. </v>
      </c>
      <c r="G653" s="3">
        <f t="shared" ca="1" si="3"/>
        <v>18</v>
      </c>
      <c r="H653" s="2">
        <f t="shared" ca="1" si="4"/>
        <v>85</v>
      </c>
      <c r="I653" t="e">
        <f t="shared" ca="1" si="5"/>
        <v>#VALUE!</v>
      </c>
      <c r="J653" s="3" t="e">
        <f t="shared" ca="1" si="9"/>
        <v>#VALUE!</v>
      </c>
      <c r="K653" t="str">
        <f t="shared" ca="1" si="6"/>
        <v xml:space="preserve">Gouveia, L. </v>
      </c>
      <c r="L653" t="str">
        <f t="shared" ca="1" si="7"/>
        <v xml:space="preserve">Quental, C. </v>
      </c>
    </row>
    <row r="654" spans="1:12" ht="15.75" customHeight="1">
      <c r="A654">
        <f ca="1">IFERROR(__xludf.DUMMYFUNCTION("""COMPUTED_VALUE"""),10)</f>
        <v>10</v>
      </c>
      <c r="B654" t="str">
        <f ca="1">IFERROR(__xludf.DUMMYFUNCTION("""COMPUTED_VALUE"""),"Gouveia, L. (1996). *Como criar uma página Web, utilização de comandos HTML*. 
UFP, Dezembro.
apresentação [ pdf ]")</f>
        <v>Gouveia, L. (1996). *Como criar uma página Web, utilização de comandos HTML*. 
UFP, Dezembro.
apresentação [ pdf ]</v>
      </c>
      <c r="C654" s="2">
        <f t="shared" ca="1" si="0"/>
        <v>13</v>
      </c>
      <c r="D654" t="str">
        <f t="shared" ca="1" si="8"/>
        <v xml:space="preserve">Gouveia, L. </v>
      </c>
      <c r="E654" t="str">
        <f t="shared" ca="1" si="1"/>
        <v>1996</v>
      </c>
      <c r="F654" t="str">
        <f t="shared" ca="1" si="2"/>
        <v xml:space="preserve"> *Como criar uma página Web, utilização de comandos HTML*. </v>
      </c>
      <c r="G654" s="3">
        <f t="shared" ca="1" si="3"/>
        <v>18</v>
      </c>
      <c r="H654" s="2">
        <f t="shared" ca="1" si="4"/>
        <v>77</v>
      </c>
      <c r="I654" t="e">
        <f t="shared" ca="1" si="5"/>
        <v>#VALUE!</v>
      </c>
      <c r="J654" s="3" t="e">
        <f t="shared" ca="1" si="9"/>
        <v>#VALUE!</v>
      </c>
      <c r="K654" t="str">
        <f t="shared" ca="1" si="6"/>
        <v xml:space="preserve">Gouveia, L. </v>
      </c>
      <c r="L654" t="str">
        <f t="shared" ca="1" si="7"/>
        <v xml:space="preserve">Quental, C. </v>
      </c>
    </row>
    <row r="655" spans="1:12" ht="15.75" customHeight="1">
      <c r="A655">
        <f ca="1">IFERROR(__xludf.DUMMYFUNCTION("""COMPUTED_VALUE"""),9)</f>
        <v>9</v>
      </c>
      <c r="B655" t="str">
        <f ca="1">IFERROR(__xludf.DUMMYFUNCTION("""COMPUTED_VALUE"""),"Gouveia, L. (1996). *Três palavras sobre a Análise de Sistemas*. UFP, 
Outubro.
texto [ HTML ]")</f>
        <v>Gouveia, L. (1996). *Três palavras sobre a Análise de Sistemas*. UFP, 
Outubro.
texto [ HTML ]</v>
      </c>
      <c r="C655" s="2">
        <f t="shared" ca="1" si="0"/>
        <v>13</v>
      </c>
      <c r="D655" t="str">
        <f t="shared" ca="1" si="8"/>
        <v xml:space="preserve">Gouveia, L. </v>
      </c>
      <c r="E655" t="str">
        <f t="shared" ca="1" si="1"/>
        <v>1996</v>
      </c>
      <c r="F655" t="str">
        <f t="shared" ca="1" si="2"/>
        <v xml:space="preserve"> *Três palavras sobre a Análise de Sistemas*. </v>
      </c>
      <c r="G655" s="3">
        <f t="shared" ca="1" si="3"/>
        <v>18</v>
      </c>
      <c r="H655" s="2">
        <f t="shared" ca="1" si="4"/>
        <v>64</v>
      </c>
      <c r="I655" t="e">
        <f t="shared" ca="1" si="5"/>
        <v>#VALUE!</v>
      </c>
      <c r="J655" s="3" t="e">
        <f t="shared" ca="1" si="9"/>
        <v>#VALUE!</v>
      </c>
      <c r="K655" t="str">
        <f t="shared" ca="1" si="6"/>
        <v xml:space="preserve">Gouveia, L. </v>
      </c>
      <c r="L655" t="str">
        <f t="shared" ca="1" si="7"/>
        <v xml:space="preserve">Quental, C. </v>
      </c>
    </row>
    <row r="656" spans="1:12" ht="15.75" customHeight="1">
      <c r="A656">
        <f ca="1">IFERROR(__xludf.DUMMYFUNCTION("""COMPUTED_VALUE"""),8)</f>
        <v>8</v>
      </c>
      <c r="B656" t="str">
        <f ca="1">IFERROR(__xludf.DUMMYFUNCTION("""COMPUTED_VALUE"""),"Gouveia, L. (1996). *Sistemas de Informação para a Gestão. Modelos e 
Sistemas de Apoio à Decisão.* CEREM, UFP. Abril.
apresentação [ pdf ]")</f>
        <v>Gouveia, L. (1996). *Sistemas de Informação para a Gestão. Modelos e 
Sistemas de Apoio à Decisão.* CEREM, UFP. Abril.
apresentação [ pdf ]</v>
      </c>
      <c r="C656" s="2">
        <f t="shared" ca="1" si="0"/>
        <v>13</v>
      </c>
      <c r="D656" t="str">
        <f t="shared" ca="1" si="8"/>
        <v xml:space="preserve">Gouveia, L. </v>
      </c>
      <c r="E656" t="str">
        <f t="shared" ca="1" si="1"/>
        <v>1996</v>
      </c>
      <c r="F656" t="str">
        <f t="shared" ca="1" si="2"/>
        <v xml:space="preserve"> *Sistemas de Informação para a Gestão. </v>
      </c>
      <c r="G656" s="3">
        <f t="shared" ca="1" si="3"/>
        <v>18</v>
      </c>
      <c r="H656" s="2">
        <f t="shared" ca="1" si="4"/>
        <v>58</v>
      </c>
      <c r="I656" t="e">
        <f t="shared" ca="1" si="5"/>
        <v>#VALUE!</v>
      </c>
      <c r="J656" s="3" t="e">
        <f t="shared" ca="1" si="9"/>
        <v>#VALUE!</v>
      </c>
      <c r="K656" t="str">
        <f t="shared" ca="1" si="6"/>
        <v xml:space="preserve">Gouveia, L. </v>
      </c>
      <c r="L656" t="str">
        <f t="shared" ca="1" si="7"/>
        <v xml:space="preserve">Quental, C. </v>
      </c>
    </row>
    <row r="657" spans="1:12" ht="15.75" customHeight="1">
      <c r="A657">
        <f ca="1">IFERROR(__xludf.DUMMYFUNCTION("""COMPUTED_VALUE"""),7)</f>
        <v>7</v>
      </c>
      <c r="B657" t="str">
        <f ca="1">IFERROR(__xludf.DUMMYFUNCTION("""COMPUTED_VALUE"""),"Gouveia, L. (1996)*. Apontamentos de Introdução à Informática* *- conceitos*. 
UFP, Janeiro.
texto [ postscript zipado ou pdf ]")</f>
        <v>Gouveia, L. (1996)*. Apontamentos de Introdução à Informática* *- conceitos*. 
UFP, Janeiro.
texto [ postscript zipado ou pdf ]</v>
      </c>
      <c r="C657" s="2">
        <f t="shared" ca="1" si="0"/>
        <v>13</v>
      </c>
      <c r="D657" t="str">
        <f t="shared" ca="1" si="8"/>
        <v xml:space="preserve">Gouveia, L. </v>
      </c>
      <c r="E657" t="str">
        <f t="shared" ca="1" si="1"/>
        <v>1996</v>
      </c>
      <c r="F657" t="e">
        <f t="shared" ca="1" si="2"/>
        <v>#VALUE!</v>
      </c>
      <c r="G657" s="3" t="e">
        <f t="shared" ca="1" si="3"/>
        <v>#VALUE!</v>
      </c>
      <c r="H657" s="2" t="e">
        <f t="shared" ca="1" si="4"/>
        <v>#VALUE!</v>
      </c>
      <c r="I657" t="e">
        <f t="shared" ca="1" si="5"/>
        <v>#VALUE!</v>
      </c>
      <c r="J657" s="3" t="e">
        <f t="shared" ca="1" si="9"/>
        <v>#VALUE!</v>
      </c>
      <c r="K657" t="str">
        <f t="shared" ca="1" si="6"/>
        <v xml:space="preserve">Gouveia, L. </v>
      </c>
      <c r="L657" t="str">
        <f t="shared" ca="1" si="7"/>
        <v xml:space="preserve">Quental, C. </v>
      </c>
    </row>
    <row r="658" spans="1:12" ht="15.75" customHeight="1">
      <c r="A658">
        <f ca="1">IFERROR(__xludf.DUMMYFUNCTION("""COMPUTED_VALUE"""),6)</f>
        <v>6</v>
      </c>
      <c r="B658" t="str">
        <f ca="1">IFERROR(__xludf.DUMMYFUNCTION("""COMPUTED_VALUE"""),"Gouveia, L. (1996). *Apontamentos de MS-DOS*. UFP, Janeiro.
texto [ pdf ]")</f>
        <v>Gouveia, L. (1996). *Apontamentos de MS-DOS*. UFP, Janeiro.
texto [ pdf ]</v>
      </c>
      <c r="C658" s="2">
        <f t="shared" ca="1" si="0"/>
        <v>13</v>
      </c>
      <c r="D658" t="str">
        <f t="shared" ca="1" si="8"/>
        <v xml:space="preserve">Gouveia, L. </v>
      </c>
      <c r="E658" t="str">
        <f t="shared" ca="1" si="1"/>
        <v>1996</v>
      </c>
      <c r="F658" t="str">
        <f t="shared" ca="1" si="2"/>
        <v xml:space="preserve"> *Apontamentos de MS-DOS*. </v>
      </c>
      <c r="G658" s="3">
        <f t="shared" ca="1" si="3"/>
        <v>18</v>
      </c>
      <c r="H658" s="2">
        <f t="shared" ca="1" si="4"/>
        <v>45</v>
      </c>
      <c r="I658" t="e">
        <f t="shared" ca="1" si="5"/>
        <v>#VALUE!</v>
      </c>
      <c r="J658" s="3" t="e">
        <f t="shared" ca="1" si="9"/>
        <v>#VALUE!</v>
      </c>
      <c r="K658" t="str">
        <f t="shared" ca="1" si="6"/>
        <v xml:space="preserve">Gouveia, L. </v>
      </c>
      <c r="L658" t="str">
        <f t="shared" ca="1" si="7"/>
        <v xml:space="preserve">Quental, C. </v>
      </c>
    </row>
    <row r="659" spans="1:12" ht="15.75" customHeight="1">
      <c r="A659">
        <f ca="1">IFERROR(__xludf.DUMMYFUNCTION("""COMPUTED_VALUE"""),5)</f>
        <v>5</v>
      </c>
      <c r="B659" t="str">
        <f ca="1">IFERROR(__xludf.DUMMYFUNCTION("""COMPUTED_VALUE"""),"Gouveia, L. (1995). *Gestão de projectos informáticos*. Transparências 
utilizadas em acções de formação no CESAI.
apresentação [pdf: mod1, mod2 e mod3 ]")</f>
        <v>Gouveia, L. (1995). *Gestão de projectos informáticos*. Transparências 
utilizadas em acções de formação no CESAI.
apresentação [pdf: mod1, mod2 e mod3 ]</v>
      </c>
      <c r="C659" s="2">
        <f t="shared" ca="1" si="0"/>
        <v>13</v>
      </c>
      <c r="D659" t="str">
        <f t="shared" ca="1" si="8"/>
        <v xml:space="preserve">Gouveia, L. </v>
      </c>
      <c r="E659" t="str">
        <f t="shared" ca="1" si="1"/>
        <v>1995</v>
      </c>
      <c r="F659" t="str">
        <f t="shared" ca="1" si="2"/>
        <v xml:space="preserve"> *Gestão de projectos informáticos*. </v>
      </c>
      <c r="G659" s="3">
        <f t="shared" ca="1" si="3"/>
        <v>18</v>
      </c>
      <c r="H659" s="2">
        <f t="shared" ca="1" si="4"/>
        <v>55</v>
      </c>
      <c r="I659" t="e">
        <f t="shared" ca="1" si="5"/>
        <v>#VALUE!</v>
      </c>
      <c r="J659" s="3" t="e">
        <f t="shared" ca="1" si="9"/>
        <v>#VALUE!</v>
      </c>
      <c r="K659" t="str">
        <f t="shared" ca="1" si="6"/>
        <v xml:space="preserve">Gouveia, L. </v>
      </c>
      <c r="L659" t="str">
        <f t="shared" ca="1" si="7"/>
        <v xml:space="preserve">Quental, C. </v>
      </c>
    </row>
    <row r="660" spans="1:12" ht="15.75" customHeight="1">
      <c r="A660">
        <f ca="1">IFERROR(__xludf.DUMMYFUNCTION("""COMPUTED_VALUE"""),4)</f>
        <v>4</v>
      </c>
      <c r="B660" t="str">
        <f ca="1">IFERROR(__xludf.DUMMYFUNCTION("""COMPUTED_VALUE"""),"Gouveia, L. (1993). *Ambiente distribuído no UNIX e ""remote procedure* 
calls"". FEUP-DEEC.
texto [ postscript zipado]")</f>
        <v>Gouveia, L. (1993). *Ambiente distribuído no UNIX e "remote procedure* 
calls". FEUP-DEEC.
texto [ postscript zipado]</v>
      </c>
      <c r="C660" s="2">
        <f t="shared" ca="1" si="0"/>
        <v>13</v>
      </c>
      <c r="D660" t="str">
        <f t="shared" ca="1" si="8"/>
        <v xml:space="preserve">Gouveia, L. </v>
      </c>
      <c r="E660" t="str">
        <f t="shared" ca="1" si="1"/>
        <v>1993</v>
      </c>
      <c r="F660" t="str">
        <f t="shared" ca="1" si="2"/>
        <v xml:space="preserve"> *Ambiente distribuído no UNIX e "remote procedure* 
calls". </v>
      </c>
      <c r="G660" s="3">
        <f t="shared" ca="1" si="3"/>
        <v>18</v>
      </c>
      <c r="H660" s="2">
        <f t="shared" ca="1" si="4"/>
        <v>79</v>
      </c>
      <c r="I660" t="e">
        <f t="shared" ca="1" si="5"/>
        <v>#VALUE!</v>
      </c>
      <c r="J660" s="3" t="e">
        <f t="shared" ca="1" si="9"/>
        <v>#VALUE!</v>
      </c>
      <c r="K660" t="str">
        <f t="shared" ca="1" si="6"/>
        <v xml:space="preserve">Gouveia, L. </v>
      </c>
      <c r="L660" t="str">
        <f t="shared" ca="1" si="7"/>
        <v xml:space="preserve">Quental, C. </v>
      </c>
    </row>
    <row r="661" spans="1:12" ht="15.75" customHeight="1">
      <c r="A661">
        <f ca="1">IFERROR(__xludf.DUMMYFUNCTION("""COMPUTED_VALUE"""),3)</f>
        <v>3</v>
      </c>
      <c r="B661" t="str">
        <f ca="1">IFERROR(__xludf.DUMMYFUNCTION("""COMPUTED_VALUE"""),"Gouveia, L. (1993). *Sybase SQL Server - base de dados cliente/servidor*. 
FEUP-DEEC.
texto [ postscript zipado ]")</f>
        <v>Gouveia, L. (1993). *Sybase SQL Server - base de dados cliente/servidor*. 
FEUP-DEEC.
texto [ postscript zipado ]</v>
      </c>
      <c r="C661" s="2">
        <f t="shared" ca="1" si="0"/>
        <v>13</v>
      </c>
    </row>
    <row r="662" spans="1:12" ht="15.75" customHeight="1">
      <c r="A662">
        <f ca="1">IFERROR(__xludf.DUMMYFUNCTION("""COMPUTED_VALUE"""),2)</f>
        <v>2</v>
      </c>
      <c r="B662" t="str">
        <f ca="1">IFERROR(__xludf.DUMMYFUNCTION("""COMPUTED_VALUE"""),"Gouveia, L. (1993). *Programação em bourne shell - sistema operativo UNIX*. 
Junho.
texto [ HTML ]")</f>
        <v>Gouveia, L. (1993). *Programação em bourne shell - sistema operativo UNIX*. 
Junho.
texto [ HTML ]</v>
      </c>
    </row>
    <row r="663" spans="1:12" ht="15.75" customHeight="1">
      <c r="A663">
        <f ca="1">IFERROR(__xludf.DUMMYFUNCTION("""COMPUTED_VALUE"""),1)</f>
        <v>1</v>
      </c>
      <c r="B663" t="str">
        <f ca="1">IFERROR(__xludf.DUMMYFUNCTION("""COMPUTED_VALUE"""),"Gouveia, L. (1988). *Levantamento estatístico para estudo do padrão 
alimentar dos alunos da 4ª classe*, em colaboração com o Centro de Saúde de 
Soares dos Reis, Rotary Club de Vila Nova de Gaia.")</f>
        <v>Gouveia, L. (1988). *Levantamento estatístico para estudo do padrão 
alimentar dos alunos da 4ª classe*, em colaboração com o Centro de Saúde de 
Soares dos Reis, Rotary Club de Vila Nova de Gaia.</v>
      </c>
    </row>
    <row r="664" spans="1:12" ht="15.75" customHeight="1">
      <c r="A664" t="str">
        <f ca="1">IFERROR(__xludf.DUMMYFUNCTION("""COMPUTED_VALUE"""),"[ top ]")</f>
        <v>[ top ]</v>
      </c>
      <c r="B664" t="str">
        <f ca="1">IFERROR(__xludf.DUMMYFUNCTION("""COMPUTED_VALUE"""),"")</f>
        <v/>
      </c>
    </row>
    <row r="665" spans="1:12" ht="15.75" customHeight="1"/>
    <row r="666" spans="1:12" ht="15.75" customHeight="1"/>
    <row r="667" spans="1:12" ht="15.75" customHeight="1"/>
    <row r="668" spans="1:12" ht="15.75" customHeight="1"/>
    <row r="669" spans="1:12" ht="15.75" customHeight="1"/>
    <row r="670" spans="1:12" ht="15.75" customHeight="1"/>
    <row r="671" spans="1:12" ht="15.75" customHeight="1"/>
    <row r="672" spans="1:1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5B72-34A6-4818-8E29-2332CA8DF1A2}">
  <sheetPr>
    <outlinePr summaryBelow="0" summaryRight="0"/>
  </sheetPr>
  <dimension ref="A1:Q1000"/>
  <sheetViews>
    <sheetView topLeftCell="I13" zoomScale="85" zoomScaleNormal="85" workbookViewId="0">
      <selection activeCell="L5" sqref="L5"/>
    </sheetView>
  </sheetViews>
  <sheetFormatPr defaultColWidth="14.453125" defaultRowHeight="15" customHeight="1"/>
  <cols>
    <col min="1" max="1" width="14.453125" customWidth="1"/>
    <col min="2" max="2" width="73.08984375" customWidth="1"/>
    <col min="3" max="3" width="5.81640625" customWidth="1"/>
    <col min="4" max="4" width="24.6328125" customWidth="1"/>
    <col min="5" max="5" width="9.54296875" customWidth="1"/>
    <col min="6" max="6" width="55.90625" customWidth="1"/>
    <col min="9" max="9" width="61.54296875" customWidth="1"/>
    <col min="11" max="11" width="45.08984375" customWidth="1"/>
  </cols>
  <sheetData>
    <row r="1" spans="1:15" ht="15.75" customHeight="1">
      <c r="A1" t="s">
        <v>1655</v>
      </c>
      <c r="B1" t="str">
        <f ca="1">IFERROR(__xludf.DUMMYFUNCTION("""COMPUTED_VALUE"""),"*Capítulos em livros* / *Book chapters*")</f>
        <v>*Capítulos em livros* / *Book chapters*</v>
      </c>
    </row>
    <row r="2" spans="1:15" ht="15.75" customHeight="1">
      <c r="A2" t="str">
        <f ca="1">IFERROR(__xludf.DUMMYFUNCTION("""COMPUTED_VALUE"""),"_________")</f>
        <v>_________</v>
      </c>
      <c r="B2" t="str">
        <f ca="1">IFERROR(__xludf.DUMMYFUNCTION("""COMPUTED_VALUE"""),"em editoras internacionais / international editors")</f>
        <v>em editoras internacionais / international editors</v>
      </c>
      <c r="C2" s="1" t="s">
        <v>0</v>
      </c>
      <c r="D2" s="1" t="s">
        <v>1</v>
      </c>
      <c r="E2" s="1" t="s">
        <v>2</v>
      </c>
      <c r="F2" s="1" t="s">
        <v>3</v>
      </c>
      <c r="G2" s="1" t="s">
        <v>4</v>
      </c>
      <c r="H2" s="1" t="s">
        <v>5</v>
      </c>
    </row>
    <row r="3" spans="1:15" ht="15.75" customHeight="1">
      <c r="A3">
        <f ca="1">IFERROR(__xludf.DUMMYFUNCTION("""COMPUTED_VALUE"""),20)</f>
        <v>20</v>
      </c>
      <c r="B3" t="str">
        <f ca="1">IFERROR(__xludf.DUMMYFUNCTION("""COMPUTED_VALUE"""),"Quental, C. and Gouveia, L. (2018). Participation Sphere: A Model and a 
Framework for Fostering Participation in Organizations. In S. Chhabra 
(Ed.), Handbook of Research on Civic Engagement and Social Change in 
Contemporary Society (pp. 16-39). Hershey"&amp;", PA: IGI Global. 
doi:10.4018/978-1-5225-4197-4.ch002  
[ paper ]")</f>
        <v>Quental, C. and Gouveia, L. (2018). Participation Sphere: A Model and a 
Framework for Fostering Participation in Organizations. In S. Chhabra 
(Ed.), Handbook of Research on Civic Engagement and Social Change in 
Contemporary Society (pp. 16-39). Hershey, PA: IGI Global. 
doi:10.4018/978-1-5225-4197-4.ch002  
[ paper ]</v>
      </c>
      <c r="C3" s="2">
        <f t="shared" ref="C3:C257" ca="1" si="0">FIND("(",B3)</f>
        <v>29</v>
      </c>
      <c r="D3" t="str">
        <f ca="1">LEFT(B3,C3-1)</f>
        <v xml:space="preserve">Quental, C. and Gouveia, L. </v>
      </c>
      <c r="E3" t="str">
        <f t="shared" ref="E3:E66" ca="1" si="1">MID(B3,C3+1,4)</f>
        <v>2018</v>
      </c>
      <c r="F3" t="str">
        <f t="shared" ref="F3:F66" ca="1" si="2">MID(B3,G3+2,H3-G3)</f>
        <v xml:space="preserve"> Participation Sphere: A Model and a 
Framework for Fostering Participation in Organizations. </v>
      </c>
      <c r="G3" s="3">
        <f t="shared" ref="G3:G66" ca="1" si="3">FIND(").",B3)</f>
        <v>34</v>
      </c>
      <c r="H3" s="2">
        <f t="shared" ref="H3:H66" ca="1" si="4">FIND(".",B3,G3+2)</f>
        <v>128</v>
      </c>
      <c r="I3" t="str">
        <f t="shared" ref="I3:I66" ca="1" si="5">MID(B3,H3+2,J3-H3)</f>
        <v>In S. Chhabra 
(Ed.), Handbook of Research on Civic Engagement and Social Change in 
Contemporary Society (pp. 16-39).</v>
      </c>
      <c r="J3" s="3">
        <f ca="1">FIND(").",B3,G3+1)</f>
        <v>246</v>
      </c>
      <c r="K3" t="str">
        <f t="shared" ref="K3:K257" ca="1" si="6">SUBSTITUTE(D3,"and",";")</f>
        <v xml:space="preserve">Quental, C. ; Gouveia, L. </v>
      </c>
      <c r="L3" t="str">
        <f t="shared" ref="L3:L257" ca="1" si="7">IFERROR(__xludf.DUMMYFUNCTION("SPLIT(K3,"";"")"),"Quental, C. ")</f>
        <v xml:space="preserve">Quental, C. </v>
      </c>
      <c r="M3" t="str">
        <f ca="1">IFERROR(__xludf.DUMMYFUNCTION("""COMPUTED_VALUE""")," Gouveia, L. ")</f>
        <v xml:space="preserve"> Gouveia, L. </v>
      </c>
    </row>
    <row r="4" spans="1:15" ht="15.75" customHeight="1">
      <c r="A4">
        <f ca="1">IFERROR(__xludf.DUMMYFUNCTION("""COMPUTED_VALUE"""),19)</f>
        <v>19</v>
      </c>
      <c r="B4" t="str">
        <f ca="1">IFERROR(__xludf.DUMMYFUNCTION("""COMPUTED_VALUE"""),"Quental, C. and Gouveia, L. (2018). *E-consultation as a Tool for 
Participation in teachers' Unions*. In Rocha, A. and Reis, L. (eds). 
Developments and Advances in Intelligent Systems and Applications. Series 
Studies in Computational Intelligence, Volu"&amp;"me 718. Springer International 
Publishing, AG, pp 153-167. DOI 10.1007/978-3-319-58965-7_11 
[ paper ]")</f>
        <v>Quental, C. and Gouveia, L. (2018). *E-consultation as a Tool for 
Participation in teachers' Unions*. In Rocha, A. and Reis, L. (eds). 
Developments and Advances in Intelligent Systems and Applications. Series 
Studies in Computational Intelligence, Volume 718. Springer International 
Publishing, AG, pp 153-167. DOI 10.1007/978-3-319-58965-7_11 
[ paper ]</v>
      </c>
      <c r="C4" s="2">
        <f t="shared" ca="1" si="0"/>
        <v>29</v>
      </c>
      <c r="D4" t="str">
        <f t="shared" ref="D4:D67" ca="1" si="8">LEFT(B4,FIND("(",B4)-1)</f>
        <v xml:space="preserve">Quental, C. and Gouveia, L. </v>
      </c>
      <c r="E4" t="str">
        <f t="shared" ca="1" si="1"/>
        <v>2018</v>
      </c>
      <c r="F4" t="str">
        <f t="shared" ca="1" si="2"/>
        <v xml:space="preserve"> *E-consultation as a Tool for 
Participation in teachers' Unions*. </v>
      </c>
      <c r="G4" s="3">
        <f t="shared" ca="1" si="3"/>
        <v>34</v>
      </c>
      <c r="H4" s="2">
        <f t="shared" ca="1" si="4"/>
        <v>102</v>
      </c>
      <c r="I4" t="str">
        <f t="shared" ca="1" si="5"/>
        <v>In Rocha, A. and Reis, L. (eds).</v>
      </c>
      <c r="J4" s="3">
        <f t="shared" ref="J4:J67" ca="1" si="9">FIND(").",B4,H4+1)</f>
        <v>134</v>
      </c>
      <c r="K4" t="str">
        <f t="shared" ca="1" si="6"/>
        <v xml:space="preserve">Quental, C. ; Gouveia, L. </v>
      </c>
      <c r="L4" t="str">
        <f t="shared" ca="1" si="7"/>
        <v xml:space="preserve">Quental, C. </v>
      </c>
      <c r="M4" t="str">
        <f ca="1">IFERROR(__xludf.DUMMYFUNCTION("""COMPUTED_VALUE""")," Gouveia, L. ")</f>
        <v xml:space="preserve"> Gouveia, L. </v>
      </c>
    </row>
    <row r="5" spans="1:15" ht="15.75" customHeight="1">
      <c r="A5">
        <f ca="1">IFERROR(__xludf.DUMMYFUNCTION("""COMPUTED_VALUE"""),18)</f>
        <v>18</v>
      </c>
      <c r="B5" t="str">
        <f ca="1">IFERROR(__xludf.DUMMYFUNCTION("""COMPUTED_VALUE"""),"Abrantes, S.; Gouveia, L. (2014). *A adopção e difusão de práticas de 
m-learning no contexto do ensino superior*. In Haguenaer, C.; Ulbricht, V.; 
Lima, L. (eds) (2014). Pesquisas em Linguagem e Educação no Contexto das 
Tecnologias Digitais. Curitiba: B"&amp;"rasil, Editora CRV, pp 105-128. ISBN: 
978-85-8042-905-3.")</f>
        <v>Abrantes, S.; Gouveia, L. (2014). *A adopção e difusão de práticas de 
m-learning no contexto do ensino superior*. In Haguenaer, C.; Ulbricht, V.; 
Lima, L. (eds) (2014). Pesquisas em Linguagem e Educação no Contexto das 
Tecnologias Digitais. Curitiba: Brasil, Editora CRV, pp 105-128. ISBN: 
978-85-8042-905-3.</v>
      </c>
      <c r="C5" s="2">
        <f t="shared" ca="1" si="0"/>
        <v>27</v>
      </c>
      <c r="D5" t="str">
        <f t="shared" ca="1" si="8"/>
        <v xml:space="preserve">Abrantes, S.; Gouveia, L. </v>
      </c>
      <c r="E5" t="str">
        <f t="shared" ca="1" si="1"/>
        <v>2014</v>
      </c>
      <c r="F5" t="str">
        <f t="shared" ca="1" si="2"/>
        <v xml:space="preserve"> *A adopção e difusão de práticas de 
m-learning no contexto do ensino superior*. </v>
      </c>
      <c r="G5" s="3">
        <f t="shared" ca="1" si="3"/>
        <v>32</v>
      </c>
      <c r="H5" s="2">
        <f t="shared" ca="1" si="4"/>
        <v>114</v>
      </c>
      <c r="I5" t="str">
        <f t="shared" ca="1" si="5"/>
        <v>In Haguenaer, C.; Ulbricht, V.; 
Lima, L. (eds) (2014).</v>
      </c>
      <c r="J5" s="3">
        <f t="shared" ca="1" si="9"/>
        <v>169</v>
      </c>
      <c r="K5" t="str">
        <f ca="1">SUBSTITUTE(D5,"and",";")</f>
        <v xml:space="preserve">Abrantes, S.; Gouveia, L. </v>
      </c>
      <c r="L5" t="str">
        <f t="shared" ca="1" si="7"/>
        <v xml:space="preserve">Quental, C. </v>
      </c>
      <c r="M5" t="str">
        <f ca="1">IFERROR(__xludf.DUMMYFUNCTION("""COMPUTED_VALUE""")," Gouveia, L. ")</f>
        <v xml:space="preserve"> Gouveia, L. </v>
      </c>
    </row>
    <row r="6" spans="1:15" ht="15.75" customHeight="1">
      <c r="A6">
        <f ca="1">IFERROR(__xludf.DUMMYFUNCTION("""COMPUTED_VALUE"""),17)</f>
        <v>17</v>
      </c>
      <c r="B6" t="str">
        <f ca="1">IFERROR(__xludf.DUMMYFUNCTION("""COMPUTED_VALUE"""),"Simões, L.; Gouveia, L. (2014). *Estudo exploratório sobre a utilização de 
Web 2.0 por docentes do ensino superior*. In Haguenaer, C.; Ulbricht, V.; 
Lima, L. (eds) (2014). Pesquisas em Linguagem e Educação no Contexto das 
Tecnologias Digitais. Curitiba"&amp;": Brasil, Editora CRV, pp 129-142. ISBN: 
978-85-8042-905-3.")</f>
        <v>Simões, L.; Gouveia, L. (2014). *Estudo exploratório sobre a utilização de 
Web 2.0 por docentes do ensino superior*. In Haguenaer, C.; Ulbricht, V.; 
Lima, L. (eds) (2014). Pesquisas em Linguagem e Educação no Contexto das 
Tecnologias Digitais. Curitiba: Brasil, Editora CRV, pp 129-142. ISBN: 
978-85-8042-905-3.</v>
      </c>
      <c r="C6" s="2">
        <f t="shared" ca="1" si="0"/>
        <v>25</v>
      </c>
      <c r="D6" t="str">
        <f t="shared" ca="1" si="8"/>
        <v xml:space="preserve">Simões, L.; Gouveia, L. </v>
      </c>
      <c r="E6" t="str">
        <f t="shared" ca="1" si="1"/>
        <v>2014</v>
      </c>
      <c r="F6" t="str">
        <f t="shared" ca="1" si="2"/>
        <v xml:space="preserve"> *Estudo exploratório sobre a utilização de 
Web 2.0</v>
      </c>
      <c r="G6" s="3">
        <f t="shared" ca="1" si="3"/>
        <v>30</v>
      </c>
      <c r="H6" s="2">
        <f t="shared" ca="1" si="4"/>
        <v>82</v>
      </c>
      <c r="I6" t="str">
        <f t="shared" ca="1" si="5"/>
        <v xml:space="preserve"> por docentes do ensino superior*. In Haguenaer, C.; Ulbricht, V.; 
Lima, L. (eds) (2014).</v>
      </c>
      <c r="J6" s="3">
        <f t="shared" ca="1" si="9"/>
        <v>172</v>
      </c>
      <c r="K6" t="str">
        <f t="shared" ca="1" si="6"/>
        <v xml:space="preserve">Simões, L.; Gouveia, L. </v>
      </c>
      <c r="L6" t="str">
        <f t="shared" ca="1" si="7"/>
        <v xml:space="preserve">Quental, C. </v>
      </c>
      <c r="M6" t="str">
        <f ca="1">IFERROR(__xludf.DUMMYFUNCTION("""COMPUTED_VALUE""")," Gouveia, L. ")</f>
        <v xml:space="preserve"> Gouveia, L. </v>
      </c>
    </row>
    <row r="7" spans="1:15" ht="15.75" customHeight="1">
      <c r="A7">
        <f ca="1">IFERROR(__xludf.DUMMYFUNCTION("""COMPUTED_VALUE"""),16)</f>
        <v>16</v>
      </c>
      <c r="B7" t="str">
        <f ca="1">IFERROR(__xludf.DUMMYFUNCTION("""COMPUTED_VALUE"""),"Peres, P.; Gouveia, L. (2014). *Desenhando Percursos de Aprendizagem: 
contributos para a estruturação de iniciativas de b-learning*. In 
Haguenaer, C.; Ulbricht, V.; Lima, L. (eds) (2014). Pesquisas em Linguagem 
e Educação no Contexto das Tecnologias Di"&amp;"gitais. Curitiba: Brasil, Editora 
CRV, pp 155-180. ISBN: 978-85-8042-905-3.")</f>
        <v>Peres, P.; Gouveia, L. (2014). *Desenhando Percursos de Aprendizagem: 
contributos para a estruturação de iniciativas de b-learning*. In 
Haguenaer, C.; Ulbricht, V.; Lima, L. (eds) (2014). Pesquisas em Linguagem 
e Educação no Contexto das Tecnologias Digitais. Curitiba: Brasil, Editora 
CRV, pp 155-180. ISBN: 978-85-8042-905-3.</v>
      </c>
      <c r="C7" s="2">
        <f t="shared" ca="1" si="0"/>
        <v>24</v>
      </c>
      <c r="D7" t="str">
        <f t="shared" ca="1" si="8"/>
        <v xml:space="preserve">Peres, P.; Gouveia, L. </v>
      </c>
      <c r="E7" t="str">
        <f t="shared" ca="1" si="1"/>
        <v>2014</v>
      </c>
      <c r="F7" t="str">
        <f t="shared" ca="1" si="2"/>
        <v xml:space="preserve"> *Desenhando Percursos de Aprendizagem: 
contributos para a estruturação de iniciativas de b-learning*. </v>
      </c>
      <c r="G7" s="3">
        <f t="shared" ca="1" si="3"/>
        <v>29</v>
      </c>
      <c r="H7" s="2">
        <f t="shared" ca="1" si="4"/>
        <v>133</v>
      </c>
      <c r="I7" t="str">
        <f t="shared" ca="1" si="5"/>
        <v>In 
Haguenaer, C.; Ulbricht, V.; Lima, L. (eds) (2014).</v>
      </c>
      <c r="J7" s="3">
        <f t="shared" ca="1" si="9"/>
        <v>188</v>
      </c>
      <c r="K7" t="str">
        <f t="shared" ca="1" si="6"/>
        <v xml:space="preserve">Peres, P.; Gouveia, L. </v>
      </c>
      <c r="L7" t="str">
        <f t="shared" ca="1" si="7"/>
        <v xml:space="preserve">Quental, C. </v>
      </c>
      <c r="M7" t="str">
        <f ca="1">IFERROR(__xludf.DUMMYFUNCTION("""COMPUTED_VALUE""")," Gouveia, L. ")</f>
        <v xml:space="preserve"> Gouveia, L. </v>
      </c>
    </row>
    <row r="8" spans="1:15" ht="15.75" customHeight="1">
      <c r="A8">
        <f ca="1">IFERROR(__xludf.DUMMYFUNCTION("""COMPUTED_VALUE"""),15)</f>
        <v>15</v>
      </c>
      <c r="B8" t="str">
        <f ca="1">IFERROR(__xludf.DUMMYFUNCTION("""COMPUTED_VALUE"""),"Sousa, A.; Agante, P. and Gouveia, L. (2014). Proposal for the Use of 
Digital Mediation for Public Direct Participation during Electoral Periods. 
in Rahman, H. and Dinis, R. (2014). Information Systems and Technology for 
Organizational Agility, Intelli"&amp;"gence, and Resilience (pp 62-96). IGI. 
Hershey, PA: Information Science Reference.")</f>
        <v>Sousa, A.; Agante, P. and Gouveia, L. (2014). Proposal for the Use of 
Digital Mediation for Public Direct Participation during Electoral Periods. 
in Rahman, H. and Dinis, R. (2014). Information Systems and Technology for 
Organizational Agility, Intelligence, and Resilience (pp 62-96). IGI. 
Hershey, PA: Information Science Reference.</v>
      </c>
      <c r="C8" s="2">
        <f t="shared" ca="1" si="0"/>
        <v>39</v>
      </c>
      <c r="D8" t="str">
        <f t="shared" ca="1" si="8"/>
        <v xml:space="preserve">Sousa, A.; Agante, P. and Gouveia, L. </v>
      </c>
      <c r="E8" t="str">
        <f t="shared" ca="1" si="1"/>
        <v>2014</v>
      </c>
      <c r="F8" t="str">
        <f t="shared" ca="1" si="2"/>
        <v xml:space="preserve"> Proposal for the Use of 
Digital Mediation for Public Direct Participation during Electoral Periods. </v>
      </c>
      <c r="G8" s="3">
        <f t="shared" ca="1" si="3"/>
        <v>44</v>
      </c>
      <c r="H8" s="2">
        <f t="shared" ca="1" si="4"/>
        <v>146</v>
      </c>
      <c r="I8" t="str">
        <f t="shared" ca="1" si="5"/>
        <v xml:space="preserve">
in Rahman, H. and Dinis, R. (2014).</v>
      </c>
      <c r="J8" s="3">
        <f t="shared" ca="1" si="9"/>
        <v>182</v>
      </c>
      <c r="K8" t="str">
        <f t="shared" ca="1" si="6"/>
        <v xml:space="preserve">Sousa, A.; Agante, P. ; Gouveia, L. </v>
      </c>
      <c r="L8" t="str">
        <f t="shared" ca="1" si="7"/>
        <v xml:space="preserve">Quental, C. </v>
      </c>
      <c r="M8" t="str">
        <f ca="1">IFERROR(__xludf.DUMMYFUNCTION("""COMPUTED_VALUE""")," Agante, P. ")</f>
        <v xml:space="preserve"> Agante, P. </v>
      </c>
      <c r="N8" t="str">
        <f ca="1">IFERROR(__xludf.DUMMYFUNCTION("""COMPUTED_VALUE""")," Gouveia, L. ")</f>
        <v xml:space="preserve"> Gouveia, L. </v>
      </c>
    </row>
    <row r="9" spans="1:15" ht="15.75" customHeight="1">
      <c r="A9">
        <f ca="1">IFERROR(__xludf.DUMMYFUNCTION("""COMPUTED_VALUE"""),14)</f>
        <v>14</v>
      </c>
      <c r="B9" t="str">
        <f ca="1">IFERROR(__xludf.DUMMYFUNCTION("""COMPUTED_VALUE"""),"Abrantes, S. L., &amp; Gouveia, L. B. (2014). *Using Games for Primary School: 
Assessing its Use with Flow Experience*. In I. Association (Ed.), K-12 
Education: Concepts, Methodologies, Tools, and Applications (pp. 840-852). 
Hershey, PA: Information Scienc"&amp;"e Reference. 
doi:10.4018/978-1-4666-4502-8.ch049. Sousa, A.;")</f>
        <v>Abrantes, S. L., &amp; Gouveia, L. B. (2014). *Using Games for Primary School: 
Assessing its Use with Flow Experience*. In I. Association (Ed.), K-12 
Education: Concepts, Methodologies, Tools, and Applications (pp. 840-852). 
Hershey, PA: Information Science Reference. 
doi:10.4018/978-1-4666-4502-8.ch049. Sousa, A.;</v>
      </c>
      <c r="C9" s="2">
        <f t="shared" ca="1" si="0"/>
        <v>35</v>
      </c>
      <c r="D9" t="str">
        <f t="shared" ca="1" si="8"/>
        <v xml:space="preserve">Abrantes, S. L., &amp; Gouveia, L. B. </v>
      </c>
      <c r="E9" t="str">
        <f t="shared" ca="1" si="1"/>
        <v>2014</v>
      </c>
      <c r="F9" t="str">
        <f t="shared" ca="1" si="2"/>
        <v xml:space="preserve"> *Using Games for Primary School: 
Assessing its Use with Flow Experience*. </v>
      </c>
      <c r="G9" s="3">
        <f t="shared" ca="1" si="3"/>
        <v>40</v>
      </c>
      <c r="H9" s="2">
        <f t="shared" ca="1" si="4"/>
        <v>116</v>
      </c>
      <c r="I9" t="str">
        <f t="shared" ca="1" si="5"/>
        <v>In I. Association (Ed.), K-12 
Education: Concepts, Methodologies, Tools, and Applications (pp. 840-852).</v>
      </c>
      <c r="J9" s="3">
        <f t="shared" ca="1" si="9"/>
        <v>221</v>
      </c>
      <c r="K9" t="str">
        <f t="shared" ca="1" si="6"/>
        <v xml:space="preserve">Abrantes, S. L., &amp; Gouveia, L. B. </v>
      </c>
      <c r="L9" t="str">
        <f t="shared" ca="1" si="7"/>
        <v xml:space="preserve">Quental, C. </v>
      </c>
    </row>
    <row r="10" spans="1:15" ht="15.75" customHeight="1">
      <c r="A10">
        <f ca="1">IFERROR(__xludf.DUMMYFUNCTION("""COMPUTED_VALUE"""),13)</f>
        <v>13</v>
      </c>
      <c r="B10" t="str">
        <f ca="1">IFERROR(__xludf.DUMMYFUNCTION("""COMPUTED_VALUE"""),"Sousa, A.; Agante, P. and Gouveia, L. (2012). *A Worked Proposal on 
eParticipation for State Wide Elections*. in Ko, A. et al. (Eds): Advancing 
Democracy, Government and Governance.  Lecture Notes in Computer Science, 
LCNS. Volume 7452, pp 178-190. Spr"&amp;"inger-Verlag Berlin Heidelberg. ISBN: 
978-3-642-32700-1.")</f>
        <v>Sousa, A.; Agante, P. and Gouveia, L. (2012). *A Worked Proposal on 
eParticipation for State Wide Elections*. in Ko, A. et al. (Eds): Advancing 
Democracy, Government and Governance.  Lecture Notes in Computer Science, 
LCNS. Volume 7452, pp 178-190. Springer-Verlag Berlin Heidelberg. ISBN: 
978-3-642-32700-1.</v>
      </c>
      <c r="C10" s="2">
        <f t="shared" ca="1" si="0"/>
        <v>39</v>
      </c>
      <c r="D10" t="str">
        <f t="shared" ca="1" si="8"/>
        <v xml:space="preserve">Sousa, A.; Agante, P. and Gouveia, L. </v>
      </c>
      <c r="E10" t="str">
        <f t="shared" ca="1" si="1"/>
        <v>2012</v>
      </c>
      <c r="F10" t="str">
        <f t="shared" ca="1" si="2"/>
        <v xml:space="preserve"> *A Worked Proposal on 
eParticipation for State Wide Elections*. </v>
      </c>
      <c r="G10" s="3">
        <f t="shared" ca="1" si="3"/>
        <v>44</v>
      </c>
      <c r="H10" s="2">
        <f t="shared" ca="1" si="4"/>
        <v>110</v>
      </c>
      <c r="I10" t="e">
        <f t="shared" ca="1" si="5"/>
        <v>#VALUE!</v>
      </c>
      <c r="J10" s="3" t="e">
        <f t="shared" ca="1" si="9"/>
        <v>#VALUE!</v>
      </c>
      <c r="K10" t="str">
        <f t="shared" ca="1" si="6"/>
        <v xml:space="preserve">Sousa, A.; Agante, P. ; Gouveia, L. </v>
      </c>
      <c r="L10" t="str">
        <f t="shared" ca="1" si="7"/>
        <v xml:space="preserve">Quental, C. </v>
      </c>
      <c r="M10" t="str">
        <f ca="1">IFERROR(__xludf.DUMMYFUNCTION("""COMPUTED_VALUE""")," Agante, P. ")</f>
        <v xml:space="preserve"> Agante, P. </v>
      </c>
      <c r="N10" t="str">
        <f ca="1">IFERROR(__xludf.DUMMYFUNCTION("""COMPUTED_VALUE""")," Gouveia, L. ")</f>
        <v xml:space="preserve"> Gouveia, L. </v>
      </c>
    </row>
    <row r="11" spans="1:15" ht="15.75" customHeight="1">
      <c r="A11">
        <f ca="1">IFERROR(__xludf.DUMMYFUNCTION("""COMPUTED_VALUE"""),12)</f>
        <v>12</v>
      </c>
      <c r="B11" t="str">
        <f ca="1">IFERROR(__xludf.DUMMYFUNCTION("""COMPUTED_VALUE"""),"Abrantes, S. and Gouveia, L. (2012). *Using Games for Primary School: 
Assessing its Use with Flow Experience*. Cruz-Cunha, M. (2012). Handbook of 
Research on Serious Games as Educational, Business and Research Tools, pp 
769-781. ISBN 9781466601499.")</f>
        <v>Abrantes, S. and Gouveia, L. (2012). *Using Games for Primary School: 
Assessing its Use with Flow Experience*. Cruz-Cunha, M. (2012). Handbook of 
Research on Serious Games as Educational, Business and Research Tools, pp 
769-781. ISBN 9781466601499.</v>
      </c>
      <c r="C11" s="2">
        <f t="shared" ca="1" si="0"/>
        <v>30</v>
      </c>
      <c r="D11" t="str">
        <f t="shared" ca="1" si="8"/>
        <v xml:space="preserve">Abrantes, S. and Gouveia, L. </v>
      </c>
      <c r="E11" t="str">
        <f t="shared" ca="1" si="1"/>
        <v>2012</v>
      </c>
      <c r="F11" t="str">
        <f t="shared" ca="1" si="2"/>
        <v xml:space="preserve"> *Using Games for Primary School: 
Assessing its Use with Flow Experience*. </v>
      </c>
      <c r="G11" s="3">
        <f t="shared" ca="1" si="3"/>
        <v>35</v>
      </c>
      <c r="H11" s="2">
        <f t="shared" ca="1" si="4"/>
        <v>111</v>
      </c>
      <c r="I11" t="str">
        <f t="shared" ca="1" si="5"/>
        <v>Cruz-Cunha, M. (2012).</v>
      </c>
      <c r="J11" s="3">
        <f t="shared" ca="1" si="9"/>
        <v>133</v>
      </c>
      <c r="K11" t="str">
        <f t="shared" ca="1" si="6"/>
        <v xml:space="preserve">Abrantes, S. ; Gouveia, L. </v>
      </c>
      <c r="L11" t="str">
        <f t="shared" ca="1" si="7"/>
        <v xml:space="preserve">Quental, C. </v>
      </c>
      <c r="M11" t="str">
        <f ca="1">IFERROR(__xludf.DUMMYFUNCTION("""COMPUTED_VALUE""")," Gouveia, L. ")</f>
        <v xml:space="preserve"> Gouveia, L. </v>
      </c>
    </row>
    <row r="12" spans="1:15" ht="15.75" customHeight="1">
      <c r="A12">
        <f ca="1">IFERROR(__xludf.DUMMYFUNCTION("""COMPUTED_VALUE"""),11)</f>
        <v>11</v>
      </c>
      <c r="B12" t="str">
        <f ca="1">IFERROR(__xludf.DUMMYFUNCTION("""COMPUTED_VALUE"""),"Sousa, A; Agante, P and Gouveia, L. (2011). *iLeger: A Web Based 
Application for Participative Elections*. In E. Tambouris, E.; Macintosh, 
A. and de Bruijn, H. (Eds.) (2011)  Electronic Participation. Lecture Notes 
in Computer Science, LCNS. Volume 684"&amp;"7, pp. 228–239. Springer-Verlag Berlin 
Heidelberg. ISBN: 978-3-642-23332-6.")</f>
        <v>Sousa, A; Agante, P and Gouveia, L. (2011). *iLeger: A Web Based 
Application for Participative Elections*. In E. Tambouris, E.; Macintosh, 
A. and de Bruijn, H. (Eds.) (2011)  Electronic Participation. Lecture Notes 
in Computer Science, LCNS. Volume 6847, pp. 228–239. Springer-Verlag Berlin 
Heidelberg. ISBN: 978-3-642-23332-6.</v>
      </c>
      <c r="C12" s="2">
        <f t="shared" ca="1" si="0"/>
        <v>37</v>
      </c>
      <c r="D12" t="str">
        <f t="shared" ca="1" si="8"/>
        <v xml:space="preserve">Sousa, A; Agante, P and Gouveia, L. </v>
      </c>
      <c r="E12" t="str">
        <f t="shared" ca="1" si="1"/>
        <v>2011</v>
      </c>
      <c r="F12" t="str">
        <f t="shared" ca="1" si="2"/>
        <v xml:space="preserve"> *iLeger: A Web Based 
Application for Participative Elections*. </v>
      </c>
      <c r="G12" s="3">
        <f t="shared" ca="1" si="3"/>
        <v>42</v>
      </c>
      <c r="H12" s="2">
        <f t="shared" ca="1" si="4"/>
        <v>107</v>
      </c>
      <c r="I12" t="e">
        <f t="shared" ca="1" si="5"/>
        <v>#VALUE!</v>
      </c>
      <c r="J12" s="3" t="e">
        <f t="shared" ca="1" si="9"/>
        <v>#VALUE!</v>
      </c>
      <c r="K12" t="str">
        <f t="shared" ca="1" si="6"/>
        <v xml:space="preserve">Sousa, A; Agante, P ; Gouveia, L. </v>
      </c>
      <c r="L12" t="str">
        <f t="shared" ca="1" si="7"/>
        <v xml:space="preserve">Quental, C. </v>
      </c>
      <c r="M12" t="str">
        <f ca="1">IFERROR(__xludf.DUMMYFUNCTION("""COMPUTED_VALUE""")," Agante, P ")</f>
        <v xml:space="preserve"> Agante, P </v>
      </c>
      <c r="N12" t="str">
        <f ca="1">IFERROR(__xludf.DUMMYFUNCTION("""COMPUTED_VALUE""")," Gouveia, L. ")</f>
        <v xml:space="preserve"> Gouveia, L. </v>
      </c>
    </row>
    <row r="13" spans="1:15" ht="15.75" customHeight="1">
      <c r="A13">
        <f ca="1">IFERROR(__xludf.DUMMYFUNCTION("""COMPUTED_VALUE"""),10)</f>
        <v>10</v>
      </c>
      <c r="B13" t="str">
        <f ca="1">IFERROR(__xludf.DUMMYFUNCTION("""COMPUTED_VALUE"""),"Quental, C. e Gouveia, L. (2011). *Evaluation of a mobile platform to 
support collaborative learning: case study*. In Cruz-Cunha, M. e Moreira, 
F. (2011). Handbook of Research on Mobility and Computing: Evolving 
Technoloies and Ubiquitous Impacts. IGI."&amp;" ISBN 9781609600426, pp 974-993: 
doi:10.4018/978-1-60960-042-6.ch060.")</f>
        <v>Quental, C. e Gouveia, L. (2011). *Evaluation of a mobile platform to 
support collaborative learning: case study*. In Cruz-Cunha, M. e Moreira, 
F. (2011). Handbook of Research on Mobility and Computing: Evolving 
Technoloies and Ubiquitous Impacts. IGI. ISBN 9781609600426, pp 974-993: 
doi:10.4018/978-1-60960-042-6.ch060.</v>
      </c>
      <c r="C13" s="2">
        <f t="shared" ca="1" si="0"/>
        <v>27</v>
      </c>
      <c r="D13" t="str">
        <f t="shared" ca="1" si="8"/>
        <v xml:space="preserve">Quental, C. e Gouveia, L. </v>
      </c>
      <c r="E13" t="str">
        <f t="shared" ca="1" si="1"/>
        <v>2011</v>
      </c>
      <c r="F13" t="str">
        <f t="shared" ca="1" si="2"/>
        <v xml:space="preserve"> *Evaluation of a mobile platform to 
support collaborative learning: case study*. </v>
      </c>
      <c r="G13" s="3">
        <f t="shared" ca="1" si="3"/>
        <v>32</v>
      </c>
      <c r="H13" s="2">
        <f t="shared" ca="1" si="4"/>
        <v>115</v>
      </c>
      <c r="I13" t="str">
        <f t="shared" ca="1" si="5"/>
        <v>In Cruz-Cunha, M. e Moreira, 
F. (2011).</v>
      </c>
      <c r="J13" s="3">
        <f t="shared" ca="1" si="9"/>
        <v>155</v>
      </c>
      <c r="K13" t="str">
        <f t="shared" ca="1" si="6"/>
        <v xml:space="preserve">Quental, C. e Gouveia, L. </v>
      </c>
      <c r="L13" t="str">
        <f t="shared" ca="1" si="7"/>
        <v xml:space="preserve">Quental, C. </v>
      </c>
    </row>
    <row r="14" spans="1:15" ht="15.75" customHeight="1">
      <c r="A14">
        <f ca="1">IFERROR(__xludf.DUMMYFUNCTION("""COMPUTED_VALUE"""),9)</f>
        <v>9</v>
      </c>
      <c r="B14" t="str">
        <f ca="1">IFERROR(__xludf.DUMMYFUNCTION("""COMPUTED_VALUE"""),"Sousa, A.; Agante, P. and Gouveia, L. (2010). *Governmeter: monitoring 
government performance. A Web Based Application Proposal*. in Andersen, K. 
et al. (eds) (2010). Electronic Government and the Information Systems 
Perspective. Lecture Notes in Compu"&amp;"ter Science, LCNS. Volume 6267, pp 
158-165. Berlin: Springer-Verlag Berlin Heidelberg. ISBN: 
978-3-642-15171-2.")</f>
        <v>Sousa, A.; Agante, P. and Gouveia, L. (2010). *Governmeter: monitoring 
government performance. A Web Based Application Proposal*. in Andersen, K. 
et al. (eds) (2010). Electronic Government and the Information Systems 
Perspective. Lecture Notes in Computer Science, LCNS. Volume 6267, pp 
158-165. Berlin: Springer-Verlag Berlin Heidelberg. ISBN: 
978-3-642-15171-2.</v>
      </c>
      <c r="C14" s="2">
        <f t="shared" ca="1" si="0"/>
        <v>39</v>
      </c>
      <c r="D14" t="str">
        <f t="shared" ca="1" si="8"/>
        <v xml:space="preserve">Sousa, A.; Agante, P. and Gouveia, L. </v>
      </c>
      <c r="E14" t="str">
        <f t="shared" ca="1" si="1"/>
        <v>2010</v>
      </c>
      <c r="F14" t="str">
        <f t="shared" ca="1" si="2"/>
        <v xml:space="preserve"> *Governmeter: monitoring 
government performance. </v>
      </c>
      <c r="G14" s="3">
        <f t="shared" ca="1" si="3"/>
        <v>44</v>
      </c>
      <c r="H14" s="2">
        <f t="shared" ca="1" si="4"/>
        <v>95</v>
      </c>
      <c r="I14" t="str">
        <f t="shared" ca="1" si="5"/>
        <v>A Web Based Application Proposal*. in Andersen, K. 
et al. (eds) (2010).</v>
      </c>
      <c r="J14" s="3">
        <f t="shared" ca="1" si="9"/>
        <v>167</v>
      </c>
      <c r="K14" t="str">
        <f t="shared" ca="1" si="6"/>
        <v xml:space="preserve">Sousa, A.; Agante, P. ; Gouveia, L. </v>
      </c>
      <c r="L14" t="str">
        <f t="shared" ca="1" si="7"/>
        <v xml:space="preserve">Quental, C. </v>
      </c>
      <c r="M14" t="str">
        <f ca="1">IFERROR(__xludf.DUMMYFUNCTION("""COMPUTED_VALUE""")," Agante, P. ")</f>
        <v xml:space="preserve"> Agante, P. </v>
      </c>
      <c r="N14" t="str">
        <f ca="1">IFERROR(__xludf.DUMMYFUNCTION("""COMPUTED_VALUE""")," Gouveia, L. ")</f>
        <v xml:space="preserve"> Gouveia, L. </v>
      </c>
    </row>
    <row r="15" spans="1:15" ht="15.75" customHeight="1">
      <c r="A15">
        <f ca="1">IFERROR(__xludf.DUMMYFUNCTION("""COMPUTED_VALUE"""),8)</f>
        <v>8</v>
      </c>
      <c r="B15" t="str">
        <f ca="1">IFERROR(__xludf.DUMMYFUNCTION("""COMPUTED_VALUE"""),"Fernandes, N.; Gouveia, F. and Gouveia, L. (2009) *UFP-UV: UFP in the Sakai 
Project*. In Berg, A. and Korcuska, M. (2009). *Sakai Courseware 
Management. The Official Guide*. London: Packt Publishing. ISBN: 1847199402.")</f>
        <v>Fernandes, N.; Gouveia, F. and Gouveia, L. (2009) *UFP-UV: UFP in the Sakai 
Project*. In Berg, A. and Korcuska, M. (2009). *Sakai Courseware 
Management. The Official Guide*. London: Packt Publishing. ISBN: 1847199402.</v>
      </c>
      <c r="C15" s="2">
        <f t="shared" ca="1" si="0"/>
        <v>44</v>
      </c>
      <c r="D15" t="str">
        <f t="shared" ca="1" si="8"/>
        <v xml:space="preserve">Fernandes, N.; Gouveia, F. and Gouveia, L. </v>
      </c>
      <c r="E15" t="str">
        <f t="shared" ca="1" si="1"/>
        <v>2009</v>
      </c>
      <c r="F15" t="str">
        <f t="shared" ca="1" si="2"/>
        <v xml:space="preserve"> *Sakai Courseware 
Management. </v>
      </c>
      <c r="G15" s="3">
        <f t="shared" ca="1" si="3"/>
        <v>122</v>
      </c>
      <c r="H15" s="2">
        <f t="shared" ca="1" si="4"/>
        <v>154</v>
      </c>
      <c r="I15" t="e">
        <f t="shared" ca="1" si="5"/>
        <v>#VALUE!</v>
      </c>
      <c r="J15" s="3" t="e">
        <f t="shared" ca="1" si="9"/>
        <v>#VALUE!</v>
      </c>
      <c r="K15" t="str">
        <f t="shared" ca="1" si="6"/>
        <v xml:space="preserve">Fern;es, N.; Gouveia, F. ; Gouveia, L. </v>
      </c>
      <c r="L15" t="str">
        <f t="shared" ca="1" si="7"/>
        <v xml:space="preserve">Quental, C. </v>
      </c>
      <c r="M15" t="str">
        <f ca="1">IFERROR(__xludf.DUMMYFUNCTION("""COMPUTED_VALUE"""),"es, N.")</f>
        <v>es, N.</v>
      </c>
      <c r="N15" t="str">
        <f ca="1">IFERROR(__xludf.DUMMYFUNCTION("""COMPUTED_VALUE""")," Gouveia, F. ")</f>
        <v xml:space="preserve"> Gouveia, F. </v>
      </c>
      <c r="O15" t="str">
        <f ca="1">IFERROR(__xludf.DUMMYFUNCTION("""COMPUTED_VALUE""")," Gouveia, L. ")</f>
        <v xml:space="preserve"> Gouveia, L. </v>
      </c>
    </row>
    <row r="16" spans="1:15" ht="15.75" customHeight="1">
      <c r="A16">
        <f ca="1">IFERROR(__xludf.DUMMYFUNCTION("""COMPUTED_VALUE"""),7)</f>
        <v>7</v>
      </c>
      <c r="B16" t="str">
        <f ca="1">IFERROR(__xludf.DUMMYFUNCTION("""COMPUTED_VALUE"""),"Gouveia, L. (2005). *Emergent Skills in Higher Education: The Quest for 
Emotion and Virtual University*. Chapter Three in Preston, D. (2005). 
Contemporary Issues in Education. Volume 33. A volume in the At the 
Interface project 'The Idea of Education'."&amp;" Rodopi. ISBN 90 420 1684 1, pp 
37-48.")</f>
        <v>Gouveia, L. (2005). *Emergent Skills in Higher Education: The Quest for 
Emotion and Virtual University*. Chapter Three in Preston, D. (2005). 
Contemporary Issues in Education. Volume 33. A volume in the At the 
Interface project 'The Idea of Education'. Rodopi. ISBN 90 420 1684 1, pp 
37-48.</v>
      </c>
      <c r="C16" s="2">
        <f t="shared" ca="1" si="0"/>
        <v>13</v>
      </c>
      <c r="D16" t="str">
        <f t="shared" ca="1" si="8"/>
        <v xml:space="preserve">Gouveia, L. </v>
      </c>
      <c r="E16" t="str">
        <f t="shared" ca="1" si="1"/>
        <v>2005</v>
      </c>
      <c r="F16" t="str">
        <f t="shared" ca="1" si="2"/>
        <v xml:space="preserve"> *Emergent Skills in Higher Education: The Quest for 
Emotion and Virtual University*. </v>
      </c>
      <c r="G16" s="3">
        <f t="shared" ca="1" si="3"/>
        <v>18</v>
      </c>
      <c r="H16" s="2">
        <f t="shared" ca="1" si="4"/>
        <v>105</v>
      </c>
      <c r="I16" t="str">
        <f t="shared" ca="1" si="5"/>
        <v>Chapter Three in Preston, D. (2005).</v>
      </c>
      <c r="J16" s="3">
        <f t="shared" ca="1" si="9"/>
        <v>141</v>
      </c>
      <c r="K16" t="str">
        <f t="shared" ca="1" si="6"/>
        <v xml:space="preserve">Gouveia, L. </v>
      </c>
      <c r="L16" t="str">
        <f t="shared" ca="1" si="7"/>
        <v xml:space="preserve">Quental, C. </v>
      </c>
    </row>
    <row r="17" spans="1:15" ht="15.75" customHeight="1">
      <c r="A17">
        <f ca="1">IFERROR(__xludf.DUMMYFUNCTION("""COMPUTED_VALUE"""),6)</f>
        <v>6</v>
      </c>
      <c r="B17" t="str">
        <f ca="1">IFERROR(__xludf.DUMMYFUNCTION("""COMPUTED_VALUE"""),"Gouveia, L. (2004). *Emergent skills in higher education: the quest for 
emotion and virtual university*. In Preston, D. and Nguyen, T. (Eds). 
Virtuality and Education. A Reader. Inter-Disciplinary Press. Oxford, 
United Kingdom: Publishing Creative Rese"&amp;"arch. e-book. ISBN: 1-904710-10-7, 
pp 14-18. 
e-book completo [ pdf(0,99MB) ].")</f>
        <v>Gouveia, L. (2004). *Emergent skills in higher education: the quest for 
emotion and virtual university*. In Preston, D. and Nguyen, T. (Eds). 
Virtuality and Education. A Reader. Inter-Disciplinary Press. Oxford, 
United Kingdom: Publishing Creative Research. e-book. ISBN: 1-904710-10-7, 
pp 14-18. 
e-book completo [ pdf(0,99MB) ].</v>
      </c>
      <c r="C17" s="2">
        <f t="shared" ca="1" si="0"/>
        <v>13</v>
      </c>
      <c r="D17" t="str">
        <f t="shared" ca="1" si="8"/>
        <v xml:space="preserve">Gouveia, L. </v>
      </c>
      <c r="E17" t="str">
        <f t="shared" ca="1" si="1"/>
        <v>2004</v>
      </c>
      <c r="F17" t="str">
        <f t="shared" ca="1" si="2"/>
        <v xml:space="preserve"> *Emergent skills in higher education: the quest for 
emotion and virtual university*. </v>
      </c>
      <c r="G17" s="3">
        <f t="shared" ca="1" si="3"/>
        <v>18</v>
      </c>
      <c r="H17" s="2">
        <f t="shared" ca="1" si="4"/>
        <v>105</v>
      </c>
      <c r="I17" t="str">
        <f t="shared" ca="1" si="5"/>
        <v>In Preston, D. and Nguyen, T. (Eds).</v>
      </c>
      <c r="J17" s="3">
        <f t="shared" ca="1" si="9"/>
        <v>141</v>
      </c>
      <c r="K17" t="str">
        <f t="shared" ca="1" si="6"/>
        <v xml:space="preserve">Gouveia, L. </v>
      </c>
      <c r="L17" t="str">
        <f t="shared" ca="1" si="7"/>
        <v xml:space="preserve">Quental, C. </v>
      </c>
    </row>
    <row r="18" spans="1:15" ht="15.75" customHeight="1">
      <c r="A18">
        <f ca="1">IFERROR(__xludf.DUMMYFUNCTION("""COMPUTED_VALUE"""),5)</f>
        <v>5</v>
      </c>
      <c r="B18" t="str">
        <f ca="1">IFERROR(__xludf.DUMMYFUNCTION("""COMPUTED_VALUE"""),"Gouveia, L. and Gouveia, J. (2003). *EFTWeb: A Model for the Enhanced Use 
of Educational Materials,* in Albalooshi, F. (ed.) Virtual Education Cases 
in Learning &amp; Teaching Technologies. Chapter VI. Idea Group Publishing. 
ISBN: 1-9317777-82-9, pp 75-90.")</f>
        <v>Gouveia, L. and Gouveia, J. (2003). *EFTWeb: A Model for the Enhanced Use 
of Educational Materials,* in Albalooshi, F. (ed.) Virtual Education Cases 
in Learning &amp; Teaching Technologies. Chapter VI. Idea Group Publishing. 
ISBN: 1-9317777-82-9, pp 75-90.</v>
      </c>
      <c r="C18" s="2">
        <f t="shared" ca="1" si="0"/>
        <v>29</v>
      </c>
      <c r="D18" t="str">
        <f t="shared" ca="1" si="8"/>
        <v xml:space="preserve">Gouveia, L. and Gouveia, J. </v>
      </c>
      <c r="E18" t="str">
        <f t="shared" ca="1" si="1"/>
        <v>2003</v>
      </c>
      <c r="F18" t="str">
        <f t="shared" ca="1" si="2"/>
        <v xml:space="preserve"> *EFTWeb: A Model for the Enhanced Use 
of Educational Materials,* in Albalooshi, F. </v>
      </c>
      <c r="G18" s="3">
        <f t="shared" ca="1" si="3"/>
        <v>34</v>
      </c>
      <c r="H18" s="2">
        <f t="shared" ca="1" si="4"/>
        <v>119</v>
      </c>
      <c r="I18" t="e">
        <f t="shared" ca="1" si="5"/>
        <v>#VALUE!</v>
      </c>
      <c r="J18" s="3" t="e">
        <f t="shared" ca="1" si="9"/>
        <v>#VALUE!</v>
      </c>
      <c r="K18" t="str">
        <f t="shared" ca="1" si="6"/>
        <v xml:space="preserve">Gouveia, L. ; Gouveia, J. </v>
      </c>
      <c r="L18" t="str">
        <f t="shared" ca="1" si="7"/>
        <v xml:space="preserve">Quental, C. </v>
      </c>
      <c r="M18" t="str">
        <f ca="1">IFERROR(__xludf.DUMMYFUNCTION("""COMPUTED_VALUE""")," Gouveia, J. ")</f>
        <v xml:space="preserve"> Gouveia, J. </v>
      </c>
    </row>
    <row r="19" spans="1:15" ht="15.75" customHeight="1">
      <c r="A19">
        <f ca="1">IFERROR(__xludf.DUMMYFUNCTION("""COMPUTED_VALUE"""),4)</f>
        <v>4</v>
      </c>
      <c r="B19" t="str">
        <f ca="1">IFERROR(__xludf.DUMMYFUNCTION("""COMPUTED_VALUE"""),"Rurato, P.; Gouveia, L. and Gouveia, J. (2002). *A Study on Adult Education 
and Distance Learning*. Mendez, A. et al. (eds) Educational Technology: 
International Conference on Information and Communication Technologies in 
Education. Junta de Extremadur"&amp;"a. Vol. I, pp 78-80. ISBN I-84-95251-77-9. 
paper [ pdf(22KB)]")</f>
        <v>Rurato, P.; Gouveia, L. and Gouveia, J. (2002). *A Study on Adult Education 
and Distance Learning*. Mendez, A. et al. (eds) Educational Technology: 
International Conference on Information and Communication Technologies in 
Education. Junta de Extremadura. Vol. I, pp 78-80. ISBN I-84-95251-77-9. 
paper [ pdf(22KB)]</v>
      </c>
      <c r="C19" s="2">
        <f t="shared" ca="1" si="0"/>
        <v>41</v>
      </c>
      <c r="D19" t="str">
        <f t="shared" ca="1" si="8"/>
        <v xml:space="preserve">Rurato, P.; Gouveia, L. and Gouveia, J. </v>
      </c>
      <c r="E19" t="str">
        <f t="shared" ca="1" si="1"/>
        <v>2002</v>
      </c>
      <c r="F19" t="str">
        <f t="shared" ca="1" si="2"/>
        <v xml:space="preserve"> *A Study on Adult Education 
and Distance Learning*. </v>
      </c>
      <c r="G19" s="3">
        <f t="shared" ca="1" si="3"/>
        <v>46</v>
      </c>
      <c r="H19" s="2">
        <f t="shared" ca="1" si="4"/>
        <v>100</v>
      </c>
      <c r="I19" t="e">
        <f t="shared" ca="1" si="5"/>
        <v>#VALUE!</v>
      </c>
      <c r="J19" s="3" t="e">
        <f t="shared" ca="1" si="9"/>
        <v>#VALUE!</v>
      </c>
      <c r="K19" t="str">
        <f t="shared" ca="1" si="6"/>
        <v xml:space="preserve">Rurato, P.; Gouveia, L. ; Gouveia, J. </v>
      </c>
      <c r="L19" t="str">
        <f t="shared" ca="1" si="7"/>
        <v xml:space="preserve">Quental, C. </v>
      </c>
      <c r="M19" t="str">
        <f ca="1">IFERROR(__xludf.DUMMYFUNCTION("""COMPUTED_VALUE""")," Gouveia, L. ")</f>
        <v xml:space="preserve"> Gouveia, L. </v>
      </c>
      <c r="N19" t="str">
        <f ca="1">IFERROR(__xludf.DUMMYFUNCTION("""COMPUTED_VALUE""")," Gouveia, J. ")</f>
        <v xml:space="preserve"> Gouveia, J. </v>
      </c>
    </row>
    <row r="20" spans="1:15" ht="15.75" customHeight="1">
      <c r="A20">
        <f ca="1">IFERROR(__xludf.DUMMYFUNCTION("""COMPUTED_VALUE"""),3)</f>
        <v>3</v>
      </c>
      <c r="B20" t="str">
        <f ca="1">IFERROR(__xludf.DUMMYFUNCTION("""COMPUTED_VALUE"""),"Gouveia, L. (2002). *A Proposal to Support Collaborative Learning: using a 
structure to share context*. Mendez, A. et al. (eds) Educational 
Technology: International Conference on Information and Communication 
Technologies in Education. Junta de Extrem"&amp;"adura. Vol. I, pp 63-67. ISBN 
I-84-95251-77-9. 
paper [ pdf(34KB)] ]")</f>
        <v>Gouveia, L. (2002). *A Proposal to Support Collaborative Learning: using a 
structure to share context*. Mendez, A. et al. (eds) Educational 
Technology: International Conference on Information and Communication 
Technologies in Education. Junta de Extremadura. Vol. I, pp 63-67. ISBN 
I-84-95251-77-9. 
paper [ pdf(34KB)] ]</v>
      </c>
      <c r="C20" s="2">
        <f t="shared" ca="1" si="0"/>
        <v>13</v>
      </c>
      <c r="D20" t="str">
        <f t="shared" ca="1" si="8"/>
        <v xml:space="preserve">Gouveia, L. </v>
      </c>
      <c r="E20" t="str">
        <f t="shared" ca="1" si="1"/>
        <v>2002</v>
      </c>
      <c r="F20" t="str">
        <f t="shared" ca="1" si="2"/>
        <v xml:space="preserve"> *A Proposal to Support Collaborative Learning: using a 
structure to share context*. </v>
      </c>
      <c r="G20" s="3">
        <f t="shared" ca="1" si="3"/>
        <v>18</v>
      </c>
      <c r="H20" s="2">
        <f t="shared" ca="1" si="4"/>
        <v>104</v>
      </c>
      <c r="I20" t="e">
        <f t="shared" ca="1" si="5"/>
        <v>#VALUE!</v>
      </c>
      <c r="J20" s="3" t="e">
        <f t="shared" ca="1" si="9"/>
        <v>#VALUE!</v>
      </c>
      <c r="K20" t="str">
        <f t="shared" ca="1" si="6"/>
        <v xml:space="preserve">Gouveia, L. </v>
      </c>
      <c r="L20" t="str">
        <f t="shared" ca="1" si="7"/>
        <v xml:space="preserve">Quental, C. </v>
      </c>
    </row>
    <row r="21" spans="1:15" ht="15.75" customHeight="1">
      <c r="A21">
        <f ca="1">IFERROR(__xludf.DUMMYFUNCTION("""COMPUTED_VALUE"""),2)</f>
        <v>2</v>
      </c>
      <c r="B21" t="str">
        <f ca="1">IFERROR(__xludf.DUMMYFUNCTION("""COMPUTED_VALUE"""),"Gouveia, L. and Gouveia, F. (2002). *Evaluation of a visualisation design 
for knowledge sharing and information discovery*. In J.Filipe, Sharp, B. 
and Miranda, P. (Eds.), 2002. Enterprise Information Systems III. Kluwer 
Academic Publishers, Dordrecht, "&amp;"The Netherlands. March 2002, ISBN 
1-4020-0563-6, pp 83-89.")</f>
        <v>Gouveia, L. and Gouveia, F. (2002). *Evaluation of a visualisation design 
for knowledge sharing and information discovery*. In J.Filipe, Sharp, B. 
and Miranda, P. (Eds.), 2002. Enterprise Information Systems III. Kluwer 
Academic Publishers, Dordrecht, The Netherlands. March 2002, ISBN 
1-4020-0563-6, pp 83-89.</v>
      </c>
      <c r="C21" s="2">
        <f t="shared" ca="1" si="0"/>
        <v>29</v>
      </c>
      <c r="D21" t="str">
        <f t="shared" ca="1" si="8"/>
        <v xml:space="preserve">Gouveia, L. and Gouveia, F. </v>
      </c>
      <c r="E21" t="str">
        <f t="shared" ca="1" si="1"/>
        <v>2002</v>
      </c>
      <c r="F21" t="str">
        <f t="shared" ca="1" si="2"/>
        <v xml:space="preserve"> *Evaluation of a visualisation design 
for knowledge sharing and information discovery*. </v>
      </c>
      <c r="G21" s="3">
        <f t="shared" ca="1" si="3"/>
        <v>34</v>
      </c>
      <c r="H21" s="2">
        <f t="shared" ca="1" si="4"/>
        <v>124</v>
      </c>
      <c r="I21" t="e">
        <f t="shared" ca="1" si="5"/>
        <v>#VALUE!</v>
      </c>
      <c r="J21" s="3" t="e">
        <f t="shared" ca="1" si="9"/>
        <v>#VALUE!</v>
      </c>
      <c r="K21" t="str">
        <f t="shared" ca="1" si="6"/>
        <v xml:space="preserve">Gouveia, L. ; Gouveia, F. </v>
      </c>
      <c r="L21" t="str">
        <f t="shared" ca="1" si="7"/>
        <v xml:space="preserve">Quental, C. </v>
      </c>
      <c r="M21" t="str">
        <f ca="1">IFERROR(__xludf.DUMMYFUNCTION("""COMPUTED_VALUE""")," Gouveia, F. ")</f>
        <v xml:space="preserve"> Gouveia, F. </v>
      </c>
    </row>
    <row r="22" spans="1:15" ht="15.75" customHeight="1">
      <c r="A22">
        <f ca="1">IFERROR(__xludf.DUMMYFUNCTION("""COMPUTED_VALUE"""),1)</f>
        <v>1</v>
      </c>
      <c r="B22" t="str">
        <f ca="1">IFERROR(__xludf.DUMMYFUNCTION("""COMPUTED_VALUE"""),"Gouveia, L. (2001). A technological related discussion on the potential of 
change in education, learning and training. in Ferrari, A. and Mealha, O. 
(eds.) Proceedings of TMR Euroconference. Universidade de Aveiro. Aveiro. 
Portugal, pp 53-60. ISBN 972-"&amp;"798-010-5. 
paper:  [ pdf (42KB) ]")</f>
        <v>Gouveia, L. (2001). A technological related discussion on the potential of 
change in education, learning and training. in Ferrari, A. and Mealha, O. 
(eds.) Proceedings of TMR Euroconference. Universidade de Aveiro. Aveiro. 
Portugal, pp 53-60. ISBN 972-798-010-5. 
paper:  [ pdf (42KB) ]</v>
      </c>
      <c r="C22" s="2">
        <f t="shared" ca="1" si="0"/>
        <v>13</v>
      </c>
      <c r="D22" t="str">
        <f t="shared" ca="1" si="8"/>
        <v xml:space="preserve">Gouveia, L. </v>
      </c>
      <c r="E22" t="str">
        <f t="shared" ca="1" si="1"/>
        <v>2001</v>
      </c>
      <c r="F22" t="str">
        <f t="shared" ca="1" si="2"/>
        <v xml:space="preserve"> A technological related discussion on the potential of 
change in education, learning and training. </v>
      </c>
      <c r="G22" s="3">
        <f t="shared" ca="1" si="3"/>
        <v>18</v>
      </c>
      <c r="H22" s="2">
        <f t="shared" ca="1" si="4"/>
        <v>119</v>
      </c>
      <c r="I22" t="e">
        <f t="shared" ca="1" si="5"/>
        <v>#VALUE!</v>
      </c>
      <c r="J22" s="3" t="e">
        <f t="shared" ca="1" si="9"/>
        <v>#VALUE!</v>
      </c>
      <c r="K22" t="str">
        <f t="shared" ca="1" si="6"/>
        <v xml:space="preserve">Gouveia, L. </v>
      </c>
      <c r="L22" t="str">
        <f t="shared" ca="1" si="7"/>
        <v xml:space="preserve">Quental, C. </v>
      </c>
    </row>
    <row r="23" spans="1:15" ht="15.75" customHeight="1">
      <c r="A23" t="str">
        <f ca="1">IFERROR(__xludf.DUMMYFUNCTION("""COMPUTED_VALUE"""),"_________")</f>
        <v>_________</v>
      </c>
      <c r="B23" t="str">
        <f ca="1">IFERROR(__xludf.DUMMYFUNCTION("""COMPUTED_VALUE"""),"em editoras nacionais / national editors")</f>
        <v>em editoras nacionais / national editors</v>
      </c>
      <c r="C23" s="2" t="e">
        <f t="shared" ca="1" si="0"/>
        <v>#VALUE!</v>
      </c>
      <c r="D23" t="e">
        <f t="shared" ca="1" si="8"/>
        <v>#VALUE!</v>
      </c>
      <c r="E23" t="e">
        <f t="shared" ca="1" si="1"/>
        <v>#VALUE!</v>
      </c>
      <c r="F23" t="e">
        <f t="shared" ca="1" si="2"/>
        <v>#VALUE!</v>
      </c>
      <c r="G23" s="3" t="e">
        <f t="shared" ca="1" si="3"/>
        <v>#VALUE!</v>
      </c>
      <c r="H23" s="2" t="e">
        <f t="shared" ca="1" si="4"/>
        <v>#VALUE!</v>
      </c>
      <c r="I23" t="e">
        <f t="shared" ca="1" si="5"/>
        <v>#VALUE!</v>
      </c>
      <c r="J23" s="3" t="e">
        <f t="shared" ca="1" si="9"/>
        <v>#VALUE!</v>
      </c>
      <c r="K23" t="e">
        <f t="shared" ca="1" si="6"/>
        <v>#VALUE!</v>
      </c>
      <c r="L23" t="str">
        <f t="shared" ca="1" si="7"/>
        <v xml:space="preserve">Quental, C. </v>
      </c>
    </row>
    <row r="24" spans="1:15" ht="15.75" customHeight="1">
      <c r="A24">
        <f ca="1">IFERROR(__xludf.DUMMYFUNCTION("""COMPUTED_VALUE"""),63)</f>
        <v>63</v>
      </c>
      <c r="B24" t="str">
        <f ca="1">IFERROR(__xludf.DUMMYFUNCTION("""COMPUTED_VALUE"""),"Araújo, P. e Gouveia, L. (2019). Gestão da Informação via Sistema Digital 
para a Educação Especial do Centro de Referência e Apoio a Educação 
Inclusiva - CRAEI. In Machado, M. (2019). Information Systems and 
Technology Management. Capítulo 20. Atena Ed"&amp;"itora. ISBN 978-85-7247-200-5. 
Pp 325-344. DOI 10.22533/at.ed.01219190320.
[ paper ]")</f>
        <v>Araújo, P. e Gouveia, L. (2019). Gestão da Informação via Sistema Digital 
para a Educação Especial do Centro de Referência e Apoio a Educação 
Inclusiva - CRAEI. In Machado, M. (2019). Information Systems and 
Technology Management. Capítulo 20. Atena Editora. ISBN 978-85-7247-200-5. 
Pp 325-344. DOI 10.22533/at.ed.01219190320.
[ paper ]</v>
      </c>
      <c r="C24" s="2">
        <f t="shared" ca="1" si="0"/>
        <v>26</v>
      </c>
      <c r="D24" t="str">
        <f t="shared" ca="1" si="8"/>
        <v xml:space="preserve">Araújo, P. e Gouveia, L. </v>
      </c>
      <c r="E24" t="str">
        <f t="shared" ca="1" si="1"/>
        <v>2019</v>
      </c>
      <c r="F24" t="str">
        <f t="shared" ca="1" si="2"/>
        <v xml:space="preserve"> Gestão da Informação via Sistema Digital 
para a Educação Especial do Centro de Referência e Apoio a Educação 
Inclusiva - CRAEI. </v>
      </c>
      <c r="G24" s="3">
        <f t="shared" ca="1" si="3"/>
        <v>31</v>
      </c>
      <c r="H24" s="2">
        <f t="shared" ca="1" si="4"/>
        <v>162</v>
      </c>
      <c r="I24" t="str">
        <f t="shared" ca="1" si="5"/>
        <v>In Machado, M. (2019).</v>
      </c>
      <c r="J24" s="3">
        <f t="shared" ca="1" si="9"/>
        <v>184</v>
      </c>
      <c r="K24" t="str">
        <f t="shared" ca="1" si="6"/>
        <v xml:space="preserve">Araújo, P. e Gouveia, L. </v>
      </c>
      <c r="L24" t="str">
        <f t="shared" ca="1" si="7"/>
        <v xml:space="preserve">Quental, C. </v>
      </c>
    </row>
    <row r="25" spans="1:15" ht="15.75" customHeight="1">
      <c r="A25">
        <f ca="1">IFERROR(__xludf.DUMMYFUNCTION("""COMPUTED_VALUE"""),62)</f>
        <v>62</v>
      </c>
      <c r="B25" t="str">
        <f ca="1">IFERROR(__xludf.DUMMYFUNCTION("""COMPUTED_VALUE"""),"Martins, E. e Gouveia, L. (2019). Google Drive na Aprendizagem 
Colaborativa. Educação e Tecnologias: Experiências, Desafios e 
Perspectivas. Ponta Grossa (PR): Atena Editora.
[ paper ]")</f>
        <v>Martins, E. e Gouveia, L. (2019). Google Drive na Aprendizagem 
Colaborativa. Educação e Tecnologias: Experiências, Desafios e 
Perspectivas. Ponta Grossa (PR): Atena Editora.
[ paper ]</v>
      </c>
      <c r="C25" s="2">
        <f t="shared" ca="1" si="0"/>
        <v>27</v>
      </c>
      <c r="D25" t="str">
        <f t="shared" ca="1" si="8"/>
        <v xml:space="preserve">Martins, E. e Gouveia, L. </v>
      </c>
      <c r="E25" t="str">
        <f t="shared" ca="1" si="1"/>
        <v>2019</v>
      </c>
      <c r="F25" t="str">
        <f t="shared" ca="1" si="2"/>
        <v xml:space="preserve"> Google Drive na Aprendizagem 
Colaborativa. </v>
      </c>
      <c r="G25" s="3">
        <f t="shared" ca="1" si="3"/>
        <v>32</v>
      </c>
      <c r="H25" s="2">
        <f t="shared" ca="1" si="4"/>
        <v>77</v>
      </c>
      <c r="I25" t="e">
        <f t="shared" ca="1" si="5"/>
        <v>#VALUE!</v>
      </c>
      <c r="J25" s="3" t="e">
        <f t="shared" ca="1" si="9"/>
        <v>#VALUE!</v>
      </c>
      <c r="K25" t="str">
        <f t="shared" ca="1" si="6"/>
        <v xml:space="preserve">Martins, E. e Gouveia, L. </v>
      </c>
      <c r="L25" t="str">
        <f t="shared" ca="1" si="7"/>
        <v xml:space="preserve">Quental, C. </v>
      </c>
    </row>
    <row r="26" spans="1:15" ht="15.75" customHeight="1">
      <c r="A26">
        <f ca="1">IFERROR(__xludf.DUMMYFUNCTION("""COMPUTED_VALUE"""),61)</f>
        <v>61</v>
      </c>
      <c r="B26" t="str">
        <f ca="1">IFERROR(__xludf.DUMMYFUNCTION("""COMPUTED_VALUE"""),"Martins, E. e Gouveia, L. (2019). Sala de Aula Invertida com WhatsApp. In 
Karina Durau (Org.). Demandas e Contextos da Educação no Século XXI, 
Capítulo 23, 254-263. Ponta Grossa (PR): Atena Editora. DOI 
10.22533/at.ed.82719040223.
[ paper ]")</f>
        <v>Martins, E. e Gouveia, L. (2019). Sala de Aula Invertida com WhatsApp. In 
Karina Durau (Org.). Demandas e Contextos da Educação no Século XXI, 
Capítulo 23, 254-263. Ponta Grossa (PR): Atena Editora. DOI 
10.22533/at.ed.82719040223.
[ paper ]</v>
      </c>
      <c r="C26" s="2">
        <f t="shared" ca="1" si="0"/>
        <v>27</v>
      </c>
      <c r="D26" t="str">
        <f t="shared" ca="1" si="8"/>
        <v xml:space="preserve">Martins, E. e Gouveia, L. </v>
      </c>
      <c r="E26" t="str">
        <f t="shared" ca="1" si="1"/>
        <v>2019</v>
      </c>
      <c r="F26" t="str">
        <f t="shared" ca="1" si="2"/>
        <v xml:space="preserve"> Sala de Aula Invertida com WhatsApp. </v>
      </c>
      <c r="G26" s="3">
        <f t="shared" ca="1" si="3"/>
        <v>32</v>
      </c>
      <c r="H26" s="2">
        <f t="shared" ca="1" si="4"/>
        <v>70</v>
      </c>
      <c r="I26" t="str">
        <f t="shared" ca="1" si="5"/>
        <v>In 
Karina Durau (Org.).</v>
      </c>
      <c r="J26" s="3">
        <f t="shared" ca="1" si="9"/>
        <v>94</v>
      </c>
      <c r="K26" t="str">
        <f t="shared" ca="1" si="6"/>
        <v xml:space="preserve">Martins, E. e Gouveia, L. </v>
      </c>
      <c r="L26" t="str">
        <f t="shared" ca="1" si="7"/>
        <v xml:space="preserve">Quental, C. </v>
      </c>
    </row>
    <row r="27" spans="1:15" ht="15.75" customHeight="1">
      <c r="A27">
        <f ca="1">IFERROR(__xludf.DUMMYFUNCTION("""COMPUTED_VALUE"""),60)</f>
        <v>60</v>
      </c>
      <c r="B27" t="str">
        <f ca="1">IFERROR(__xludf.DUMMYFUNCTION("""COMPUTED_VALUE"""),"Martins, E. e Gouveia, L. (2018). O Uso do WhatsApp no Ensino. In: Michélle 
Barreto Justus (Org.). Ensino, Pesquisa e Realizações, Capítulo 21, 
209-216. Ponta Grossa (PR): Atena Editora. DOI 10.22533/at.ed.06318121221
[ paper ]")</f>
        <v>Martins, E. e Gouveia, L. (2018). O Uso do WhatsApp no Ensino. In: Michélle 
Barreto Justus (Org.). Ensino, Pesquisa e Realizações, Capítulo 21, 
209-216. Ponta Grossa (PR): Atena Editora. DOI 10.22533/at.ed.06318121221
[ paper ]</v>
      </c>
      <c r="C27" s="2">
        <f t="shared" ca="1" si="0"/>
        <v>27</v>
      </c>
      <c r="D27" t="str">
        <f t="shared" ca="1" si="8"/>
        <v xml:space="preserve">Martins, E. e Gouveia, L. </v>
      </c>
      <c r="E27" t="str">
        <f t="shared" ca="1" si="1"/>
        <v>2018</v>
      </c>
      <c r="F27" t="str">
        <f t="shared" ca="1" si="2"/>
        <v xml:space="preserve"> O Uso do WhatsApp no Ensino. </v>
      </c>
      <c r="G27" s="3">
        <f t="shared" ca="1" si="3"/>
        <v>32</v>
      </c>
      <c r="H27" s="2">
        <f t="shared" ca="1" si="4"/>
        <v>62</v>
      </c>
      <c r="I27" t="str">
        <f t="shared" ca="1" si="5"/>
        <v>In: Michélle 
Barreto Justus (Org.).</v>
      </c>
      <c r="J27" s="3">
        <f t="shared" ca="1" si="9"/>
        <v>98</v>
      </c>
      <c r="K27" t="str">
        <f t="shared" ca="1" si="6"/>
        <v xml:space="preserve">Martins, E. e Gouveia, L. </v>
      </c>
      <c r="L27" t="str">
        <f t="shared" ca="1" si="7"/>
        <v xml:space="preserve">Quental, C. </v>
      </c>
    </row>
    <row r="28" spans="1:15" ht="15.75" customHeight="1">
      <c r="A28">
        <f ca="1">IFERROR(__xludf.DUMMYFUNCTION("""COMPUTED_VALUE"""),59)</f>
        <v>59</v>
      </c>
      <c r="B28" t="str">
        <f ca="1">IFERROR(__xludf.DUMMYFUNCTION("""COMPUTED_VALUE"""),"Martins, E.; Geraldes, W.; Afonseca, U.; Gouveia, L. (2018). Uso do Kahoot 
como Ferramenta de Aprendizagem. In: Francisca Júlia Camargo Dresch. (Org). 
Impactos das Tecnologias nas Ciências Humanas e Sociais Aplicadas v. 2. 
1ed, Capitulo 12, pp 153-159."&amp;" Ponta Grossa (PR): Atena Editora. DOI: 
10.22533/at.ed.758180511 
[ paper ]")</f>
        <v>Martins, E.; Geraldes, W.; Afonseca, U.; Gouveia, L. (2018). Uso do Kahoot 
como Ferramenta de Aprendizagem. In: Francisca Júlia Camargo Dresch. (Org). 
Impactos das Tecnologias nas Ciências Humanas e Sociais Aplicadas v. 2. 
1ed, Capitulo 12, pp 153-159. Ponta Grossa (PR): Atena Editora. DOI: 
10.22533/at.ed.758180511 
[ paper ]</v>
      </c>
      <c r="C28" s="2">
        <f t="shared" ca="1" si="0"/>
        <v>54</v>
      </c>
      <c r="D28" t="str">
        <f t="shared" ca="1" si="8"/>
        <v xml:space="preserve">Martins, E.; Geraldes, W.; Afonseca, U.; Gouveia, L. </v>
      </c>
      <c r="E28" t="str">
        <f t="shared" ca="1" si="1"/>
        <v>2018</v>
      </c>
      <c r="F28" t="str">
        <f t="shared" ca="1" si="2"/>
        <v xml:space="preserve"> Uso do Kahoot 
como Ferramenta de Aprendizagem. </v>
      </c>
      <c r="G28" s="3">
        <f t="shared" ca="1" si="3"/>
        <v>59</v>
      </c>
      <c r="H28" s="2">
        <f t="shared" ca="1" si="4"/>
        <v>108</v>
      </c>
      <c r="I28" t="str">
        <f t="shared" ca="1" si="5"/>
        <v>In: Francisca Júlia Camargo Dresch. (Org).</v>
      </c>
      <c r="J28" s="3">
        <f t="shared" ca="1" si="9"/>
        <v>150</v>
      </c>
      <c r="K28" t="str">
        <f t="shared" ca="1" si="6"/>
        <v xml:space="preserve">Martins, E.; Geraldes, W.; Afonseca, U.; Gouveia, L. </v>
      </c>
      <c r="L28" t="str">
        <f t="shared" ca="1" si="7"/>
        <v xml:space="preserve">Quental, C. </v>
      </c>
      <c r="M28" t="str">
        <f ca="1">IFERROR(__xludf.DUMMYFUNCTION("""COMPUTED_VALUE""")," Geraldes, W.")</f>
        <v xml:space="preserve"> Geraldes, W.</v>
      </c>
      <c r="N28" t="str">
        <f ca="1">IFERROR(__xludf.DUMMYFUNCTION("""COMPUTED_VALUE""")," Afonseca, U.")</f>
        <v xml:space="preserve"> Afonseca, U.</v>
      </c>
      <c r="O28" t="str">
        <f ca="1">IFERROR(__xludf.DUMMYFUNCTION("""COMPUTED_VALUE""")," Gouveia, L. ")</f>
        <v xml:space="preserve"> Gouveia, L. </v>
      </c>
    </row>
    <row r="29" spans="1:15" ht="15.75" customHeight="1">
      <c r="A29">
        <f ca="1">IFERROR(__xludf.DUMMYFUNCTION("""COMPUTED_VALUE"""),58)</f>
        <v>58</v>
      </c>
      <c r="B29" t="str">
        <f ca="1">IFERROR(__xludf.DUMMYFUNCTION("""COMPUTED_VALUE"""),"Martins, E. R.; Geraldes, W. B.; Afonseca, U. R.; Gouveia, L. M. B. (2018). 
Tecnologias Móveis em Contexto Educativo. In: Francisca Júlia Camargo 
Dresch. (Org.). Impactos das Tecnologias nas Ciências Humanas e Sociais 
Aplicadas; v. 2. 1ed, Capitulo 14,"&amp;" pp 168-177. Ponta Grossa (PR): Atena 
Editora. DOI: 10.22533/at.ed.758180511 
[ paper ]")</f>
        <v>Martins, E. R.; Geraldes, W. B.; Afonseca, U. R.; Gouveia, L. M. B. (2018). 
Tecnologias Móveis em Contexto Educativo. In: Francisca Júlia Camargo 
Dresch. (Org.). Impactos das Tecnologias nas Ciências Humanas e Sociais 
Aplicadas; v. 2. 1ed, Capitulo 14, pp 168-177. Ponta Grossa (PR): Atena 
Editora. DOI: 10.22533/at.ed.758180511 
[ paper ]</v>
      </c>
      <c r="C29" s="2">
        <f t="shared" ca="1" si="0"/>
        <v>69</v>
      </c>
      <c r="D29" t="str">
        <f t="shared" ca="1" si="8"/>
        <v xml:space="preserve">Martins, E. R.; Geraldes, W. B.; Afonseca, U. R.; Gouveia, L. M. B. </v>
      </c>
      <c r="E29" t="str">
        <f t="shared" ca="1" si="1"/>
        <v>2018</v>
      </c>
      <c r="F29" t="str">
        <f t="shared" ca="1" si="2"/>
        <v xml:space="preserve"> 
Tecnologias Móveis em Contexto Educativo. </v>
      </c>
      <c r="G29" s="3">
        <f t="shared" ca="1" si="3"/>
        <v>74</v>
      </c>
      <c r="H29" s="2">
        <f t="shared" ca="1" si="4"/>
        <v>118</v>
      </c>
      <c r="I29" t="str">
        <f t="shared" ca="1" si="5"/>
        <v>In: Francisca Júlia Camargo 
Dresch. (Org.).</v>
      </c>
      <c r="J29" s="3">
        <f t="shared" ca="1" si="9"/>
        <v>162</v>
      </c>
      <c r="K29" t="str">
        <f t="shared" ca="1" si="6"/>
        <v xml:space="preserve">Martins, E. R.; Geraldes, W. B.; Afonseca, U. R.; Gouveia, L. M. B. </v>
      </c>
      <c r="L29" t="str">
        <f t="shared" ca="1" si="7"/>
        <v xml:space="preserve">Quental, C. </v>
      </c>
      <c r="M29" t="str">
        <f ca="1">IFERROR(__xludf.DUMMYFUNCTION("""COMPUTED_VALUE""")," Geraldes, W. B.")</f>
        <v xml:space="preserve"> Geraldes, W. B.</v>
      </c>
      <c r="N29" t="str">
        <f ca="1">IFERROR(__xludf.DUMMYFUNCTION("""COMPUTED_VALUE""")," Afonseca, U. R.")</f>
        <v xml:space="preserve"> Afonseca, U. R.</v>
      </c>
      <c r="O29" t="str">
        <f ca="1">IFERROR(__xludf.DUMMYFUNCTION("""COMPUTED_VALUE""")," Gouveia, L. M. B. ")</f>
        <v xml:space="preserve"> Gouveia, L. M. B. </v>
      </c>
    </row>
    <row r="30" spans="1:15" ht="15.75" customHeight="1">
      <c r="A30">
        <f ca="1">IFERROR(__xludf.DUMMYFUNCTION("""COMPUTED_VALUE"""),57)</f>
        <v>57</v>
      </c>
      <c r="B30" t="str">
        <f ca="1">IFERROR(__xludf.DUMMYFUNCTION("""COMPUTED_VALUE"""),"Silva, C. e Gouveia, L. (2017). A Transparência e o e-government: um 
componente essencial para a democratização da informação. Boletim de Gestão 
Pública, N. 5 - Novembro/Dezembro. Instituto de Pesquisa e Estratégia 
Econômica do Ceará (IPECE). Governo d"&amp;"o Estado do Ceará. Brasil, pp 21-27.
[ boletim ]")</f>
        <v>Silva, C. e Gouveia, L. (2017). A Transparência e o e-government: um 
componente essencial para a democratização da informação. Boletim de Gestão 
Pública, N. 5 - Novembro/Dezembro. Instituto de Pesquisa e Estratégia 
Econômica do Ceará (IPECE). Governo do Estado do Ceará. Brasil, pp 21-27.
[ boletim ]</v>
      </c>
      <c r="C30" s="2">
        <f t="shared" ca="1" si="0"/>
        <v>25</v>
      </c>
      <c r="D30" t="str">
        <f t="shared" ca="1" si="8"/>
        <v xml:space="preserve">Silva, C. e Gouveia, L. </v>
      </c>
      <c r="E30" t="str">
        <f t="shared" ca="1" si="1"/>
        <v>2017</v>
      </c>
      <c r="F30" t="str">
        <f t="shared" ca="1" si="2"/>
        <v xml:space="preserve"> A Transparência e o e-government: um 
componente essencial para a democratização da informação. </v>
      </c>
      <c r="G30" s="3">
        <f t="shared" ca="1" si="3"/>
        <v>30</v>
      </c>
      <c r="H30" s="2">
        <f t="shared" ca="1" si="4"/>
        <v>127</v>
      </c>
      <c r="I30" t="str">
        <f t="shared" ca="1" si="5"/>
        <v>Boletim de Gestão 
Pública, N. 5 - Novembro/Dezembro. Instituto de Pesquisa e Estratégia 
Econômica do Ceará (IPECE).</v>
      </c>
      <c r="J30" s="3">
        <f t="shared" ca="1" si="9"/>
        <v>244</v>
      </c>
      <c r="K30" t="str">
        <f t="shared" ca="1" si="6"/>
        <v xml:space="preserve">Silva, C. e Gouveia, L. </v>
      </c>
      <c r="L30" t="str">
        <f t="shared" ca="1" si="7"/>
        <v xml:space="preserve">Quental, C. </v>
      </c>
    </row>
    <row r="31" spans="1:15" ht="15.75" customHeight="1">
      <c r="A31">
        <f ca="1">IFERROR(__xludf.DUMMYFUNCTION("""COMPUTED_VALUE"""),56)</f>
        <v>56</v>
      </c>
      <c r="B31" t="str">
        <f ca="1">IFERROR(__xludf.DUMMYFUNCTION("""COMPUTED_VALUE"""),"Khan, S. and Gouveia, L. (2017). Requirement for a Minimum Service Level 
Model for Cloud Providers and Users. In GADI (coord). (2018). Gabinete de 
Relações Internacionais e Apoio ao Desenvolvimento Institucional, 
Universidade Fernando Pessoa. eBook, At"&amp;"as dos Dias da Investigação na UFP 
2017 (UFP Research Days Proceedings). Porto. ISBN 978-989-643-144-9. 
[ ebook ]")</f>
        <v>Khan, S. and Gouveia, L. (2017). Requirement for a Minimum Service Level 
Model for Cloud Providers and Users. In GADI (coord). (2018). Gabinete de 
Relações Internacionais e Apoio ao Desenvolvimento Institucional, 
Universidade Fernando Pessoa. eBook, Atas dos Dias da Investigação na UFP 
2017 (UFP Research Days Proceedings). Porto. ISBN 978-989-643-144-9. 
[ ebook ]</v>
      </c>
      <c r="C31" s="2">
        <f t="shared" ca="1" si="0"/>
        <v>26</v>
      </c>
      <c r="D31" t="str">
        <f t="shared" ca="1" si="8"/>
        <v xml:space="preserve">Khan, S. and Gouveia, L. </v>
      </c>
      <c r="E31" t="str">
        <f t="shared" ca="1" si="1"/>
        <v>2017</v>
      </c>
      <c r="F31" t="str">
        <f t="shared" ca="1" si="2"/>
        <v xml:space="preserve"> Requirement for a Minimum Service Level 
Model for Cloud Providers and Users. </v>
      </c>
      <c r="G31" s="3">
        <f t="shared" ca="1" si="3"/>
        <v>31</v>
      </c>
      <c r="H31" s="2">
        <f t="shared" ca="1" si="4"/>
        <v>110</v>
      </c>
      <c r="I31" t="str">
        <f t="shared" ca="1" si="5"/>
        <v>In GADI (coord).</v>
      </c>
      <c r="J31" s="3">
        <f t="shared" ca="1" si="9"/>
        <v>126</v>
      </c>
      <c r="K31" t="str">
        <f t="shared" ca="1" si="6"/>
        <v xml:space="preserve">Khan, S. ; Gouveia, L. </v>
      </c>
      <c r="L31" t="str">
        <f t="shared" ca="1" si="7"/>
        <v xml:space="preserve">Quental, C. </v>
      </c>
      <c r="M31" t="str">
        <f ca="1">IFERROR(__xludf.DUMMYFUNCTION("""COMPUTED_VALUE""")," Gouveia, L. ")</f>
        <v xml:space="preserve"> Gouveia, L. </v>
      </c>
    </row>
    <row r="32" spans="1:15" ht="15.75" customHeight="1">
      <c r="A32">
        <f ca="1">IFERROR(__xludf.DUMMYFUNCTION("""COMPUTED_VALUE"""),55)</f>
        <v>55</v>
      </c>
      <c r="B32" t="str">
        <f ca="1">IFERROR(__xludf.DUMMYFUNCTION("""COMPUTED_VALUE"""),"Erdem, M. and Gouveia, L. (2017). The Concept of Tourism Security and 
Importance of ICT Usage in Portugal. In GADI (coord). (2018). Gabinete de 
Relações Internacionais e Apoio ao Desenvolvimento Institucional, 
Universidade Fernando Pessoa. eBook, Atas "&amp;"dos Dias da Investigação na UFP 
2017 (UFP Research Days Proceedings). Porto. ISBN 978-989-643-144-9. 
[ ebook ]")</f>
        <v>Erdem, M. and Gouveia, L. (2017). The Concept of Tourism Security and 
Importance of ICT Usage in Portugal. In GADI (coord). (2018). Gabinete de 
Relações Internacionais e Apoio ao Desenvolvimento Institucional, 
Universidade Fernando Pessoa. eBook, Atas dos Dias da Investigação na UFP 
2017 (UFP Research Days Proceedings). Porto. ISBN 978-989-643-144-9. 
[ ebook ]</v>
      </c>
      <c r="C32" s="2">
        <f t="shared" ca="1" si="0"/>
        <v>27</v>
      </c>
      <c r="D32" t="str">
        <f t="shared" ca="1" si="8"/>
        <v xml:space="preserve">Erdem, M. and Gouveia, L. </v>
      </c>
      <c r="E32" t="str">
        <f t="shared" ca="1" si="1"/>
        <v>2017</v>
      </c>
      <c r="F32" t="str">
        <f t="shared" ca="1" si="2"/>
        <v xml:space="preserve"> The Concept of Tourism Security and 
Importance of ICT Usage in Portugal. </v>
      </c>
      <c r="G32" s="3">
        <f t="shared" ca="1" si="3"/>
        <v>32</v>
      </c>
      <c r="H32" s="2">
        <f t="shared" ca="1" si="4"/>
        <v>107</v>
      </c>
      <c r="I32" t="str">
        <f t="shared" ca="1" si="5"/>
        <v>In GADI (coord).</v>
      </c>
      <c r="J32" s="3">
        <f t="shared" ca="1" si="9"/>
        <v>123</v>
      </c>
      <c r="K32" t="str">
        <f t="shared" ca="1" si="6"/>
        <v xml:space="preserve">Erdem, M. ; Gouveia, L. </v>
      </c>
      <c r="L32" t="str">
        <f t="shared" ca="1" si="7"/>
        <v xml:space="preserve">Quental, C. </v>
      </c>
      <c r="M32" t="str">
        <f ca="1">IFERROR(__xludf.DUMMYFUNCTION("""COMPUTED_VALUE""")," Gouveia, L. ")</f>
        <v xml:space="preserve"> Gouveia, L. </v>
      </c>
    </row>
    <row r="33" spans="1:14" ht="15.75" customHeight="1">
      <c r="A33">
        <f ca="1">IFERROR(__xludf.DUMMYFUNCTION("""COMPUTED_VALUE"""),54)</f>
        <v>54</v>
      </c>
      <c r="B33" t="str">
        <f ca="1">IFERROR(__xludf.DUMMYFUNCTION("""COMPUTED_VALUE"""),"Alvre, P.; Gouveia, L. and Sousa, S. (2017). The impact of interface 
animations on the user experience: directing customer’s attention in online 
shopping sites. In GADI (coord). (2018). Gabinete de Relações 
Internacionais e Apoio ao Desenvolvimento Ins"&amp;"titucional, Universidade 
Fernando Pessoa. eBook, Atas dos Dias da Investigação na UFP 2017 (UFP 
Research Days Proceedings). Porto. ISBN 978-989-643-144-9. 
[ ebook ]")</f>
        <v>Alvre, P.; Gouveia, L. and Sousa, S. (2017). The impact of interface 
animations on the user experience: directing customer’s attention in online 
shopping sites. In GADI (coord). (2018). Gabinete de Relações 
Internacionais e Apoio ao Desenvolvimento Institucional, Universidade 
Fernando Pessoa. eBook, Atas dos Dias da Investigação na UFP 2017 (UFP 
Research Days Proceedings). Porto. ISBN 978-989-643-144-9. 
[ ebook ]</v>
      </c>
      <c r="C33" s="2">
        <f t="shared" ca="1" si="0"/>
        <v>38</v>
      </c>
      <c r="D33" t="str">
        <f t="shared" ca="1" si="8"/>
        <v xml:space="preserve">Alvre, P.; Gouveia, L. and Sousa, S. </v>
      </c>
      <c r="E33" t="str">
        <f t="shared" ca="1" si="1"/>
        <v>2017</v>
      </c>
      <c r="F33" t="str">
        <f t="shared" ca="1" si="2"/>
        <v xml:space="preserve"> The impact of interface 
animations on the user experience: directing customer’s attention in online 
shopping sites. </v>
      </c>
      <c r="G33" s="3">
        <f t="shared" ca="1" si="3"/>
        <v>43</v>
      </c>
      <c r="H33" s="2">
        <f t="shared" ca="1" si="4"/>
        <v>162</v>
      </c>
      <c r="I33" t="str">
        <f t="shared" ca="1" si="5"/>
        <v>In GADI (coord).</v>
      </c>
      <c r="J33" s="3">
        <f t="shared" ca="1" si="9"/>
        <v>178</v>
      </c>
      <c r="K33" t="str">
        <f t="shared" ca="1" si="6"/>
        <v xml:space="preserve">Alvre, P.; Gouveia, L. ; Sousa, S. </v>
      </c>
      <c r="L33" t="str">
        <f t="shared" ca="1" si="7"/>
        <v xml:space="preserve">Quental, C. </v>
      </c>
      <c r="M33" t="str">
        <f ca="1">IFERROR(__xludf.DUMMYFUNCTION("""COMPUTED_VALUE""")," Gouveia, L. ")</f>
        <v xml:space="preserve"> Gouveia, L. </v>
      </c>
      <c r="N33" t="str">
        <f ca="1">IFERROR(__xludf.DUMMYFUNCTION("""COMPUTED_VALUE""")," Sousa, S. ")</f>
        <v xml:space="preserve"> Sousa, S. </v>
      </c>
    </row>
    <row r="34" spans="1:14" ht="15.75" customHeight="1">
      <c r="A34">
        <f ca="1">IFERROR(__xludf.DUMMYFUNCTION("""COMPUTED_VALUE"""),53)</f>
        <v>53</v>
      </c>
      <c r="B34" t="str">
        <f ca="1">IFERROR(__xludf.DUMMYFUNCTION("""COMPUTED_VALUE"""),"Lourenço, M.; Rurato, P. e Gouveia, L. (2017). (Re)aprendizagem do 
professor do ensino superior face ao triângulo educação, tecnologia e 
aprendizagem no Ensino a Distância. In GADI (coord). (2018). Gabinete de 
Relações Internacionais e Apoio ao Desenvo"&amp;"lvimento Institucional, 
Universidade Fernando Pessoa. eBook, Atas dos Dias da Investigação na UFP 
2017 (UFP Research Days Proceedings). Porto. ISBN 978-989-643-144-9.
[ ebook ]")</f>
        <v>Lourenço, M.; Rurato, P. e Gouveia, L. (2017). (Re)aprendizagem do 
professor do ensino superior face ao triângulo educação, tecnologia e 
aprendizagem no Ensino a Distância. In GADI (coord). (2018). Gabinete de 
Relações Internacionais e Apoio ao Desenvolvimento Institucional, 
Universidade Fernando Pessoa. eBook, Atas dos Dias da Investigação na UFP 
2017 (UFP Research Days Proceedings). Porto. ISBN 978-989-643-144-9.
[ ebook ]</v>
      </c>
      <c r="C34" s="2">
        <f t="shared" ca="1" si="0"/>
        <v>40</v>
      </c>
      <c r="D34" t="str">
        <f t="shared" ca="1" si="8"/>
        <v xml:space="preserve">Lourenço, M.; Rurato, P. e Gouveia, L. </v>
      </c>
      <c r="E34" t="str">
        <f t="shared" ca="1" si="1"/>
        <v>2017</v>
      </c>
      <c r="F34" t="str">
        <f t="shared" ca="1" si="2"/>
        <v xml:space="preserve"> (Re)aprendizagem do 
professor do ensino superior face ao triângulo educação, tecnologia e 
aprendizagem no Ensino a Distância. </v>
      </c>
      <c r="G34" s="3">
        <f t="shared" ca="1" si="3"/>
        <v>45</v>
      </c>
      <c r="H34" s="2">
        <f t="shared" ca="1" si="4"/>
        <v>174</v>
      </c>
      <c r="I34" t="str">
        <f t="shared" ca="1" si="5"/>
        <v>In GADI (coord).</v>
      </c>
      <c r="J34" s="3">
        <f t="shared" ca="1" si="9"/>
        <v>190</v>
      </c>
      <c r="K34" t="str">
        <f t="shared" ca="1" si="6"/>
        <v xml:space="preserve">Lourenço, M.; Rurato, P. e Gouveia, L. </v>
      </c>
      <c r="L34" t="str">
        <f t="shared" ca="1" si="7"/>
        <v xml:space="preserve">Quental, C. </v>
      </c>
      <c r="M34" t="str">
        <f ca="1">IFERROR(__xludf.DUMMYFUNCTION("""COMPUTED_VALUE""")," Rurato, P. e Gouveia, L. ")</f>
        <v xml:space="preserve"> Rurato, P. e Gouveia, L. </v>
      </c>
    </row>
    <row r="35" spans="1:14" ht="15.75" customHeight="1">
      <c r="A35">
        <f ca="1">IFERROR(__xludf.DUMMYFUNCTION("""COMPUTED_VALUE"""),52)</f>
        <v>52</v>
      </c>
      <c r="B35" t="str">
        <f ca="1">IFERROR(__xludf.DUMMYFUNCTION("""COMPUTED_VALUE"""),"Cordeiro, I.; Gouveia, L. e Cardoso, P. (2017). A atração dos consumidores 
para o comércio tradicional em um contexto digital: requisitos e 
expetativas. In GADI (coord). (2018). Gabinete de Relações Internacionais e 
Apoio ao Desenvolvimento Institucion"&amp;"al, Universidade Fernando Pessoa. 
eBook, Atas dos Dias da Investigação na UFP 2017 (UFP Research Days 
Proceedings). Porto. ISBN 978-989-643-144-9.
[ ebook ]")</f>
        <v>Cordeiro, I.; Gouveia, L. e Cardoso, P. (2017). A atração dos consumidores 
para o comércio tradicional em um contexto digital: requisitos e 
expetativas. In GADI (coord). (2018). Gabinete de Relações Internacionais e 
Apoio ao Desenvolvimento Institucional, Universidade Fernando Pessoa. 
eBook, Atas dos Dias da Investigação na UFP 2017 (UFP Research Days 
Proceedings). Porto. ISBN 978-989-643-144-9.
[ ebook ]</v>
      </c>
      <c r="C35" s="2">
        <f t="shared" ca="1" si="0"/>
        <v>41</v>
      </c>
      <c r="D35" t="str">
        <f t="shared" ca="1" si="8"/>
        <v xml:space="preserve">Cordeiro, I.; Gouveia, L. e Cardoso, P. </v>
      </c>
      <c r="E35" t="str">
        <f t="shared" ca="1" si="1"/>
        <v>2017</v>
      </c>
      <c r="F35" t="str">
        <f t="shared" ca="1" si="2"/>
        <v xml:space="preserve"> A atração dos consumidores 
para o comércio tradicional em um contexto digital: requisitos e 
expetativas. </v>
      </c>
      <c r="G35" s="3">
        <f t="shared" ca="1" si="3"/>
        <v>46</v>
      </c>
      <c r="H35" s="2">
        <f t="shared" ca="1" si="4"/>
        <v>154</v>
      </c>
      <c r="I35" t="str">
        <f t="shared" ca="1" si="5"/>
        <v>In GADI (coord).</v>
      </c>
      <c r="J35" s="3">
        <f t="shared" ca="1" si="9"/>
        <v>170</v>
      </c>
      <c r="K35" t="str">
        <f t="shared" ca="1" si="6"/>
        <v xml:space="preserve">Cordeiro, I.; Gouveia, L. e Cardoso, P. </v>
      </c>
      <c r="L35" t="str">
        <f t="shared" ca="1" si="7"/>
        <v xml:space="preserve">Quental, C. </v>
      </c>
      <c r="M35" t="str">
        <f ca="1">IFERROR(__xludf.DUMMYFUNCTION("""COMPUTED_VALUE""")," Gouveia, L. e Cardoso, P. ")</f>
        <v xml:space="preserve"> Gouveia, L. e Cardoso, P. </v>
      </c>
    </row>
    <row r="36" spans="1:14" ht="15.75" customHeight="1">
      <c r="A36">
        <f ca="1">IFERROR(__xludf.DUMMYFUNCTION("""COMPUTED_VALUE"""),51)</f>
        <v>51</v>
      </c>
      <c r="B36" t="str">
        <f ca="1">IFERROR(__xludf.DUMMYFUNCTION("""COMPUTED_VALUE"""),"Stenio, R. e Gouveia, L. (2017). Uso de modelos matemáticos interpretados 
em plataforma digital como estratégia para o ensino e aprendizagem da 
matemática. In GADI (coord). (2018). Gabinete de Relações Internacionais e 
Apoio ao Desenvolvimento Instituc"&amp;"ional, Universidade Fernando Pessoa. 
eBook, Atas dos Dias da Investigação na UFP 2017 (UFP Research Days 
Proceedings). Porto. ISBN 978-989-643-144-9.
[ ebook ]")</f>
        <v>Stenio, R. e Gouveia, L. (2017). Uso de modelos matemáticos interpretados 
em plataforma digital como estratégia para o ensino e aprendizagem da 
matemática. In GADI (coord). (2018). Gabinete de Relações Internacionais e 
Apoio ao Desenvolvimento Institucional, Universidade Fernando Pessoa. 
eBook, Atas dos Dias da Investigação na UFP 2017 (UFP Research Days 
Proceedings). Porto. ISBN 978-989-643-144-9.
[ ebook ]</v>
      </c>
      <c r="C36" s="2">
        <f t="shared" ca="1" si="0"/>
        <v>26</v>
      </c>
      <c r="D36" t="str">
        <f t="shared" ca="1" si="8"/>
        <v xml:space="preserve">Stenio, R. e Gouveia, L. </v>
      </c>
      <c r="E36" t="str">
        <f t="shared" ca="1" si="1"/>
        <v>2017</v>
      </c>
      <c r="F36" t="str">
        <f t="shared" ca="1" si="2"/>
        <v xml:space="preserve"> Uso de modelos matemáticos interpretados 
em plataforma digital como estratégia para o ensino e aprendizagem da 
matemática. </v>
      </c>
      <c r="G36" s="3">
        <f t="shared" ca="1" si="3"/>
        <v>31</v>
      </c>
      <c r="H36" s="2">
        <f t="shared" ca="1" si="4"/>
        <v>157</v>
      </c>
      <c r="I36" t="str">
        <f t="shared" ca="1" si="5"/>
        <v>In GADI (coord).</v>
      </c>
      <c r="J36" s="3">
        <f t="shared" ca="1" si="9"/>
        <v>173</v>
      </c>
      <c r="K36" t="str">
        <f t="shared" ca="1" si="6"/>
        <v xml:space="preserve">Stenio, R. e Gouveia, L. </v>
      </c>
      <c r="L36" t="str">
        <f t="shared" ca="1" si="7"/>
        <v xml:space="preserve">Quental, C. </v>
      </c>
    </row>
    <row r="37" spans="1:14" ht="15.75" customHeight="1">
      <c r="A37">
        <f ca="1">IFERROR(__xludf.DUMMYFUNCTION("""COMPUTED_VALUE"""),50)</f>
        <v>50</v>
      </c>
      <c r="B37" t="str">
        <f ca="1">IFERROR(__xludf.DUMMYFUNCTION("""COMPUTED_VALUE"""),"Morgado, R. e Gouveia, L. (2017). A importância da proteção do ciberespaço. 
In GADI (coord). (2018). Gabinete de Relações Internacionais e Apoio ao 
Desenvolvimento Institucional, Universidade Fernando Pessoa. eBook, Atas 
dos Dias da Investigação na UFP"&amp;" 2017 (UFP Research Days Proceedings). 
Porto. ISBN 978-989-643-144-9.
[ ebook ]")</f>
        <v>Morgado, R. e Gouveia, L. (2017). A importância da proteção do ciberespaço. 
In GADI (coord). (2018). Gabinete de Relações Internacionais e Apoio ao 
Desenvolvimento Institucional, Universidade Fernando Pessoa. eBook, Atas 
dos Dias da Investigação na UFP 2017 (UFP Research Days Proceedings). 
Porto. ISBN 978-989-643-144-9.
[ ebook ]</v>
      </c>
      <c r="C37" s="2">
        <f t="shared" ca="1" si="0"/>
        <v>27</v>
      </c>
      <c r="D37" t="str">
        <f t="shared" ca="1" si="8"/>
        <v xml:space="preserve">Morgado, R. e Gouveia, L. </v>
      </c>
      <c r="E37" t="str">
        <f t="shared" ca="1" si="1"/>
        <v>2017</v>
      </c>
      <c r="F37" t="str">
        <f t="shared" ca="1" si="2"/>
        <v xml:space="preserve"> A importância da proteção do ciberespaço. </v>
      </c>
      <c r="G37" s="3">
        <f t="shared" ca="1" si="3"/>
        <v>32</v>
      </c>
      <c r="H37" s="2">
        <f t="shared" ca="1" si="4"/>
        <v>75</v>
      </c>
      <c r="I37" t="str">
        <f t="shared" ca="1" si="5"/>
        <v xml:space="preserve">
In GADI (coord).</v>
      </c>
      <c r="J37" s="3">
        <f t="shared" ca="1" si="9"/>
        <v>92</v>
      </c>
      <c r="K37" t="str">
        <f t="shared" ca="1" si="6"/>
        <v xml:space="preserve">Morgado, R. e Gouveia, L. </v>
      </c>
      <c r="L37" t="str">
        <f t="shared" ca="1" si="7"/>
        <v xml:space="preserve">Quental, C. </v>
      </c>
    </row>
    <row r="38" spans="1:14" ht="15.75" customHeight="1">
      <c r="A38">
        <f ca="1">IFERROR(__xludf.DUMMYFUNCTION("""COMPUTED_VALUE"""),49)</f>
        <v>49</v>
      </c>
      <c r="B38" t="str">
        <f ca="1">IFERROR(__xludf.DUMMYFUNCTION("""COMPUTED_VALUE"""),"Menezes, N. e Gouveia, L. (2017). O recurso a tecnologias de informação e 
comunicação para suporte da atividade em sala de aula: uma proposta de 
modelo. In GADI (coord). (2018). Gabinete de Relações Internacionais e 
Apoio ao Desenvolvimento Institucion"&amp;"al, Universidade Fernando Pessoa. 
eBook, Atas dos Dias da Investigação na UFP 2017 (UFP Research Days 
Proceedings). Porto. ISBN 978-989-643-144-9.
[ ebook ]")</f>
        <v>Menezes, N. e Gouveia, L. (2017). O recurso a tecnologias de informação e 
comunicação para suporte da atividade em sala de aula: uma proposta de 
modelo. In GADI (coord). (2018). Gabinete de Relações Internacionais e 
Apoio ao Desenvolvimento Institucional, Universidade Fernando Pessoa. 
eBook, Atas dos Dias da Investigação na UFP 2017 (UFP Research Days 
Proceedings). Porto. ISBN 978-989-643-144-9.
[ ebook ]</v>
      </c>
      <c r="C38" s="2">
        <f t="shared" ca="1" si="0"/>
        <v>27</v>
      </c>
      <c r="D38" t="str">
        <f t="shared" ca="1" si="8"/>
        <v xml:space="preserve">Menezes, N. e Gouveia, L. </v>
      </c>
      <c r="E38" t="str">
        <f t="shared" ca="1" si="1"/>
        <v>2017</v>
      </c>
      <c r="F38" t="str">
        <f t="shared" ca="1" si="2"/>
        <v xml:space="preserve"> O recurso a tecnologias de informação e 
comunicação para suporte da atividade em sala de aula: uma proposta de 
modelo. </v>
      </c>
      <c r="G38" s="3">
        <f t="shared" ca="1" si="3"/>
        <v>32</v>
      </c>
      <c r="H38" s="2">
        <f t="shared" ca="1" si="4"/>
        <v>154</v>
      </c>
      <c r="I38" t="str">
        <f t="shared" ca="1" si="5"/>
        <v>In GADI (coord).</v>
      </c>
      <c r="J38" s="3">
        <f t="shared" ca="1" si="9"/>
        <v>170</v>
      </c>
      <c r="K38" t="str">
        <f t="shared" ca="1" si="6"/>
        <v xml:space="preserve">Menezes, N. e Gouveia, L. </v>
      </c>
      <c r="L38" t="str">
        <f t="shared" ca="1" si="7"/>
        <v xml:space="preserve">Quental, C. </v>
      </c>
    </row>
    <row r="39" spans="1:14" ht="15.75" customHeight="1">
      <c r="A39">
        <f ca="1">IFERROR(__xludf.DUMMYFUNCTION("""COMPUTED_VALUE"""),48)</f>
        <v>48</v>
      </c>
      <c r="B39" t="str">
        <f ca="1">IFERROR(__xludf.DUMMYFUNCTION("""COMPUTED_VALUE"""),"Oliveira, M. e Gouveia, L. (2017). Estudo da viabilidade da técnica de 
densidade radiográfica para mensuração de densidade óssea. In GADI (coord). 
(2018). Gabinete de Relações Internacionais e Apoio ao Desenvolvimento 
Institucional, Universidade Fernan"&amp;"do Pessoa. eBook, Atas dos Dias da 
Investigação na UFP 2017 (UFP Research Days Proceedings). Porto. ISBN 
978-989-643-144-9.
[ ebook ]")</f>
        <v>Oliveira, M. e Gouveia, L. (2017). Estudo da viabilidade da técnica de 
densidade radiográfica para mensuração de densidade óssea. In GADI (coord). 
(2018). Gabinete de Relações Internacionais e Apoio ao Desenvolvimento 
Institucional, Universidade Fernando Pessoa. eBook, Atas dos Dias da 
Investigação na UFP 2017 (UFP Research Days Proceedings). Porto. ISBN 
978-989-643-144-9.
[ ebook ]</v>
      </c>
      <c r="C39" s="2">
        <f t="shared" ca="1" si="0"/>
        <v>28</v>
      </c>
      <c r="D39" t="str">
        <f t="shared" ca="1" si="8"/>
        <v xml:space="preserve">Oliveira, M. e Gouveia, L. </v>
      </c>
      <c r="E39" t="str">
        <f t="shared" ca="1" si="1"/>
        <v>2017</v>
      </c>
      <c r="F39" t="str">
        <f t="shared" ca="1" si="2"/>
        <v xml:space="preserve"> Estudo da viabilidade da técnica de 
densidade radiográfica para mensuração de densidade óssea. </v>
      </c>
      <c r="G39" s="3">
        <f t="shared" ca="1" si="3"/>
        <v>33</v>
      </c>
      <c r="H39" s="2">
        <f t="shared" ca="1" si="4"/>
        <v>130</v>
      </c>
      <c r="I39" t="str">
        <f t="shared" ca="1" si="5"/>
        <v>In GADI (coord).</v>
      </c>
      <c r="J39" s="3">
        <f t="shared" ca="1" si="9"/>
        <v>146</v>
      </c>
      <c r="K39" t="str">
        <f t="shared" ca="1" si="6"/>
        <v xml:space="preserve">Oliveira, M. e Gouveia, L. </v>
      </c>
      <c r="L39" t="str">
        <f t="shared" ca="1" si="7"/>
        <v xml:space="preserve">Quental, C. </v>
      </c>
    </row>
    <row r="40" spans="1:14" ht="15.75" customHeight="1">
      <c r="A40">
        <f ca="1">IFERROR(__xludf.DUMMYFUNCTION("""COMPUTED_VALUE"""),47)</f>
        <v>47</v>
      </c>
      <c r="B40" t="str">
        <f ca="1">IFERROR(__xludf.DUMMYFUNCTION("""COMPUTED_VALUE"""),"Rocha, L. e Gouveia, L. (2017). A Economia compartilhada e os fatores que a 
influenciam. In GADI (coord). (2018). Gabinete de Relações Internacionais e 
Apoio ao Desenvolvimento Institucional, Universidade Fernando Pessoa. 
eBook, Atas dos Dias da Invest"&amp;"igação na UFP 2017 (UFP Research Days 
Proceedings). Porto. ISBN 978-989-643-144-9.
[ ebook ]")</f>
        <v>Rocha, L. e Gouveia, L. (2017). A Economia compartilhada e os fatores que a 
influenciam. In GADI (coord). (2018). Gabinete de Relações Internacionais e 
Apoio ao Desenvolvimento Institucional, Universidade Fernando Pessoa. 
eBook, Atas dos Dias da Investigação na UFP 2017 (UFP Research Days 
Proceedings). Porto. ISBN 978-989-643-144-9.
[ ebook ]</v>
      </c>
      <c r="C40" s="2">
        <f t="shared" ca="1" si="0"/>
        <v>25</v>
      </c>
      <c r="D40" t="str">
        <f t="shared" ca="1" si="8"/>
        <v xml:space="preserve">Rocha, L. e Gouveia, L. </v>
      </c>
      <c r="E40" t="str">
        <f t="shared" ca="1" si="1"/>
        <v>2017</v>
      </c>
      <c r="F40" t="str">
        <f t="shared" ca="1" si="2"/>
        <v xml:space="preserve"> A Economia compartilhada e os fatores que a 
influenciam. </v>
      </c>
      <c r="G40" s="3">
        <f t="shared" ca="1" si="3"/>
        <v>30</v>
      </c>
      <c r="H40" s="2">
        <f t="shared" ca="1" si="4"/>
        <v>89</v>
      </c>
      <c r="I40" t="str">
        <f t="shared" ca="1" si="5"/>
        <v>In GADI (coord).</v>
      </c>
      <c r="J40" s="3">
        <f t="shared" ca="1" si="9"/>
        <v>105</v>
      </c>
      <c r="K40" t="str">
        <f t="shared" ca="1" si="6"/>
        <v xml:space="preserve">Rocha, L. e Gouveia, L. </v>
      </c>
      <c r="L40" t="str">
        <f t="shared" ca="1" si="7"/>
        <v xml:space="preserve">Quental, C. </v>
      </c>
    </row>
    <row r="41" spans="1:14" ht="15.75" customHeight="1">
      <c r="A41">
        <f ca="1">IFERROR(__xludf.DUMMYFUNCTION("""COMPUTED_VALUE"""),46)</f>
        <v>46</v>
      </c>
      <c r="B41" t="str">
        <f ca="1">IFERROR(__xludf.DUMMYFUNCTION("""COMPUTED_VALUE"""),"Santos, F. e Gouveia, L. (2017). Relação dos fatores críticos de sucesso em 
gestão do conhecimento para empresas e alunos de Administração de Empresas 
no contexto brasileiro. In GADI (coord). (2018). Gabinete de Relações 
Internacionais e Apoio ao Desen"&amp;"volvimento Institucional, Universidade 
Fernando Pessoa. eBook, Atas dos Dias da Investigação na UFP 2017 (UFP 
Research Days Proceedings). Porto. ISBN 978-989-643-144-9.
[ ebook ]")</f>
        <v>Santos, F. e Gouveia, L. (2017). Relação dos fatores críticos de sucesso em 
gestão do conhecimento para empresas e alunos de Administração de Empresas 
no contexto brasileiro. In GADI (coord). (2018). Gabinete de Relações 
Internacionais e Apoio ao Desenvolvimento Institucional, Universidade 
Fernando Pessoa. eBook, Atas dos Dias da Investigação na UFP 2017 (UFP 
Research Days Proceedings). Porto. ISBN 978-989-643-144-9.
[ ebook ]</v>
      </c>
      <c r="C41" s="2">
        <f t="shared" ca="1" si="0"/>
        <v>26</v>
      </c>
      <c r="D41" t="str">
        <f t="shared" ca="1" si="8"/>
        <v xml:space="preserve">Santos, F. e Gouveia, L. </v>
      </c>
      <c r="E41" t="str">
        <f t="shared" ca="1" si="1"/>
        <v>2017</v>
      </c>
      <c r="F41" t="str">
        <f t="shared" ca="1" si="2"/>
        <v xml:space="preserve"> Relação dos fatores críticos de sucesso em 
gestão do conhecimento para empresas e alunos de Administração de Empresas 
no contexto brasileiro. </v>
      </c>
      <c r="G41" s="3">
        <f t="shared" ca="1" si="3"/>
        <v>31</v>
      </c>
      <c r="H41" s="2">
        <f t="shared" ca="1" si="4"/>
        <v>176</v>
      </c>
      <c r="I41" t="str">
        <f t="shared" ca="1" si="5"/>
        <v>In GADI (coord).</v>
      </c>
      <c r="J41" s="3">
        <f t="shared" ca="1" si="9"/>
        <v>192</v>
      </c>
      <c r="K41" t="str">
        <f t="shared" ca="1" si="6"/>
        <v xml:space="preserve">Santos, F. e Gouveia, L. </v>
      </c>
      <c r="L41" t="str">
        <f t="shared" ca="1" si="7"/>
        <v xml:space="preserve">Quental, C. </v>
      </c>
    </row>
    <row r="42" spans="1:14" ht="15.75" customHeight="1">
      <c r="A42">
        <f ca="1">IFERROR(__xludf.DUMMYFUNCTION("""COMPUTED_VALUE"""),45)</f>
        <v>45</v>
      </c>
      <c r="B42" t="str">
        <f ca="1">IFERROR(__xludf.DUMMYFUNCTION("""COMPUTED_VALUE"""),"Nogueira, D. e Gouveia, L. (2017). Estudo preliminar sobre competências nas 
redes digitais como estratégia de fortalecimento da Rede Nacional de 
Escolas de Governo do Brasil. In GADI (coord). (2018). Gabinete de Relações 
Internacionais e Apoio ao Desen"&amp;"volvimento Institucional, Universidade 
Fernando Pessoa. eBook, Atas dos Dias da Investigação na UFP 2017 (UFP 
Research Days Proceedings). Porto. ISBN 978-989-643-144-9.
[ ebook ]")</f>
        <v>Nogueira, D. e Gouveia, L. (2017). Estudo preliminar sobre competências nas 
redes digitais como estratégia de fortalecimento da Rede Nacional de 
Escolas de Governo do Brasil. In GADI (coord). (2018). Gabinete de Relações 
Internacionais e Apoio ao Desenvolvimento Institucional, Universidade 
Fernando Pessoa. eBook, Atas dos Dias da Investigação na UFP 2017 (UFP 
Research Days Proceedings). Porto. ISBN 978-989-643-144-9.
[ ebook ]</v>
      </c>
      <c r="C42" s="2">
        <f t="shared" ca="1" si="0"/>
        <v>28</v>
      </c>
      <c r="D42" t="str">
        <f t="shared" ca="1" si="8"/>
        <v xml:space="preserve">Nogueira, D. e Gouveia, L. </v>
      </c>
      <c r="E42" t="str">
        <f t="shared" ca="1" si="1"/>
        <v>2017</v>
      </c>
      <c r="F42" t="str">
        <f t="shared" ca="1" si="2"/>
        <v xml:space="preserve"> Estudo preliminar sobre competências nas 
redes digitais como estratégia de fortalecimento da Rede Nacional de 
Escolas de Governo do Brasil. </v>
      </c>
      <c r="G42" s="3">
        <f t="shared" ca="1" si="3"/>
        <v>33</v>
      </c>
      <c r="H42" s="2">
        <f t="shared" ca="1" si="4"/>
        <v>176</v>
      </c>
      <c r="I42" t="str">
        <f t="shared" ca="1" si="5"/>
        <v>In GADI (coord).</v>
      </c>
      <c r="J42" s="3">
        <f t="shared" ca="1" si="9"/>
        <v>192</v>
      </c>
      <c r="K42" t="str">
        <f t="shared" ca="1" si="6"/>
        <v xml:space="preserve">Nogueira, D. e Gouveia, L. </v>
      </c>
      <c r="L42" t="str">
        <f t="shared" ca="1" si="7"/>
        <v xml:space="preserve">Quental, C. </v>
      </c>
    </row>
    <row r="43" spans="1:14" ht="15.75" customHeight="1">
      <c r="A43">
        <f ca="1">IFERROR(__xludf.DUMMYFUNCTION("""COMPUTED_VALUE"""),44)</f>
        <v>44</v>
      </c>
      <c r="B43" t="str">
        <f ca="1">IFERROR(__xludf.DUMMYFUNCTION("""COMPUTED_VALUE"""),"Silva, C. e Gouveia, L. (2017). Transparência, ‘e-government’ e segurança 
da informação: uma contribuição para a sua discussão no contexto do poder 
público. In GADI (coord). (2018). Gabinete de Relações Internacionais e 
Apoio ao Desenvolvimento Institu"&amp;"cional, Universidade Fernando Pessoa. 
eBook, Atas dos Dias da Investigação na UFP 2017 (UFP Research Days 
Proceedings). Porto. ISBN 978-989-643-144-9.
[ ebook ]")</f>
        <v>Silva, C. e Gouveia, L. (2017). Transparência, ‘e-government’ e segurança 
da informação: uma contribuição para a sua discussão no contexto do poder 
público. In GADI (coord). (2018). Gabinete de Relações Internacionais e 
Apoio ao Desenvolvimento Institucional, Universidade Fernando Pessoa. 
eBook, Atas dos Dias da Investigação na UFP 2017 (UFP Research Days 
Proceedings). Porto. ISBN 978-989-643-144-9.
[ ebook ]</v>
      </c>
      <c r="C43" s="2">
        <f t="shared" ca="1" si="0"/>
        <v>25</v>
      </c>
      <c r="D43" t="str">
        <f t="shared" ca="1" si="8"/>
        <v xml:space="preserve">Silva, C. e Gouveia, L. </v>
      </c>
      <c r="E43" t="str">
        <f t="shared" ca="1" si="1"/>
        <v>2017</v>
      </c>
      <c r="F43" t="str">
        <f t="shared" ca="1" si="2"/>
        <v xml:space="preserve"> Transparência, ‘e-government’ e segurança 
da informação: uma contribuição para a sua discussão no contexto do poder 
público. </v>
      </c>
      <c r="G43" s="3">
        <f t="shared" ca="1" si="3"/>
        <v>30</v>
      </c>
      <c r="H43" s="2">
        <f t="shared" ca="1" si="4"/>
        <v>158</v>
      </c>
      <c r="I43" t="str">
        <f t="shared" ca="1" si="5"/>
        <v>In GADI (coord).</v>
      </c>
      <c r="J43" s="3">
        <f t="shared" ca="1" si="9"/>
        <v>174</v>
      </c>
      <c r="K43" t="str">
        <f t="shared" ca="1" si="6"/>
        <v xml:space="preserve">Silva, C. e Gouveia, L. </v>
      </c>
      <c r="L43" t="str">
        <f t="shared" ca="1" si="7"/>
        <v xml:space="preserve">Quental, C. </v>
      </c>
    </row>
    <row r="44" spans="1:14" ht="15.75" customHeight="1">
      <c r="A44">
        <f ca="1">IFERROR(__xludf.DUMMYFUNCTION("""COMPUTED_VALUE"""),43)</f>
        <v>43</v>
      </c>
      <c r="B44" t="str">
        <f ca="1">IFERROR(__xludf.DUMMYFUNCTION("""COMPUTED_VALUE"""),"Quental, C. e Gouveia, L. (2017). Mediação digital para participação 
pública: experiências de utilização em organizações sindicais. In GADI 
(coord). (2018). Gabinete de Relações Internacionais e Apoio ao 
Desenvolvimento Institucional, Universidade Fern"&amp;"ando Pessoa. eBook, Atas 
dos Dias da Investigação na UFP 2017 (UFP Research Days Proceedings). 
Porto. ISBN 978-989-643-144-9.
[ ebook ]")</f>
        <v>Quental, C. e Gouveia, L. (2017). Mediação digital para participação 
pública: experiências de utilização em organizações sindicais. In GADI 
(coord). (2018). Gabinete de Relações Internacionais e Apoio ao 
Desenvolvimento Institucional, Universidade Fernando Pessoa. eBook, Atas 
dos Dias da Investigação na UFP 2017 (UFP Research Days Proceedings). 
Porto. ISBN 978-989-643-144-9.
[ ebook ]</v>
      </c>
      <c r="C44" s="2">
        <f t="shared" ca="1" si="0"/>
        <v>27</v>
      </c>
      <c r="D44" t="str">
        <f t="shared" ca="1" si="8"/>
        <v xml:space="preserve">Quental, C. e Gouveia, L. </v>
      </c>
      <c r="E44" t="str">
        <f t="shared" ca="1" si="1"/>
        <v>2017</v>
      </c>
      <c r="F44" t="str">
        <f t="shared" ca="1" si="2"/>
        <v xml:space="preserve"> Mediação digital para participação 
pública: experiências de utilização em organizações sindicais. </v>
      </c>
      <c r="G44" s="3">
        <f t="shared" ca="1" si="3"/>
        <v>32</v>
      </c>
      <c r="H44" s="2">
        <f t="shared" ca="1" si="4"/>
        <v>132</v>
      </c>
      <c r="I44" t="str">
        <f t="shared" ca="1" si="5"/>
        <v>In GADI 
(coord).</v>
      </c>
      <c r="J44" s="3">
        <f t="shared" ca="1" si="9"/>
        <v>149</v>
      </c>
      <c r="K44" t="str">
        <f t="shared" ca="1" si="6"/>
        <v xml:space="preserve">Quental, C. e Gouveia, L. </v>
      </c>
      <c r="L44" t="str">
        <f t="shared" ca="1" si="7"/>
        <v xml:space="preserve">Quental, C. </v>
      </c>
    </row>
    <row r="45" spans="1:14" ht="15.75" customHeight="1">
      <c r="A45">
        <f ca="1">IFERROR(__xludf.DUMMYFUNCTION("""COMPUTED_VALUE"""),42)</f>
        <v>42</v>
      </c>
      <c r="B45" t="str">
        <f ca="1">IFERROR(__xludf.DUMMYFUNCTION("""COMPUTED_VALUE"""),"Araújo, A. e Gouveia, L. (2017). O digital nas instituições de ensino 
superior: justificação para o diagnóstico sobre a percepção de gestores, 
professores e alunos. In GADI (coord). (2018). Gabinete de Relações 
Internacionais e Apoio ao Desenvolvimento"&amp;" Institucional, Universidade 
Fernando Pessoa. eBook, Atas dos Dias da Investigação na UFP 2017 (UFP 
Research Days Proceedings). Porto. ISBN 978-989-643-144-9.
[ ebook ]")</f>
        <v>Araújo, A. e Gouveia, L. (2017). O digital nas instituições de ensino 
superior: justificação para o diagnóstico sobre a percepção de gestores, 
professores e alunos. In GADI (coord). (2018). Gabinete de Relações 
Internacionais e Apoio ao Desenvolvimento Institucional, Universidade 
Fernando Pessoa. eBook, Atas dos Dias da Investigação na UFP 2017 (UFP 
Research Days Proceedings). Porto. ISBN 978-989-643-144-9.
[ ebook ]</v>
      </c>
      <c r="C45" s="2">
        <f t="shared" ca="1" si="0"/>
        <v>26</v>
      </c>
      <c r="D45" t="str">
        <f t="shared" ca="1" si="8"/>
        <v xml:space="preserve">Araújo, A. e Gouveia, L. </v>
      </c>
      <c r="E45" t="str">
        <f t="shared" ca="1" si="1"/>
        <v>2017</v>
      </c>
      <c r="F45" t="str">
        <f t="shared" ca="1" si="2"/>
        <v xml:space="preserve"> O digital nas instituições de ensino 
superior: justificação para o diagnóstico sobre a percepção de gestores, 
professores e alunos. </v>
      </c>
      <c r="G45" s="3">
        <f t="shared" ca="1" si="3"/>
        <v>31</v>
      </c>
      <c r="H45" s="2">
        <f t="shared" ca="1" si="4"/>
        <v>166</v>
      </c>
      <c r="I45" t="str">
        <f t="shared" ca="1" si="5"/>
        <v>In GADI (coord).</v>
      </c>
      <c r="J45" s="3">
        <f t="shared" ca="1" si="9"/>
        <v>182</v>
      </c>
      <c r="K45" t="str">
        <f t="shared" ca="1" si="6"/>
        <v xml:space="preserve">Araújo, A. e Gouveia, L. </v>
      </c>
      <c r="L45" t="str">
        <f t="shared" ca="1" si="7"/>
        <v xml:space="preserve">Quental, C. </v>
      </c>
    </row>
    <row r="46" spans="1:14" ht="15.75" customHeight="1">
      <c r="A46">
        <f ca="1">IFERROR(__xludf.DUMMYFUNCTION("""COMPUTED_VALUE"""),41)</f>
        <v>41</v>
      </c>
      <c r="B46" t="str">
        <f ca="1">IFERROR(__xludf.DUMMYFUNCTION("""COMPUTED_VALUE"""),"Robalo, A. e Gouveia, L. (2017). A introdução das TICs em sala de aula no 
ensino primário: formação de professores na província do Huambo para o 
projeto Meu Kamba. In GADI (coord). (2018). Gabinete de Relações 
Internacionais e Apoio ao Desenvolvimento "&amp;"Institucional, Universidade 
Fernando Pessoa. eBook, Atas dos Dias da Investigação na UFP 2017 (UFP 
Research Days Proceedings). Porto. ISBN 978-989-643-144-9.
[ ebook ]")</f>
        <v>Robalo, A. e Gouveia, L. (2017). A introdução das TICs em sala de aula no 
ensino primário: formação de professores na província do Huambo para o 
projeto Meu Kamba. In GADI (coord). (2018). Gabinete de Relações 
Internacionais e Apoio ao Desenvolvimento Institucional, Universidade 
Fernando Pessoa. eBook, Atas dos Dias da Investigação na UFP 2017 (UFP 
Research Days Proceedings). Porto. ISBN 978-989-643-144-9.
[ ebook ]</v>
      </c>
      <c r="C46" s="2">
        <f t="shared" ca="1" si="0"/>
        <v>26</v>
      </c>
      <c r="D46" t="str">
        <f t="shared" ca="1" si="8"/>
        <v xml:space="preserve">Robalo, A. e Gouveia, L. </v>
      </c>
      <c r="E46" t="str">
        <f t="shared" ca="1" si="1"/>
        <v>2017</v>
      </c>
      <c r="F46" t="str">
        <f t="shared" ca="1" si="2"/>
        <v xml:space="preserve"> A introdução das TICs em sala de aula no 
ensino primário: formação de professores na província do Huambo para o 
projeto Meu Kamba. </v>
      </c>
      <c r="G46" s="3">
        <f t="shared" ca="1" si="3"/>
        <v>31</v>
      </c>
      <c r="H46" s="2">
        <f t="shared" ca="1" si="4"/>
        <v>165</v>
      </c>
      <c r="I46" t="str">
        <f t="shared" ca="1" si="5"/>
        <v>In GADI (coord).</v>
      </c>
      <c r="J46" s="3">
        <f t="shared" ca="1" si="9"/>
        <v>181</v>
      </c>
      <c r="K46" t="str">
        <f t="shared" ca="1" si="6"/>
        <v xml:space="preserve">Robalo, A. e Gouveia, L. </v>
      </c>
      <c r="L46" t="str">
        <f t="shared" ca="1" si="7"/>
        <v xml:space="preserve">Quental, C. </v>
      </c>
    </row>
    <row r="47" spans="1:14" ht="15.75" customHeight="1">
      <c r="A47">
        <f ca="1">IFERROR(__xludf.DUMMYFUNCTION("""COMPUTED_VALUE"""),40)</f>
        <v>40</v>
      </c>
      <c r="B47" t="str">
        <f ca="1">IFERROR(__xludf.DUMMYFUNCTION("""COMPUTED_VALUE"""),"Correia, A. e Gouveia, L. (2017). Cidades Digitais: uma perspetiva 
diferenciada dos espaços na cidade. In GADI (coord). (2018). Gabinete de 
Relações Internacionais e Apoio ao Desenvolvimento Institucional, 
Universidade Fernando Pessoa. eBook, Atas dos "&amp;"Dias da Investigação na UFP 
2017 (UFP Research Days Proceedings). Porto. ISBN 978-989-643-144-9.
[ ebook ]")</f>
        <v>Correia, A. e Gouveia, L. (2017). Cidades Digitais: uma perspetiva 
diferenciada dos espaços na cidade. In GADI (coord). (2018). Gabinete de 
Relações Internacionais e Apoio ao Desenvolvimento Institucional, 
Universidade Fernando Pessoa. eBook, Atas dos Dias da Investigação na UFP 
2017 (UFP Research Days Proceedings). Porto. ISBN 978-989-643-144-9.
[ ebook ]</v>
      </c>
      <c r="C47" s="2">
        <f t="shared" ca="1" si="0"/>
        <v>27</v>
      </c>
      <c r="D47" t="str">
        <f t="shared" ca="1" si="8"/>
        <v xml:space="preserve">Correia, A. e Gouveia, L. </v>
      </c>
      <c r="E47" t="str">
        <f t="shared" ca="1" si="1"/>
        <v>2017</v>
      </c>
      <c r="F47" t="str">
        <f t="shared" ca="1" si="2"/>
        <v xml:space="preserve"> Cidades Digitais: uma perspetiva 
diferenciada dos espaços na cidade. </v>
      </c>
      <c r="G47" s="3">
        <f t="shared" ca="1" si="3"/>
        <v>32</v>
      </c>
      <c r="H47" s="2">
        <f t="shared" ca="1" si="4"/>
        <v>103</v>
      </c>
      <c r="I47" t="str">
        <f t="shared" ca="1" si="5"/>
        <v>In GADI (coord).</v>
      </c>
      <c r="J47" s="3">
        <f t="shared" ca="1" si="9"/>
        <v>119</v>
      </c>
      <c r="K47" t="str">
        <f t="shared" ca="1" si="6"/>
        <v xml:space="preserve">Correia, A. e Gouveia, L. </v>
      </c>
      <c r="L47" t="str">
        <f t="shared" ca="1" si="7"/>
        <v xml:space="preserve">Quental, C. </v>
      </c>
    </row>
    <row r="48" spans="1:14" ht="15.75" customHeight="1">
      <c r="A48">
        <f ca="1">IFERROR(__xludf.DUMMYFUNCTION("""COMPUTED_VALUE"""),39)</f>
        <v>39</v>
      </c>
      <c r="B48" t="str">
        <f ca="1">IFERROR(__xludf.DUMMYFUNCTION("""COMPUTED_VALUE"""),"Cavalcante, A. e Gouveia, L. (2017). A influência do digital para a imagem 
do turismo no nordeste brasileiro. In GADI (coord). (2018). Gabinete de 
Relações Internacionais e Apoio ao Desenvolvimento Institucional, 
Universidade Fernando Pessoa. eBook, At"&amp;"as dos Dias da Investigação na UFP 
2017 (UFP Research Days Proceedings). Porto. ISBN 978-989-643-144-9.
[ ebook ]")</f>
        <v>Cavalcante, A. e Gouveia, L. (2017). A influência do digital para a imagem 
do turismo no nordeste brasileiro. In GADI (coord). (2018). Gabinete de 
Relações Internacionais e Apoio ao Desenvolvimento Institucional, 
Universidade Fernando Pessoa. eBook, Atas dos Dias da Investigação na UFP 
2017 (UFP Research Days Proceedings). Porto. ISBN 978-989-643-144-9.
[ ebook ]</v>
      </c>
      <c r="C48" s="2">
        <f t="shared" ca="1" si="0"/>
        <v>30</v>
      </c>
      <c r="D48" t="str">
        <f t="shared" ca="1" si="8"/>
        <v xml:space="preserve">Cavalcante, A. e Gouveia, L. </v>
      </c>
      <c r="E48" t="str">
        <f t="shared" ca="1" si="1"/>
        <v>2017</v>
      </c>
      <c r="F48" t="str">
        <f t="shared" ca="1" si="2"/>
        <v xml:space="preserve"> A influência do digital para a imagem 
do turismo no nordeste brasileiro. </v>
      </c>
      <c r="G48" s="3">
        <f t="shared" ca="1" si="3"/>
        <v>35</v>
      </c>
      <c r="H48" s="2">
        <f t="shared" ca="1" si="4"/>
        <v>110</v>
      </c>
      <c r="I48" t="str">
        <f t="shared" ca="1" si="5"/>
        <v>In GADI (coord).</v>
      </c>
      <c r="J48" s="3">
        <f t="shared" ca="1" si="9"/>
        <v>126</v>
      </c>
      <c r="K48" t="str">
        <f t="shared" ca="1" si="6"/>
        <v xml:space="preserve">Cavalcante, A. e Gouveia, L. </v>
      </c>
      <c r="L48" t="str">
        <f t="shared" ca="1" si="7"/>
        <v xml:space="preserve">Quental, C. </v>
      </c>
    </row>
    <row r="49" spans="1:13" ht="15.75" customHeight="1">
      <c r="A49">
        <f ca="1">IFERROR(__xludf.DUMMYFUNCTION("""COMPUTED_VALUE"""),38)</f>
        <v>38</v>
      </c>
      <c r="B49" t="str">
        <f ca="1">IFERROR(__xludf.DUMMYFUNCTION("""COMPUTED_VALUE"""),"Gouveia, L. (2017). Transformação Digital: Desafios e Implicações na 
Perspectiva da Informação. In Moreira, F.; Oliveira, M.; Gonçalves, R. e 
Costa, C. (2017). Transformação Digital: oportunidades e amaeaças para uma 
competitividade mais inteligente. 1"&amp;"ª edição, dezembro. Capítulo 2, pp 5-28. 
Faro: Silabas e Desafios. ISBN: 978-989-8842-28-2.
[ ebook ]")</f>
        <v>Gouveia, L. (2017). Transformação Digital: Desafios e Implicações na 
Perspectiva da Informação. In Moreira, F.; Oliveira, M.; Gonçalves, R. e 
Costa, C. (2017). Transformação Digital: oportunidades e amaeaças para uma 
competitividade mais inteligente. 1ª edição, dezembro. Capítulo 2, pp 5-28. 
Faro: Silabas e Desafios. ISBN: 978-989-8842-28-2.
[ ebook ]</v>
      </c>
      <c r="C49" s="2">
        <f t="shared" ca="1" si="0"/>
        <v>13</v>
      </c>
      <c r="D49" t="str">
        <f t="shared" ca="1" si="8"/>
        <v xml:space="preserve">Gouveia, L. </v>
      </c>
      <c r="E49" t="str">
        <f t="shared" ca="1" si="1"/>
        <v>2017</v>
      </c>
      <c r="F49" t="str">
        <f t="shared" ca="1" si="2"/>
        <v xml:space="preserve"> Transformação Digital: Desafios e Implicações na 
Perspectiva da Informação. </v>
      </c>
      <c r="G49" s="3">
        <f t="shared" ca="1" si="3"/>
        <v>18</v>
      </c>
      <c r="H49" s="2">
        <f t="shared" ca="1" si="4"/>
        <v>96</v>
      </c>
      <c r="I49" t="str">
        <f t="shared" ca="1" si="5"/>
        <v>In Moreira, F.; Oliveira, M.; Gonçalves, R. e 
Costa, C. (2017).</v>
      </c>
      <c r="J49" s="3">
        <f t="shared" ca="1" si="9"/>
        <v>160</v>
      </c>
      <c r="K49" t="str">
        <f t="shared" ca="1" si="6"/>
        <v xml:space="preserve">Gouveia, L. </v>
      </c>
      <c r="L49" t="str">
        <f t="shared" ca="1" si="7"/>
        <v xml:space="preserve">Quental, C. </v>
      </c>
    </row>
    <row r="50" spans="1:13" ht="15.75" customHeight="1">
      <c r="A50">
        <f ca="1">IFERROR(__xludf.DUMMYFUNCTION("""COMPUTED_VALUE"""),37)</f>
        <v>37</v>
      </c>
      <c r="B50" t="str">
        <f ca="1">IFERROR(__xludf.DUMMYFUNCTION("""COMPUTED_VALUE"""),"Silva, C. e Gouveia, L. (2017). A Transparência e Sua Importância Para o 
Poder Público. Boletim de Gestão Pública, N. 4 - Setembro/Outubro. 
Instituto de Pesquisa e Estratégia Econômica do Ceará (IPECE). Governo do 
Estado do Ceará. Brasil, pp 4-7.  
[ b"&amp;"oletim ]")</f>
        <v>Silva, C. e Gouveia, L. (2017). A Transparência e Sua Importância Para o 
Poder Público. Boletim de Gestão Pública, N. 4 - Setembro/Outubro. 
Instituto de Pesquisa e Estratégia Econômica do Ceará (IPECE). Governo do 
Estado do Ceará. Brasil, pp 4-7.  
[ boletim ]</v>
      </c>
      <c r="C50" s="2">
        <f t="shared" ca="1" si="0"/>
        <v>25</v>
      </c>
      <c r="D50" t="str">
        <f t="shared" ca="1" si="8"/>
        <v xml:space="preserve">Silva, C. e Gouveia, L. </v>
      </c>
      <c r="E50" t="str">
        <f t="shared" ca="1" si="1"/>
        <v>2017</v>
      </c>
      <c r="F50" t="str">
        <f t="shared" ca="1" si="2"/>
        <v xml:space="preserve"> A Transparência e Sua Importância Para o 
Poder Público. </v>
      </c>
      <c r="G50" s="3">
        <f t="shared" ca="1" si="3"/>
        <v>30</v>
      </c>
      <c r="H50" s="2">
        <f t="shared" ca="1" si="4"/>
        <v>88</v>
      </c>
      <c r="I50" t="str">
        <f t="shared" ca="1" si="5"/>
        <v>Boletim de Gestão Pública, N. 4 - Setembro/Outubro. 
Instituto de Pesquisa e Estratégia Econômica do Ceará (IPECE).</v>
      </c>
      <c r="J50" s="3">
        <f t="shared" ca="1" si="9"/>
        <v>203</v>
      </c>
      <c r="K50" t="str">
        <f t="shared" ca="1" si="6"/>
        <v xml:space="preserve">Silva, C. e Gouveia, L. </v>
      </c>
      <c r="L50" t="str">
        <f t="shared" ca="1" si="7"/>
        <v xml:space="preserve">Quental, C. </v>
      </c>
    </row>
    <row r="51" spans="1:13" ht="15.75" customHeight="1">
      <c r="A51">
        <f ca="1">IFERROR(__xludf.DUMMYFUNCTION("""COMPUTED_VALUE"""),36)</f>
        <v>36</v>
      </c>
      <c r="B51" t="str">
        <f ca="1">IFERROR(__xludf.DUMMYFUNCTION("""COMPUTED_VALUE"""),"Morgado, R. e Gouveia, L. (2016). O recurso e a contribuição potencial da 
inteligência artificial para a cibersegurança em ambientes digitais. 
Coordenação Gabinete de Relações Internacionais e Apoio ao Desenvolvimento 
Institucional, Universidade Fernan"&amp;"do Pessoa. eBook, Atas dos Dias da 
Investigação na UFP 2016. Porto, pp 185-191. ISBN 978-989-643-141-9.
[ ebook ]")</f>
        <v>Morgado, R. e Gouveia, L. (2016). O recurso e a contribuição potencial da 
inteligência artificial para a cibersegurança em ambientes digitais. 
Coordenação Gabinete de Relações Internacionais e Apoio ao Desenvolvimento 
Institucional, Universidade Fernando Pessoa. eBook, Atas dos Dias da 
Investigação na UFP 2016. Porto, pp 185-191. ISBN 978-989-643-141-9.
[ ebook ]</v>
      </c>
      <c r="C51" s="2">
        <f t="shared" ca="1" si="0"/>
        <v>27</v>
      </c>
      <c r="D51" t="str">
        <f t="shared" ca="1" si="8"/>
        <v xml:space="preserve">Morgado, R. e Gouveia, L. </v>
      </c>
      <c r="E51" t="str">
        <f t="shared" ca="1" si="1"/>
        <v>2016</v>
      </c>
      <c r="F51" t="str">
        <f t="shared" ca="1" si="2"/>
        <v xml:space="preserve"> O recurso e a contribuição potencial da 
inteligência artificial para a cibersegurança em ambientes digitais. </v>
      </c>
      <c r="G51" s="3">
        <f t="shared" ca="1" si="3"/>
        <v>32</v>
      </c>
      <c r="H51" s="2">
        <f t="shared" ca="1" si="4"/>
        <v>143</v>
      </c>
      <c r="I51" t="e">
        <f t="shared" ca="1" si="5"/>
        <v>#VALUE!</v>
      </c>
      <c r="J51" s="3" t="e">
        <f t="shared" ca="1" si="9"/>
        <v>#VALUE!</v>
      </c>
      <c r="K51" t="str">
        <f t="shared" ca="1" si="6"/>
        <v xml:space="preserve">Morgado, R. e Gouveia, L. </v>
      </c>
      <c r="L51" t="str">
        <f t="shared" ca="1" si="7"/>
        <v xml:space="preserve">Quental, C. </v>
      </c>
    </row>
    <row r="52" spans="1:13" ht="15.75" customHeight="1">
      <c r="A52">
        <f ca="1">IFERROR(__xludf.DUMMYFUNCTION("""COMPUTED_VALUE"""),35)</f>
        <v>35</v>
      </c>
      <c r="B52" t="str">
        <f ca="1">IFERROR(__xludf.DUMMYFUNCTION("""COMPUTED_VALUE"""),"Correia, A. e Gouveia, L. (2016). A região norte NUT III como valor 
acrescentado para o desenvolvimento digital da região e o potencial do 
Porto como Smart City. Coordenação Gabinete de Relações Internacionais e 
Apoio ao Desenvolvimento Institucional, "&amp;"Universidade Fernando Pessoa. 
eBook, Atas dos Dias da Investigação na UFP 2016. Porto, pp 192-205. ISBN 
978-989-643-141-9.
[ ebook ]")</f>
        <v>Correia, A. e Gouveia, L. (2016). A região norte NUT III como valor 
acrescentado para o desenvolvimento digital da região e o potencial do 
Porto como Smart City. Coordenação Gabinete de Relações Internacionais e 
Apoio ao Desenvolvimento Institucional, Universidade Fernando Pessoa. 
eBook, Atas dos Dias da Investigação na UFP 2016. Porto, pp 192-205. ISBN 
978-989-643-141-9.
[ ebook ]</v>
      </c>
      <c r="C52" s="2">
        <f t="shared" ca="1" si="0"/>
        <v>27</v>
      </c>
      <c r="D52" t="str">
        <f t="shared" ca="1" si="8"/>
        <v xml:space="preserve">Correia, A. e Gouveia, L. </v>
      </c>
      <c r="E52" t="str">
        <f t="shared" ca="1" si="1"/>
        <v>2016</v>
      </c>
      <c r="F52" t="str">
        <f t="shared" ca="1" si="2"/>
        <v xml:space="preserve"> A região norte NUT III como valor 
acrescentado para o desenvolvimento digital da região e o potencial do 
Porto como Smart City. </v>
      </c>
      <c r="G52" s="3">
        <f t="shared" ca="1" si="3"/>
        <v>32</v>
      </c>
      <c r="H52" s="2">
        <f t="shared" ca="1" si="4"/>
        <v>163</v>
      </c>
      <c r="I52" t="e">
        <f t="shared" ca="1" si="5"/>
        <v>#VALUE!</v>
      </c>
      <c r="J52" s="3" t="e">
        <f t="shared" ca="1" si="9"/>
        <v>#VALUE!</v>
      </c>
      <c r="K52" t="str">
        <f t="shared" ca="1" si="6"/>
        <v xml:space="preserve">Correia, A. e Gouveia, L. </v>
      </c>
      <c r="L52" t="str">
        <f t="shared" ca="1" si="7"/>
        <v xml:space="preserve">Quental, C. </v>
      </c>
    </row>
    <row r="53" spans="1:13" ht="15.75" customHeight="1">
      <c r="A53">
        <f ca="1">IFERROR(__xludf.DUMMYFUNCTION("""COMPUTED_VALUE"""),34)</f>
        <v>34</v>
      </c>
      <c r="B53" t="str">
        <f ca="1">IFERROR(__xludf.DUMMYFUNCTION("""COMPUTED_VALUE"""),"Araújo, P.; Gouveia, L. e Toldy, T. (2016). Esfera Pública Digital: uso de 
uma plataforma digital para a gestão da informação da Educação Especial. 
Coordenação Gabinete de Relações Internacionais e Apoio ao Desenvolvimento 
Institucional, Universidade F"&amp;"ernando Pessoa. eBook, Atas dos Dias da 
Investigação na UFP 2016. Porto, pp 126-142. ISBN 978-989-643-141-9.
[ ebook ]")</f>
        <v>Araújo, P.; Gouveia, L. e Toldy, T. (2016). Esfera Pública Digital: uso de 
uma plataforma digital para a gestão da informação da Educação Especial. 
Coordenação Gabinete de Relações Internacionais e Apoio ao Desenvolvimento 
Institucional, Universidade Fernando Pessoa. eBook, Atas dos Dias da 
Investigação na UFP 2016. Porto, pp 126-142. ISBN 978-989-643-141-9.
[ ebook ]</v>
      </c>
      <c r="C53" s="2">
        <f t="shared" ca="1" si="0"/>
        <v>37</v>
      </c>
      <c r="D53" t="str">
        <f t="shared" ca="1" si="8"/>
        <v xml:space="preserve">Araújo, P.; Gouveia, L. e Toldy, T. </v>
      </c>
      <c r="E53" t="str">
        <f t="shared" ca="1" si="1"/>
        <v>2016</v>
      </c>
      <c r="F53" t="str">
        <f t="shared" ca="1" si="2"/>
        <v xml:space="preserve"> Esfera Pública Digital: uso de 
uma plataforma digital para a gestão da informação da Educação Especial. </v>
      </c>
      <c r="G53" s="3">
        <f t="shared" ca="1" si="3"/>
        <v>42</v>
      </c>
      <c r="H53" s="2">
        <f t="shared" ca="1" si="4"/>
        <v>148</v>
      </c>
      <c r="I53" t="e">
        <f t="shared" ca="1" si="5"/>
        <v>#VALUE!</v>
      </c>
      <c r="J53" s="3" t="e">
        <f t="shared" ca="1" si="9"/>
        <v>#VALUE!</v>
      </c>
      <c r="K53" t="str">
        <f t="shared" ca="1" si="6"/>
        <v xml:space="preserve">Araújo, P.; Gouveia, L. e Toldy, T. </v>
      </c>
      <c r="L53" t="str">
        <f t="shared" ca="1" si="7"/>
        <v xml:space="preserve">Quental, C. </v>
      </c>
      <c r="M53" t="str">
        <f ca="1">IFERROR(__xludf.DUMMYFUNCTION("""COMPUTED_VALUE""")," Gouveia, L. e Toldy, T. ")</f>
        <v xml:space="preserve"> Gouveia, L. e Toldy, T. </v>
      </c>
    </row>
    <row r="54" spans="1:13" ht="15.75" customHeight="1">
      <c r="A54">
        <f ca="1">IFERROR(__xludf.DUMMYFUNCTION("""COMPUTED_VALUE"""),33)</f>
        <v>33</v>
      </c>
      <c r="B54" t="str">
        <f ca="1">IFERROR(__xludf.DUMMYFUNCTION("""COMPUTED_VALUE"""),"Menezes, N. e Gouveia, L. (2016). O recurso a tecnologias de informação e 
comunicação para suporte da atividade em sala de aula. Coordenação Gabinete 
de Relações Internacionais e Apoio ao Desenvolvimento Institucional, 
Universidade Fernando Pessoa. eBo"&amp;"ok, Atas dos Dias da Investigação na UFP 
2016. Porto, pp 206-212. ISBN 978-989-643-141-9.
[ ebook ]")</f>
        <v>Menezes, N. e Gouveia, L. (2016). O recurso a tecnologias de informação e 
comunicação para suporte da atividade em sala de aula. Coordenação Gabinete 
de Relações Internacionais e Apoio ao Desenvolvimento Institucional, 
Universidade Fernando Pessoa. eBook, Atas dos Dias da Investigação na UFP 
2016. Porto, pp 206-212. ISBN 978-989-643-141-9.
[ ebook ]</v>
      </c>
      <c r="C54" s="2">
        <f t="shared" ca="1" si="0"/>
        <v>27</v>
      </c>
      <c r="D54" t="str">
        <f t="shared" ca="1" si="8"/>
        <v xml:space="preserve">Menezes, N. e Gouveia, L. </v>
      </c>
      <c r="E54" t="str">
        <f t="shared" ca="1" si="1"/>
        <v>2016</v>
      </c>
      <c r="F54" t="str">
        <f t="shared" ca="1" si="2"/>
        <v xml:space="preserve"> O recurso a tecnologias de informação e 
comunicação para suporte da atividade em sala de aula. </v>
      </c>
      <c r="G54" s="3">
        <f t="shared" ca="1" si="3"/>
        <v>32</v>
      </c>
      <c r="H54" s="2">
        <f t="shared" ca="1" si="4"/>
        <v>129</v>
      </c>
      <c r="I54" t="e">
        <f t="shared" ca="1" si="5"/>
        <v>#VALUE!</v>
      </c>
      <c r="J54" s="3" t="e">
        <f t="shared" ca="1" si="9"/>
        <v>#VALUE!</v>
      </c>
      <c r="K54" t="str">
        <f t="shared" ca="1" si="6"/>
        <v xml:space="preserve">Menezes, N. e Gouveia, L. </v>
      </c>
      <c r="L54" t="str">
        <f t="shared" ca="1" si="7"/>
        <v xml:space="preserve">Quental, C. </v>
      </c>
    </row>
    <row r="55" spans="1:13" ht="15.75" customHeight="1">
      <c r="A55">
        <f ca="1">IFERROR(__xludf.DUMMYFUNCTION("""COMPUTED_VALUE"""),32)</f>
        <v>32</v>
      </c>
      <c r="B55" t="str">
        <f ca="1">IFERROR(__xludf.DUMMYFUNCTION("""COMPUTED_VALUE"""),"Lourenço, M.; Rurato, P. e Gouveia, L. (2016). Educação, tecnologia, 
aprendizagem: exaltação à negociação: a busca da Relevância. Coordenação 
Gabinete de Relações Internacionais e Apoio ao Desenvolvimento 
Institucional, Universidade Fernando Pessoa. eB"&amp;"ook, Atas dos Dias da 
Investigação na UFP 2016. Porto, pp 121-125. ISBN 978-989-643-141-9.
[ ebook ]")</f>
        <v>Lourenço, M.; Rurato, P. e Gouveia, L. (2016). Educação, tecnologia, 
aprendizagem: exaltação à negociação: a busca da Relevância. Coordenação 
Gabinete de Relações Internacionais e Apoio ao Desenvolvimento 
Institucional, Universidade Fernando Pessoa. eBook, Atas dos Dias da 
Investigação na UFP 2016. Porto, pp 121-125. ISBN 978-989-643-141-9.
[ ebook ]</v>
      </c>
      <c r="C55" s="2">
        <f t="shared" ca="1" si="0"/>
        <v>40</v>
      </c>
      <c r="D55" t="str">
        <f t="shared" ca="1" si="8"/>
        <v xml:space="preserve">Lourenço, M.; Rurato, P. e Gouveia, L. </v>
      </c>
      <c r="E55" t="str">
        <f t="shared" ca="1" si="1"/>
        <v>2016</v>
      </c>
      <c r="F55" t="str">
        <f t="shared" ca="1" si="2"/>
        <v xml:space="preserve"> Educação, tecnologia, 
aprendizagem: exaltação à negociação: a busca da Relevância. </v>
      </c>
      <c r="G55" s="3">
        <f t="shared" ca="1" si="3"/>
        <v>45</v>
      </c>
      <c r="H55" s="2">
        <f t="shared" ca="1" si="4"/>
        <v>130</v>
      </c>
      <c r="I55" t="e">
        <f t="shared" ca="1" si="5"/>
        <v>#VALUE!</v>
      </c>
      <c r="J55" s="3" t="e">
        <f t="shared" ca="1" si="9"/>
        <v>#VALUE!</v>
      </c>
      <c r="K55" t="str">
        <f t="shared" ca="1" si="6"/>
        <v xml:space="preserve">Lourenço, M.; Rurato, P. e Gouveia, L. </v>
      </c>
      <c r="L55" t="str">
        <f t="shared" ca="1" si="7"/>
        <v xml:space="preserve">Quental, C. </v>
      </c>
      <c r="M55" t="str">
        <f ca="1">IFERROR(__xludf.DUMMYFUNCTION("""COMPUTED_VALUE""")," Rurato, P. e Gouveia, L. ")</f>
        <v xml:space="preserve"> Rurato, P. e Gouveia, L. </v>
      </c>
    </row>
    <row r="56" spans="1:13" ht="15.75" customHeight="1">
      <c r="A56">
        <f ca="1">IFERROR(__xludf.DUMMYFUNCTION("""COMPUTED_VALUE"""),31)</f>
        <v>31</v>
      </c>
      <c r="B56" t="str">
        <f ca="1">IFERROR(__xludf.DUMMYFUNCTION("""COMPUTED_VALUE"""),"Lopes, S.; Gouveia, L. e Reis, P. (2016). O modelo de ensino do ‘flipped 
classroom’ (sala de aula invertida) no âmbito do ensino superior. 
Coordenação Gabinete de Relações Internacionais e Apoio ao Desenvolvimento 
Institucional, Universidade Fernando P"&amp;"essoa. eBook, Atas dos Dias da 
Investigação na UFP 2016. Porto, pp 164-171. ISBN 978-989-643-141-9.  
[ ebook ]")</f>
        <v>Lopes, S.; Gouveia, L. e Reis, P. (2016). O modelo de ensino do ‘flipped 
classroom’ (sala de aula invertida) no âmbito do ensino superior. 
Coordenação Gabinete de Relações Internacionais e Apoio ao Desenvolvimento 
Institucional, Universidade Fernando Pessoa. eBook, Atas dos Dias da 
Investigação na UFP 2016. Porto, pp 164-171. ISBN 978-989-643-141-9.  
[ ebook ]</v>
      </c>
      <c r="C56" s="2">
        <f t="shared" ca="1" si="0"/>
        <v>35</v>
      </c>
      <c r="D56" t="str">
        <f t="shared" ca="1" si="8"/>
        <v xml:space="preserve">Lopes, S.; Gouveia, L. e Reis, P. </v>
      </c>
      <c r="E56" t="str">
        <f t="shared" ca="1" si="1"/>
        <v>2016</v>
      </c>
      <c r="F56" t="str">
        <f t="shared" ca="1" si="2"/>
        <v xml:space="preserve"> O modelo de ensino do ‘flipped 
classroom’ (sala de aula invertida) no âmbito do ensino superior. </v>
      </c>
      <c r="G56" s="3">
        <f t="shared" ca="1" si="3"/>
        <v>40</v>
      </c>
      <c r="H56" s="2">
        <f t="shared" ca="1" si="4"/>
        <v>139</v>
      </c>
      <c r="I56" t="e">
        <f t="shared" ca="1" si="5"/>
        <v>#VALUE!</v>
      </c>
      <c r="J56" s="3" t="e">
        <f t="shared" ca="1" si="9"/>
        <v>#VALUE!</v>
      </c>
      <c r="K56" t="str">
        <f t="shared" ca="1" si="6"/>
        <v xml:space="preserve">Lopes, S.; Gouveia, L. e Reis, P. </v>
      </c>
      <c r="L56" t="str">
        <f t="shared" ca="1" si="7"/>
        <v xml:space="preserve">Quental, C. </v>
      </c>
      <c r="M56" t="str">
        <f ca="1">IFERROR(__xludf.DUMMYFUNCTION("""COMPUTED_VALUE""")," Gouveia, L. e Reis, P. ")</f>
        <v xml:space="preserve"> Gouveia, L. e Reis, P. </v>
      </c>
    </row>
    <row r="57" spans="1:13" ht="15.75" customHeight="1">
      <c r="A57">
        <f ca="1">IFERROR(__xludf.DUMMYFUNCTION("""COMPUTED_VALUE"""),30)</f>
        <v>30</v>
      </c>
      <c r="B57" t="str">
        <f ca="1">IFERROR(__xludf.DUMMYFUNCTION("""COMPUTED_VALUE"""),"Peres, P. e Gouveia, L. (2015). *Planeamento e Gestão da Mudança nos 
Processos de Implementação de Sistemas dee/b-learning*. Gabinete de 
Relações Internacionais e Apoio ao Desenvolvimento Institucional (2015). 
Atas dos Dias da Investigação na UFP / Res"&amp;"earch Days Proceedings 2015. 
Universidade Fernando Pessoa. Porto, pp 15-20. ISBN 978-989-643-130-3
[ ebook ]")</f>
        <v>Peres, P. e Gouveia, L. (2015). *Planeamento e Gestão da Mudança nos 
Processos de Implementação de Sistemas dee/b-learning*. Gabinete de 
Relações Internacionais e Apoio ao Desenvolvimento Institucional (2015). 
Atas dos Dias da Investigação na UFP / Research Days Proceedings 2015. 
Universidade Fernando Pessoa. Porto, pp 15-20. ISBN 978-989-643-130-3
[ ebook ]</v>
      </c>
      <c r="C57" s="2">
        <f t="shared" ca="1" si="0"/>
        <v>25</v>
      </c>
      <c r="D57" t="str">
        <f t="shared" ca="1" si="8"/>
        <v xml:space="preserve">Peres, P. e Gouveia, L. </v>
      </c>
      <c r="E57" t="str">
        <f t="shared" ca="1" si="1"/>
        <v>2015</v>
      </c>
      <c r="F57" t="str">
        <f t="shared" ca="1" si="2"/>
        <v xml:space="preserve"> *Planeamento e Gestão da Mudança nos 
Processos de Implementação de Sistemas dee/b-learning*. </v>
      </c>
      <c r="G57" s="3">
        <f t="shared" ca="1" si="3"/>
        <v>30</v>
      </c>
      <c r="H57" s="2">
        <f t="shared" ca="1" si="4"/>
        <v>125</v>
      </c>
      <c r="I57" t="str">
        <f t="shared" ca="1" si="5"/>
        <v>Gabinete de 
Relações Internacionais e Apoio ao Desenvolvimento Institucional (2015).</v>
      </c>
      <c r="J57" s="3">
        <f t="shared" ca="1" si="9"/>
        <v>210</v>
      </c>
      <c r="K57" t="str">
        <f t="shared" ca="1" si="6"/>
        <v xml:space="preserve">Peres, P. e Gouveia, L. </v>
      </c>
      <c r="L57" t="str">
        <f t="shared" ca="1" si="7"/>
        <v xml:space="preserve">Quental, C. </v>
      </c>
    </row>
    <row r="58" spans="1:13" ht="15.75" customHeight="1">
      <c r="A58">
        <f ca="1">IFERROR(__xludf.DUMMYFUNCTION("""COMPUTED_VALUE"""),29)</f>
        <v>29</v>
      </c>
      <c r="B58" t="str">
        <f ca="1">IFERROR(__xludf.DUMMYFUNCTION("""COMPUTED_VALUE"""),"Leal, J. e Gouveia, L. (2015). *MOOC: qual o papel na reconceptualização da 
Universidade?* Gabinete de Relações Internacionais e Apoio ao 
Desenvolvimento Institucional (2015). Atas dos Dias da Investigação na UFP 
/ Research Days Proceedings 2015. Unive"&amp;"rsidade Fernando Pessoa. Porto, pp 
21-27. ISBN 978-989-643-130-3
[ ebook ]")</f>
        <v>Leal, J. e Gouveia, L. (2015). *MOOC: qual o papel na reconceptualização da 
Universidade?* Gabinete de Relações Internacionais e Apoio ao 
Desenvolvimento Institucional (2015). Atas dos Dias da Investigação na UFP 
/ Research Days Proceedings 2015. Universidade Fernando Pessoa. Porto, pp 
21-27. ISBN 978-989-643-130-3
[ ebook ]</v>
      </c>
      <c r="C58" s="2">
        <f t="shared" ca="1" si="0"/>
        <v>24</v>
      </c>
      <c r="D58" t="str">
        <f t="shared" ca="1" si="8"/>
        <v xml:space="preserve">Leal, J. e Gouveia, L. </v>
      </c>
      <c r="E58" t="str">
        <f t="shared" ca="1" si="1"/>
        <v>2015</v>
      </c>
      <c r="F58" t="str">
        <f t="shared" ca="1" si="2"/>
        <v xml:space="preserve"> *MOOC: qual o papel na reconceptualização da 
Universidade?* Gabinete de Relações Internacionais e Apoio ao 
Desenvolvimento Institucional (2015). </v>
      </c>
      <c r="G58" s="3">
        <f t="shared" ca="1" si="3"/>
        <v>29</v>
      </c>
      <c r="H58" s="2">
        <f t="shared" ca="1" si="4"/>
        <v>177</v>
      </c>
      <c r="I58" t="e">
        <f t="shared" ca="1" si="5"/>
        <v>#VALUE!</v>
      </c>
      <c r="J58" s="3" t="e">
        <f t="shared" ca="1" si="9"/>
        <v>#VALUE!</v>
      </c>
      <c r="K58" t="str">
        <f t="shared" ca="1" si="6"/>
        <v xml:space="preserve">Leal, J. e Gouveia, L. </v>
      </c>
      <c r="L58" t="str">
        <f t="shared" ca="1" si="7"/>
        <v xml:space="preserve">Quental, C. </v>
      </c>
    </row>
    <row r="59" spans="1:13" ht="15.75" customHeight="1">
      <c r="A59">
        <f ca="1">IFERROR(__xludf.DUMMYFUNCTION("""COMPUTED_VALUE"""),28)</f>
        <v>28</v>
      </c>
      <c r="B59" t="str">
        <f ca="1">IFERROR(__xludf.DUMMYFUNCTION("""COMPUTED_VALUE"""),"Robalo, A. e Gouveia, L. (2015). *O contributo da Mediateca do Huambo na 
promoção de competências TIC para professores*.  Gabinete de Relações 
Internacionais e Apoio ao Desenvolvimento Institucional (2015). Atas dos 
Dias da Investigação na UFP / Resear"&amp;"ch Days Proceedings 2015. Universidade 
Fernando Pessoa. Porto, pp 35-47. ISBN 978-989-643-130-3 
[ ebook ]")</f>
        <v>Robalo, A. e Gouveia, L. (2015). *O contributo da Mediateca do Huambo na 
promoção de competências TIC para professores*.  Gabinete de Relações 
Internacionais e Apoio ao Desenvolvimento Institucional (2015). Atas dos 
Dias da Investigação na UFP / Research Days Proceedings 2015. Universidade 
Fernando Pessoa. Porto, pp 35-47. ISBN 978-989-643-130-3 
[ ebook ]</v>
      </c>
      <c r="C59" s="2">
        <f t="shared" ca="1" si="0"/>
        <v>26</v>
      </c>
      <c r="D59" t="str">
        <f t="shared" ca="1" si="8"/>
        <v xml:space="preserve">Robalo, A. e Gouveia, L. </v>
      </c>
      <c r="E59" t="str">
        <f t="shared" ca="1" si="1"/>
        <v>2015</v>
      </c>
      <c r="F59" t="str">
        <f t="shared" ca="1" si="2"/>
        <v xml:space="preserve"> *O contributo da Mediateca do Huambo na 
promoção de competências TIC para professores*. </v>
      </c>
      <c r="G59" s="3">
        <f t="shared" ca="1" si="3"/>
        <v>31</v>
      </c>
      <c r="H59" s="2">
        <f t="shared" ca="1" si="4"/>
        <v>121</v>
      </c>
      <c r="I59" t="str">
        <f t="shared" ca="1" si="5"/>
        <v xml:space="preserve"> Gabinete de Relações 
Internacionais e Apoio ao Desenvolvimento Institucional (2015).</v>
      </c>
      <c r="J59" s="3">
        <f t="shared" ca="1" si="9"/>
        <v>207</v>
      </c>
      <c r="K59" t="str">
        <f t="shared" ca="1" si="6"/>
        <v xml:space="preserve">Robalo, A. e Gouveia, L. </v>
      </c>
      <c r="L59" t="str">
        <f t="shared" ca="1" si="7"/>
        <v xml:space="preserve">Quental, C. </v>
      </c>
    </row>
    <row r="60" spans="1:13" ht="15.75" customHeight="1">
      <c r="A60">
        <f ca="1">IFERROR(__xludf.DUMMYFUNCTION("""COMPUTED_VALUE"""),27)</f>
        <v>27</v>
      </c>
      <c r="B60" t="str">
        <f ca="1">IFERROR(__xludf.DUMMYFUNCTION("""COMPUTED_VALUE"""),"Martins, O. e Gouveia, L. (2015). *Bibliotecas académicas, lugar ou ponto 
de acesso?*  Gabinete de Relações Internacionais e Apoio ao Desenvolvimento 
Institucional (2015). Atas dos Dias da Investigação na UFP / Research Days 
Proceedings 2015. Universid"&amp;"ade Fernando Pessoa. Porto, pp 49-65. ISBN 
978-989-643-130-3
[ ebook ]")</f>
        <v>Martins, O. e Gouveia, L. (2015). *Bibliotecas académicas, lugar ou ponto 
de acesso?*  Gabinete de Relações Internacionais e Apoio ao Desenvolvimento 
Institucional (2015). Atas dos Dias da Investigação na UFP / Research Days 
Proceedings 2015. Universidade Fernando Pessoa. Porto, pp 49-65. ISBN 
978-989-643-130-3
[ ebook ]</v>
      </c>
      <c r="C60" s="2">
        <f t="shared" ca="1" si="0"/>
        <v>27</v>
      </c>
      <c r="D60" t="str">
        <f t="shared" ca="1" si="8"/>
        <v xml:space="preserve">Martins, O. e Gouveia, L. </v>
      </c>
      <c r="E60" t="str">
        <f t="shared" ca="1" si="1"/>
        <v>2015</v>
      </c>
      <c r="F60" t="str">
        <f t="shared" ca="1" si="2"/>
        <v xml:space="preserve"> *Bibliotecas académicas, lugar ou ponto 
de acesso?*  Gabinete de Relações Internacionais e Apoio ao Desenvolvimento 
Institucional (2015). </v>
      </c>
      <c r="G60" s="3">
        <f t="shared" ca="1" si="3"/>
        <v>32</v>
      </c>
      <c r="H60" s="2">
        <f t="shared" ca="1" si="4"/>
        <v>173</v>
      </c>
      <c r="I60" t="e">
        <f t="shared" ca="1" si="5"/>
        <v>#VALUE!</v>
      </c>
      <c r="J60" s="3" t="e">
        <f t="shared" ca="1" si="9"/>
        <v>#VALUE!</v>
      </c>
      <c r="K60" t="str">
        <f t="shared" ca="1" si="6"/>
        <v xml:space="preserve">Martins, O. e Gouveia, L. </v>
      </c>
      <c r="L60" t="str">
        <f t="shared" ca="1" si="7"/>
        <v xml:space="preserve">Quental, C. </v>
      </c>
    </row>
    <row r="61" spans="1:13" ht="15.75" customHeight="1">
      <c r="A61">
        <f ca="1">IFERROR(__xludf.DUMMYFUNCTION("""COMPUTED_VALUE"""),26)</f>
        <v>26</v>
      </c>
      <c r="B61" t="str">
        <f ca="1">IFERROR(__xludf.DUMMYFUNCTION("""COMPUTED_VALUE"""),"Alfredo, P. e Gouveia, L. (2015). *Contribuições para a discussão de um 
modelo de governo electrónico local para Angola*. Gabinete de Relações 
Internacionais e Apoio ao Desenvolvimento Institucional (2015). Atas dos 
Dias da Investigação na UFP / Resear"&amp;"ch Days Proceedings 2015. Universidade 
Fernando Pessoa. Porto, pp 66-84. ISBN 978-989-643-130-3
[ ebook ]")</f>
        <v>Alfredo, P. e Gouveia, L. (2015). *Contribuições para a discussão de um 
modelo de governo electrónico local para Angola*. Gabinete de Relações 
Internacionais e Apoio ao Desenvolvimento Institucional (2015). Atas dos 
Dias da Investigação na UFP / Research Days Proceedings 2015. Universidade 
Fernando Pessoa. Porto, pp 66-84. ISBN 978-989-643-130-3
[ ebook ]</v>
      </c>
      <c r="C61" s="2">
        <f t="shared" ca="1" si="0"/>
        <v>27</v>
      </c>
      <c r="D61" t="str">
        <f t="shared" ca="1" si="8"/>
        <v xml:space="preserve">Alfredo, P. e Gouveia, L. </v>
      </c>
      <c r="E61" t="str">
        <f t="shared" ca="1" si="1"/>
        <v>2015</v>
      </c>
      <c r="F61" t="str">
        <f t="shared" ca="1" si="2"/>
        <v xml:space="preserve"> *Contribuições para a discussão de um 
modelo de governo electrónico local para Angola*. </v>
      </c>
      <c r="G61" s="3">
        <f t="shared" ca="1" si="3"/>
        <v>32</v>
      </c>
      <c r="H61" s="2">
        <f t="shared" ca="1" si="4"/>
        <v>122</v>
      </c>
      <c r="I61" t="str">
        <f t="shared" ca="1" si="5"/>
        <v>Gabinete de Relações 
Internacionais e Apoio ao Desenvolvimento Institucional (2015).</v>
      </c>
      <c r="J61" s="3">
        <f t="shared" ca="1" si="9"/>
        <v>207</v>
      </c>
      <c r="K61" t="str">
        <f t="shared" ca="1" si="6"/>
        <v xml:space="preserve">Alfredo, P. e Gouveia, L. </v>
      </c>
      <c r="L61" t="str">
        <f t="shared" ca="1" si="7"/>
        <v xml:space="preserve">Quental, C. </v>
      </c>
    </row>
    <row r="62" spans="1:13" ht="15.75" customHeight="1">
      <c r="A62">
        <f ca="1">IFERROR(__xludf.DUMMYFUNCTION("""COMPUTED_VALUE"""),25)</f>
        <v>25</v>
      </c>
      <c r="B62" t="str">
        <f ca="1">IFERROR(__xludf.DUMMYFUNCTION("""COMPUTED_VALUE"""),"Abrantes, S. e Gouveia, L. (2015). *Um estudo empírico sobre a adopção de 
meios digitais para suporte à aprendizagem colaborativa*. Gabinete de 
Relações Internacionais e Apoio ao Desenvolvimento Institucional (2015). 
Atas dos Dias da Investigação na UF"&amp;"P / Research Days Proceedings 2015. 
Universidade Fernando Pessoa. Porto, pp 85-99. ISBN 978-989-643-130-3
[ ebook ]")</f>
        <v>Abrantes, S. e Gouveia, L. (2015). *Um estudo empírico sobre a adopção de 
meios digitais para suporte à aprendizagem colaborativa*. Gabinete de 
Relações Internacionais e Apoio ao Desenvolvimento Institucional (2015). 
Atas dos Dias da Investigação na UFP / Research Days Proceedings 2015. 
Universidade Fernando Pessoa. Porto, pp 85-99. ISBN 978-989-643-130-3
[ ebook ]</v>
      </c>
      <c r="C62" s="2">
        <f t="shared" ca="1" si="0"/>
        <v>28</v>
      </c>
      <c r="D62" t="str">
        <f t="shared" ca="1" si="8"/>
        <v xml:space="preserve">Abrantes, S. e Gouveia, L. </v>
      </c>
      <c r="E62" t="str">
        <f t="shared" ca="1" si="1"/>
        <v>2015</v>
      </c>
      <c r="F62" t="str">
        <f t="shared" ca="1" si="2"/>
        <v xml:space="preserve"> *Um estudo empírico sobre a adopção de 
meios digitais para suporte à aprendizagem colaborativa*. </v>
      </c>
      <c r="G62" s="3">
        <f t="shared" ca="1" si="3"/>
        <v>33</v>
      </c>
      <c r="H62" s="2">
        <f t="shared" ca="1" si="4"/>
        <v>132</v>
      </c>
      <c r="I62" t="str">
        <f t="shared" ca="1" si="5"/>
        <v>Gabinete de 
Relações Internacionais e Apoio ao Desenvolvimento Institucional (2015).</v>
      </c>
      <c r="J62" s="3">
        <f t="shared" ca="1" si="9"/>
        <v>217</v>
      </c>
      <c r="K62" t="str">
        <f t="shared" ca="1" si="6"/>
        <v xml:space="preserve">Abrantes, S. e Gouveia, L. </v>
      </c>
      <c r="L62" t="str">
        <f t="shared" ca="1" si="7"/>
        <v xml:space="preserve">Quental, C. </v>
      </c>
    </row>
    <row r="63" spans="1:13" ht="15.75" customHeight="1">
      <c r="A63">
        <f ca="1">IFERROR(__xludf.DUMMYFUNCTION("""COMPUTED_VALUE"""),24)</f>
        <v>24</v>
      </c>
      <c r="B63" t="str">
        <f ca="1">IFERROR(__xludf.DUMMYFUNCTION("""COMPUTED_VALUE"""),"Silva, P. and Gouveia, L. (2015). *The impact of digital in learning 
spaces: an analysis on the perspective of teachers in higher education*. 
Gabinete de Relações Internacionais e Apoio ao Desenvolvimento 
Institucional (2015). Atas dos Dias da Investig"&amp;"ação na UFP / Research Days 
Proceedings 2015. Universidade Fernando Pessoa. Porto, pp 100-108. ISBN 
978-989-643-130-
[ ebook ]")</f>
        <v>Silva, P. and Gouveia, L. (2015). *The impact of digital in learning 
spaces: an analysis on the perspective of teachers in higher education*. 
Gabinete de Relações Internacionais e Apoio ao Desenvolvimento 
Institucional (2015). Atas dos Dias da Investigação na UFP / Research Days 
Proceedings 2015. Universidade Fernando Pessoa. Porto, pp 100-108. ISBN 
978-989-643-130-
[ ebook ]</v>
      </c>
      <c r="C63" s="2">
        <f t="shared" ca="1" si="0"/>
        <v>27</v>
      </c>
      <c r="D63" t="str">
        <f t="shared" ca="1" si="8"/>
        <v xml:space="preserve">Silva, P. and Gouveia, L. </v>
      </c>
      <c r="E63" t="str">
        <f t="shared" ca="1" si="1"/>
        <v>2015</v>
      </c>
      <c r="F63" t="str">
        <f t="shared" ca="1" si="2"/>
        <v xml:space="preserve"> *The impact of digital in learning 
spaces: an analysis on the perspective of teachers in higher education*. </v>
      </c>
      <c r="G63" s="3">
        <f t="shared" ca="1" si="3"/>
        <v>32</v>
      </c>
      <c r="H63" s="2">
        <f t="shared" ca="1" si="4"/>
        <v>142</v>
      </c>
      <c r="I63" t="str">
        <f t="shared" ca="1" si="5"/>
        <v xml:space="preserve">
Gabinete de Relações Internacionais e Apoio ao Desenvolvimento 
Institucional (2015).</v>
      </c>
      <c r="J63" s="3">
        <f t="shared" ca="1" si="9"/>
        <v>228</v>
      </c>
      <c r="K63" t="str">
        <f t="shared" ca="1" si="6"/>
        <v xml:space="preserve">Silva, P. ; Gouveia, L. </v>
      </c>
      <c r="L63" t="str">
        <f t="shared" ca="1" si="7"/>
        <v xml:space="preserve">Quental, C. </v>
      </c>
      <c r="M63" t="str">
        <f ca="1">IFERROR(__xludf.DUMMYFUNCTION("""COMPUTED_VALUE""")," Gouveia, L. ")</f>
        <v xml:space="preserve"> Gouveia, L. </v>
      </c>
    </row>
    <row r="64" spans="1:13" ht="15.75" customHeight="1">
      <c r="A64">
        <f ca="1">IFERROR(__xludf.DUMMYFUNCTION("""COMPUTED_VALUE"""),23)</f>
        <v>23</v>
      </c>
      <c r="B64" t="str">
        <f ca="1">IFERROR(__xludf.DUMMYFUNCTION("""COMPUTED_VALUE"""),"Ferreira, A. e Gouveia, L. (2015). *O ensino e os novos sistemas de 
computação*. Gabinete de Relações Internacionais e Apoio ao Desenvolvimento 
Institucional (2015). Atas dos Dias da Investigação na UFP / Research Days 
Proceedings 2015. Universidade Fe"&amp;"rnando Pessoa. Porto, pp 109-111. ISBN 
978-989-643-130-3
[ ebook ]")</f>
        <v>Ferreira, A. e Gouveia, L. (2015). *O ensino e os novos sistemas de 
computação*. Gabinete de Relações Internacionais e Apoio ao Desenvolvimento 
Institucional (2015). Atas dos Dias da Investigação na UFP / Research Days 
Proceedings 2015. Universidade Fernando Pessoa. Porto, pp 109-111. ISBN 
978-989-643-130-3
[ ebook ]</v>
      </c>
      <c r="C64" s="2">
        <f t="shared" ca="1" si="0"/>
        <v>28</v>
      </c>
      <c r="D64" t="str">
        <f t="shared" ca="1" si="8"/>
        <v xml:space="preserve">Ferreira, A. e Gouveia, L. </v>
      </c>
      <c r="E64" t="str">
        <f t="shared" ca="1" si="1"/>
        <v>2015</v>
      </c>
      <c r="F64" t="str">
        <f t="shared" ca="1" si="2"/>
        <v xml:space="preserve"> *O ensino e os novos sistemas de 
computação*. </v>
      </c>
      <c r="G64" s="3">
        <f t="shared" ca="1" si="3"/>
        <v>33</v>
      </c>
      <c r="H64" s="2">
        <f t="shared" ca="1" si="4"/>
        <v>81</v>
      </c>
      <c r="I64" t="str">
        <f t="shared" ca="1" si="5"/>
        <v>Gabinete de Relações Internacionais e Apoio ao Desenvolvimento 
Institucional (2015).</v>
      </c>
      <c r="J64" s="3">
        <f t="shared" ca="1" si="9"/>
        <v>166</v>
      </c>
      <c r="K64" t="str">
        <f t="shared" ca="1" si="6"/>
        <v xml:space="preserve">Ferreira, A. e Gouveia, L. </v>
      </c>
      <c r="L64" t="str">
        <f t="shared" ca="1" si="7"/>
        <v xml:space="preserve">Quental, C. </v>
      </c>
    </row>
    <row r="65" spans="1:14" ht="15.75" customHeight="1">
      <c r="A65">
        <f ca="1">IFERROR(__xludf.DUMMYFUNCTION("""COMPUTED_VALUE"""),22)</f>
        <v>22</v>
      </c>
      <c r="B65" t="str">
        <f ca="1">IFERROR(__xludf.DUMMYFUNCTION("""COMPUTED_VALUE"""),"Gouveia, L. (2015). Uma reflexão sobre o digital e o impacte no trabalho. 
Lugares de trabalho, Espaços de Aprendizagem. Ferreira, C.; Castro, K. e 
Coimbra, J. (editores). (2015). A relevância da formação para o trabalho. 
Porto: IEFP. Instituto Emprego "&amp;"e Formação Profissional. Delegação Regional 
do Norte. ISBN 978-989-638-056-4, pp 151-160.
[ paper ]")</f>
        <v>Gouveia, L. (2015). Uma reflexão sobre o digital e o impacte no trabalho. 
Lugares de trabalho, Espaços de Aprendizagem. Ferreira, C.; Castro, K. e 
Coimbra, J. (editores). (2015). A relevância da formação para o trabalho. 
Porto: IEFP. Instituto Emprego e Formação Profissional. Delegação Regional 
do Norte. ISBN 978-989-638-056-4, pp 151-160.
[ paper ]</v>
      </c>
      <c r="C65" s="2">
        <f t="shared" ca="1" si="0"/>
        <v>13</v>
      </c>
      <c r="D65" t="str">
        <f t="shared" ca="1" si="8"/>
        <v xml:space="preserve">Gouveia, L. </v>
      </c>
      <c r="E65" t="str">
        <f t="shared" ca="1" si="1"/>
        <v>2015</v>
      </c>
      <c r="F65" t="str">
        <f t="shared" ca="1" si="2"/>
        <v xml:space="preserve"> Uma reflexão sobre o digital e o impacte no trabalho. </v>
      </c>
      <c r="G65" s="3">
        <f t="shared" ca="1" si="3"/>
        <v>18</v>
      </c>
      <c r="H65" s="2">
        <f t="shared" ca="1" si="4"/>
        <v>73</v>
      </c>
      <c r="I65" t="str">
        <f t="shared" ca="1" si="5"/>
        <v xml:space="preserve">
Lugares de trabalho, Espaços de Aprendizagem. Ferreira, C.; Castro, K. e 
Coimbra, J. (editores).</v>
      </c>
      <c r="J65" s="3">
        <f t="shared" ca="1" si="9"/>
        <v>171</v>
      </c>
      <c r="K65" t="str">
        <f t="shared" ca="1" si="6"/>
        <v xml:space="preserve">Gouveia, L. </v>
      </c>
      <c r="L65" t="str">
        <f t="shared" ca="1" si="7"/>
        <v xml:space="preserve">Quental, C. </v>
      </c>
    </row>
    <row r="66" spans="1:14" ht="15.75" customHeight="1">
      <c r="A66">
        <f ca="1">IFERROR(__xludf.DUMMYFUNCTION("""COMPUTED_VALUE"""),21)</f>
        <v>21</v>
      </c>
      <c r="B66" t="str">
        <f ca="1">IFERROR(__xludf.DUMMYFUNCTION("""COMPUTED_VALUE"""),"Gouveia, L. (2013). *O Digital e as Redes como mecanismos de inovação na 
participação pública*. in Lira, S.; Ramos, C. e Leão, I. (2012). De Re 
Publica: Ensaios em torno da ideia republicana. Edições Universidade 
Fernando Pessoa, pp 305-330. ISBN: 9789"&amp;"896430955.")</f>
        <v>Gouveia, L. (2013). *O Digital e as Redes como mecanismos de inovação na 
participação pública*. in Lira, S.; Ramos, C. e Leão, I. (2012). De Re 
Publica: Ensaios em torno da ideia republicana. Edições Universidade 
Fernando Pessoa, pp 305-330. ISBN: 9789896430955.</v>
      </c>
      <c r="C66" s="2">
        <f t="shared" ca="1" si="0"/>
        <v>13</v>
      </c>
      <c r="D66" t="str">
        <f t="shared" ca="1" si="8"/>
        <v xml:space="preserve">Gouveia, L. </v>
      </c>
      <c r="E66" t="str">
        <f t="shared" ca="1" si="1"/>
        <v>2013</v>
      </c>
      <c r="F66" t="str">
        <f t="shared" ca="1" si="2"/>
        <v xml:space="preserve"> *O Digital e as Redes como mecanismos de inovação na 
participação pública*. </v>
      </c>
      <c r="G66" s="3">
        <f t="shared" ca="1" si="3"/>
        <v>18</v>
      </c>
      <c r="H66" s="2">
        <f t="shared" ca="1" si="4"/>
        <v>96</v>
      </c>
      <c r="I66" t="str">
        <f t="shared" ca="1" si="5"/>
        <v>in Lira, S.; Ramos, C. e Leão, I. (2012).</v>
      </c>
      <c r="J66" s="3">
        <f t="shared" ca="1" si="9"/>
        <v>137</v>
      </c>
      <c r="K66" t="str">
        <f t="shared" ca="1" si="6"/>
        <v xml:space="preserve">Gouveia, L. </v>
      </c>
      <c r="L66" t="str">
        <f t="shared" ca="1" si="7"/>
        <v xml:space="preserve">Quental, C. </v>
      </c>
    </row>
    <row r="67" spans="1:14" ht="15.75" customHeight="1">
      <c r="A67">
        <f ca="1">IFERROR(__xludf.DUMMYFUNCTION("""COMPUTED_VALUE"""),20)</f>
        <v>20</v>
      </c>
      <c r="B67" t="str">
        <f ca="1">IFERROR(__xludf.DUMMYFUNCTION("""COMPUTED_VALUE"""),"Gouveia, L. (2012). *Tecnologias de Informação Documental: impacte do 
Digital i*n Freitas, J.; Gouveia, L. e Regedor, A. (2012). Ciência da 
Informação. Contributos para o seu estudo. Porto: Edições Universidade 
Fernando Pessoa, pp 41-69. ISBN: 978-989-"&amp;"643-090-0.")</f>
        <v>Gouveia, L. (2012). *Tecnologias de Informação Documental: impacte do 
Digital i*n Freitas, J.; Gouveia, L. e Regedor, A. (2012). Ciência da 
Informação. Contributos para o seu estudo. Porto: Edições Universidade 
Fernando Pessoa, pp 41-69. ISBN: 978-989-643-090-0.</v>
      </c>
      <c r="C67" s="2">
        <f t="shared" ca="1" si="0"/>
        <v>13</v>
      </c>
      <c r="D67" t="str">
        <f t="shared" ca="1" si="8"/>
        <v xml:space="preserve">Gouveia, L. </v>
      </c>
      <c r="E67" t="str">
        <f t="shared" ref="E67:E130" ca="1" si="10">MID(B67,C67+1,4)</f>
        <v>2012</v>
      </c>
      <c r="F67" t="str">
        <f t="shared" ref="F67:F130" ca="1" si="11">MID(B67,G67+2,H67-G67)</f>
        <v xml:space="preserve"> *Tecnologias de Informação Documental: impacte do 
Digital i*n Freitas, J.;</v>
      </c>
      <c r="G67" s="3">
        <f t="shared" ref="G67:G130" ca="1" si="12">FIND(").",B67)</f>
        <v>18</v>
      </c>
      <c r="H67" s="2">
        <f t="shared" ref="H67:H130" ca="1" si="13">FIND(".",B67,G67+2)</f>
        <v>94</v>
      </c>
      <c r="I67" t="str">
        <f t="shared" ref="I67:I130" ca="1" si="14">MID(B67,H67+2,J67-H67)</f>
        <v xml:space="preserve"> Gouveia, L. e Regedor, A. (2012).</v>
      </c>
      <c r="J67" s="3">
        <f t="shared" ca="1" si="9"/>
        <v>128</v>
      </c>
      <c r="K67" t="str">
        <f t="shared" ca="1" si="6"/>
        <v xml:space="preserve">Gouveia, L. </v>
      </c>
      <c r="L67" t="str">
        <f t="shared" ca="1" si="7"/>
        <v xml:space="preserve">Quental, C. </v>
      </c>
    </row>
    <row r="68" spans="1:14" ht="15.75" customHeight="1">
      <c r="A68">
        <f ca="1">IFERROR(__xludf.DUMMYFUNCTION("""COMPUTED_VALUE"""),19)</f>
        <v>19</v>
      </c>
      <c r="B68" t="str">
        <f ca="1">IFERROR(__xludf.DUMMYFUNCTION("""COMPUTED_VALUE"""),"Abrantes, S. e Gouveia, L. (2009). *A experiência do fluxo no uso de jogos 
para suporte à aprendizagem de Matemática no Ensino Básico*. In  Dias, P.; 
Osório, A. e Ramos, A. (orgs) (2009). O Digital e o Currículo. Universidade 
do Minho Centro de Competê"&amp;"ncia, Maio, pp 63-81. ISBN 978-972-98456-4-2.")</f>
        <v>Abrantes, S. e Gouveia, L. (2009). *A experiência do fluxo no uso de jogos 
para suporte à aprendizagem de Matemática no Ensino Básico*. In  Dias, P.; 
Osório, A. e Ramos, A. (orgs) (2009). O Digital e o Currículo. Universidade 
do Minho Centro de Competência, Maio, pp 63-81. ISBN 978-972-98456-4-2.</v>
      </c>
      <c r="C68" s="2">
        <f t="shared" ca="1" si="0"/>
        <v>28</v>
      </c>
      <c r="D68" t="str">
        <f t="shared" ref="D68:D131" ca="1" si="15">LEFT(B68,FIND("(",B68)-1)</f>
        <v xml:space="preserve">Abrantes, S. e Gouveia, L. </v>
      </c>
      <c r="E68" t="str">
        <f t="shared" ca="1" si="10"/>
        <v>2009</v>
      </c>
      <c r="F68" t="str">
        <f t="shared" ca="1" si="11"/>
        <v xml:space="preserve"> *A experiência do fluxo no uso de jogos 
para suporte à aprendizagem de Matemática no Ensino Básico*. </v>
      </c>
      <c r="G68" s="3">
        <f t="shared" ca="1" si="12"/>
        <v>33</v>
      </c>
      <c r="H68" s="2">
        <f t="shared" ca="1" si="13"/>
        <v>136</v>
      </c>
      <c r="I68" t="str">
        <f t="shared" ca="1" si="14"/>
        <v>In  Dias, P.; 
Osório, A. e Ramos, A. (orgs) (2009).</v>
      </c>
      <c r="J68" s="3">
        <f t="shared" ref="J68:J131" ca="1" si="16">FIND(").",B68,H68+1)</f>
        <v>188</v>
      </c>
      <c r="K68" t="str">
        <f t="shared" ca="1" si="6"/>
        <v xml:space="preserve">Abrantes, S. e Gouveia, L. </v>
      </c>
      <c r="L68" t="str">
        <f t="shared" ca="1" si="7"/>
        <v xml:space="preserve">Quental, C. </v>
      </c>
    </row>
    <row r="69" spans="1:14" ht="15.75" customHeight="1">
      <c r="A69">
        <f ca="1">IFERROR(__xludf.DUMMYFUNCTION("""COMPUTED_VALUE"""),18)</f>
        <v>18</v>
      </c>
      <c r="B69" t="str">
        <f ca="1">IFERROR(__xludf.DUMMYFUNCTION("""COMPUTED_VALUE"""),"Gouveia, L. (2008). *As TIC e o  E-Business como alavanca dos Processos de 
Negócio*. In Vários autores. (2008). Empresas 2.0. A Tecnologia como 
Suporte à Gestão do Futuro. AEP. Porto. Parte V, Capítulo 12, pp 245-271. 
ISBN: 978-972-8702-33-5.
artigo [ "&amp;"pdf (62KB) ] | ebook completo [ pdf (5,52MB) ]")</f>
        <v>Gouveia, L. (2008). *As TIC e o  E-Business como alavanca dos Processos de 
Negócio*. In Vários autores. (2008). Empresas 2.0. A Tecnologia como 
Suporte à Gestão do Futuro. AEP. Porto. Parte V, Capítulo 12, pp 245-271. 
ISBN: 978-972-8702-33-5.
artigo [ pdf (62KB) ] | ebook completo [ pdf (5,52MB) ]</v>
      </c>
      <c r="C69" s="2">
        <f t="shared" ca="1" si="0"/>
        <v>13</v>
      </c>
      <c r="D69" t="str">
        <f t="shared" ca="1" si="15"/>
        <v xml:space="preserve">Gouveia, L. </v>
      </c>
      <c r="E69" t="str">
        <f t="shared" ca="1" si="10"/>
        <v>2008</v>
      </c>
      <c r="F69" t="str">
        <f t="shared" ca="1" si="11"/>
        <v xml:space="preserve"> *As TIC e o  E-Business como alavanca dos Processos de 
Negócio*. </v>
      </c>
      <c r="G69" s="3">
        <f t="shared" ca="1" si="12"/>
        <v>18</v>
      </c>
      <c r="H69" s="2">
        <f t="shared" ca="1" si="13"/>
        <v>85</v>
      </c>
      <c r="I69" t="str">
        <f t="shared" ca="1" si="14"/>
        <v>In Vários autores. (2008).</v>
      </c>
      <c r="J69" s="3">
        <f t="shared" ca="1" si="16"/>
        <v>111</v>
      </c>
      <c r="K69" t="str">
        <f t="shared" ca="1" si="6"/>
        <v xml:space="preserve">Gouveia, L. </v>
      </c>
      <c r="L69" t="str">
        <f t="shared" ca="1" si="7"/>
        <v xml:space="preserve">Quental, C. </v>
      </c>
    </row>
    <row r="70" spans="1:14" ht="15.75" customHeight="1">
      <c r="A70">
        <f ca="1">IFERROR(__xludf.DUMMYFUNCTION("""COMPUTED_VALUE"""),17)</f>
        <v>17</v>
      </c>
      <c r="B70" t="str">
        <f ca="1">IFERROR(__xludf.DUMMYFUNCTION("""COMPUTED_VALUE"""),"Gouveia, L. (2006). *A Gestão da Informação: um ensaio sobre a sua 
relevância no contexto organizacional*. In CXO (2006). Information 
Lifecycle Management. Criar a empresa centrada Informação. Biblioteca de 
Gestão &amp; TI. CXO Media. DL nº 250834, pp 174-"&amp;"180.
texto [ pdf (36KB) ]")</f>
        <v>Gouveia, L. (2006). *A Gestão da Informação: um ensaio sobre a sua 
relevância no contexto organizacional*. In CXO (2006). Information 
Lifecycle Management. Criar a empresa centrada Informação. Biblioteca de 
Gestão &amp; TI. CXO Media. DL nº 250834, pp 174-180.
texto [ pdf (36KB) ]</v>
      </c>
      <c r="C70" s="2">
        <f t="shared" ca="1" si="0"/>
        <v>13</v>
      </c>
      <c r="D70" t="str">
        <f t="shared" ca="1" si="15"/>
        <v xml:space="preserve">Gouveia, L. </v>
      </c>
      <c r="E70" t="str">
        <f t="shared" ca="1" si="10"/>
        <v>2006</v>
      </c>
      <c r="F70" t="str">
        <f t="shared" ca="1" si="11"/>
        <v xml:space="preserve"> *A Gestão da Informação: um ensaio sobre a sua 
relevância no contexto organizacional*. </v>
      </c>
      <c r="G70" s="3">
        <f t="shared" ca="1" si="12"/>
        <v>18</v>
      </c>
      <c r="H70" s="2">
        <f t="shared" ca="1" si="13"/>
        <v>107</v>
      </c>
      <c r="I70" t="str">
        <f t="shared" ca="1" si="14"/>
        <v>In CXO (2006).</v>
      </c>
      <c r="J70" s="3">
        <f t="shared" ca="1" si="16"/>
        <v>121</v>
      </c>
      <c r="K70" t="str">
        <f t="shared" ca="1" si="6"/>
        <v xml:space="preserve">Gouveia, L. </v>
      </c>
      <c r="L70" t="str">
        <f t="shared" ca="1" si="7"/>
        <v xml:space="preserve">Quental, C. </v>
      </c>
    </row>
    <row r="71" spans="1:14" ht="15.75" customHeight="1">
      <c r="A71">
        <f ca="1">IFERROR(__xludf.DUMMYFUNCTION("""COMPUTED_VALUE"""),16)</f>
        <v>16</v>
      </c>
      <c r="B71" t="str">
        <f ca="1">IFERROR(__xludf.DUMMYFUNCTION("""COMPUTED_VALUE"""),"Xavier, J. e Gouveia, L. e Gouveia, J. (2004). *Cidades e Regiões 
Inteligentes – uma reflexão sobre o caso português*. In Gouveia, L. e Gaio, 
S. (orgs). Sociedade da Informação: balanço e implicações. Junho de 2004. 
Edições Universidade Fernando Pessoa"&amp;". ISBN 972-8830-18-1, pp 23-29.")</f>
        <v>Xavier, J. e Gouveia, L. e Gouveia, J. (2004). *Cidades e Regiões 
Inteligentes – uma reflexão sobre o caso português*. In Gouveia, L. e Gaio, 
S. (orgs). Sociedade da Informação: balanço e implicações. Junho de 2004. 
Edições Universidade Fernando Pessoa. ISBN 972-8830-18-1, pp 23-29.</v>
      </c>
      <c r="C71" s="2">
        <f t="shared" ca="1" si="0"/>
        <v>40</v>
      </c>
      <c r="D71" t="str">
        <f t="shared" ca="1" si="15"/>
        <v xml:space="preserve">Xavier, J. e Gouveia, L. e Gouveia, J. </v>
      </c>
      <c r="E71" t="str">
        <f t="shared" ca="1" si="10"/>
        <v>2004</v>
      </c>
      <c r="F71" t="str">
        <f t="shared" ca="1" si="11"/>
        <v xml:space="preserve"> *Cidades e Regiões 
Inteligentes – uma reflexão sobre o caso português*. </v>
      </c>
      <c r="G71" s="3">
        <f t="shared" ca="1" si="12"/>
        <v>45</v>
      </c>
      <c r="H71" s="2">
        <f t="shared" ca="1" si="13"/>
        <v>119</v>
      </c>
      <c r="I71" t="str">
        <f t="shared" ca="1" si="14"/>
        <v>In Gouveia, L. e Gaio, 
S. (orgs).</v>
      </c>
      <c r="J71" s="3">
        <f t="shared" ca="1" si="16"/>
        <v>153</v>
      </c>
      <c r="K71" t="str">
        <f t="shared" ca="1" si="6"/>
        <v xml:space="preserve">Xavier, J. e Gouveia, L. e Gouveia, J. </v>
      </c>
      <c r="L71" t="str">
        <f t="shared" ca="1" si="7"/>
        <v xml:space="preserve">Quental, C. </v>
      </c>
    </row>
    <row r="72" spans="1:14" ht="15.75" customHeight="1">
      <c r="A72">
        <f ca="1">IFERROR(__xludf.DUMMYFUNCTION("""COMPUTED_VALUE"""),15)</f>
        <v>15</v>
      </c>
      <c r="B72" t="str">
        <f ca="1">IFERROR(__xludf.DUMMYFUNCTION("""COMPUTED_VALUE"""),"Rurato, P. e Gouveia, L. e Gouveia, J. (2004) *Educação de Adultos e Ensino 
à Distância: A Importância de conhecer as Características Individuais dos 
Adultos Aprendizes à Distância.* In Gouveia, L. e Gaio, S. (orgs). 
Sociedade da Informação: balanço e "&amp;"implicações. Junho de 2004. Edições 
Universidade Fernando Pessoa. ISBN 972-8830-18-1, pp 143-148.")</f>
        <v>Rurato, P. e Gouveia, L. e Gouveia, J. (2004) *Educação de Adultos e Ensino 
à Distância: A Importância de conhecer as Características Individuais dos 
Adultos Aprendizes à Distância.* In Gouveia, L. e Gaio, S. (orgs). 
Sociedade da Informação: balanço e implicações. Junho de 2004. Edições 
Universidade Fernando Pessoa. ISBN 972-8830-18-1, pp 143-148.</v>
      </c>
      <c r="C72" s="2">
        <f t="shared" ca="1" si="0"/>
        <v>40</v>
      </c>
      <c r="D72" t="str">
        <f t="shared" ca="1" si="15"/>
        <v xml:space="preserve">Rurato, P. e Gouveia, L. e Gouveia, J. </v>
      </c>
      <c r="E72" t="str">
        <f t="shared" ca="1" si="10"/>
        <v>2004</v>
      </c>
      <c r="F72" t="str">
        <f t="shared" ca="1" si="11"/>
        <v xml:space="preserve"> 
Sociedade da Informação: balanço e implicações. </v>
      </c>
      <c r="G72" s="3">
        <f t="shared" ca="1" si="12"/>
        <v>217</v>
      </c>
      <c r="H72" s="2">
        <f t="shared" ca="1" si="13"/>
        <v>267</v>
      </c>
      <c r="I72" t="e">
        <f t="shared" ca="1" si="14"/>
        <v>#VALUE!</v>
      </c>
      <c r="J72" s="3" t="e">
        <f t="shared" ca="1" si="16"/>
        <v>#VALUE!</v>
      </c>
      <c r="K72" t="str">
        <f t="shared" ca="1" si="6"/>
        <v xml:space="preserve">Rurato, P. e Gouveia, L. e Gouveia, J. </v>
      </c>
      <c r="L72" t="str">
        <f t="shared" ca="1" si="7"/>
        <v xml:space="preserve">Quental, C. </v>
      </c>
    </row>
    <row r="73" spans="1:14" ht="15.75" customHeight="1">
      <c r="A73">
        <f ca="1">IFERROR(__xludf.DUMMYFUNCTION("""COMPUTED_VALUE"""),14)</f>
        <v>14</v>
      </c>
      <c r="B73" t="str">
        <f ca="1">IFERROR(__xludf.DUMMYFUNCTION("""COMPUTED_VALUE"""),"Almeida, R. e Cerqueira, J. e Gouveia, L. (2004). *Gaia Global: 
Infra-estrutura Digital: Consolidação de Conceitos do Portal para o Cidadão*. 
In Gouveia, L. e Gaio, S. (orgs). Sociedade da Informação: balanço e 
implicações. Junho de 2004. Edições Unive"&amp;"rsidade Fernando Pessoa. ISBN 
972-8830-18-1, pp 87-104.")</f>
        <v>Almeida, R. e Cerqueira, J. e Gouveia, L. (2004). *Gaia Global: 
Infra-estrutura Digital: Consolidação de Conceitos do Portal para o Cidadão*. 
In Gouveia, L. e Gaio, S. (orgs). Sociedade da Informação: balanço e 
implicações. Junho de 2004. Edições Universidade Fernando Pessoa. ISBN 
972-8830-18-1, pp 87-104.</v>
      </c>
      <c r="C73" s="2">
        <f t="shared" ca="1" si="0"/>
        <v>43</v>
      </c>
      <c r="D73" t="str">
        <f t="shared" ca="1" si="15"/>
        <v xml:space="preserve">Almeida, R. e Cerqueira, J. e Gouveia, L. </v>
      </c>
      <c r="E73" t="str">
        <f t="shared" ca="1" si="10"/>
        <v>2004</v>
      </c>
      <c r="F73" t="str">
        <f t="shared" ca="1" si="11"/>
        <v xml:space="preserve"> *Gaia Global: 
Infra-estrutura Digital: Consolidação de Conceitos do Portal para o Cidadão*. </v>
      </c>
      <c r="G73" s="3">
        <f t="shared" ca="1" si="12"/>
        <v>48</v>
      </c>
      <c r="H73" s="2">
        <f t="shared" ca="1" si="13"/>
        <v>142</v>
      </c>
      <c r="I73" t="str">
        <f t="shared" ca="1" si="14"/>
        <v xml:space="preserve">
In Gouveia, L. e Gaio, S. (orgs).</v>
      </c>
      <c r="J73" s="3">
        <f t="shared" ca="1" si="16"/>
        <v>176</v>
      </c>
      <c r="K73" t="str">
        <f t="shared" ca="1" si="6"/>
        <v xml:space="preserve">Almeida, R. e Cerqueira, J. e Gouveia, L. </v>
      </c>
      <c r="L73" t="str">
        <f t="shared" ca="1" si="7"/>
        <v xml:space="preserve">Quental, C. </v>
      </c>
    </row>
    <row r="74" spans="1:14" ht="15.75" customHeight="1">
      <c r="A74">
        <f ca="1">IFERROR(__xludf.DUMMYFUNCTION("""COMPUTED_VALUE"""),13)</f>
        <v>13</v>
      </c>
      <c r="B74" t="str">
        <f ca="1">IFERROR(__xludf.DUMMYFUNCTION("""COMPUTED_VALUE"""),"Gouveia, L. e Gaio, S. (2004). *Introdução: balanço e implicações e 
Sociedade da Informação*. In Gouveia, L. e Gaio, S. (orgs). Sociedade da 
Informação: balanço e implicações. Junho de 2004. Edições Universidade 
Fernando Pessoa. ISBN 972-8830-18-1, pp "&amp;"15-17.")</f>
        <v>Gouveia, L. e Gaio, S. (2004). *Introdução: balanço e implicações e 
Sociedade da Informação*. In Gouveia, L. e Gaio, S. (orgs). Sociedade da 
Informação: balanço e implicações. Junho de 2004. Edições Universidade 
Fernando Pessoa. ISBN 972-8830-18-1, pp 15-17.</v>
      </c>
      <c r="C74" s="2">
        <f t="shared" ca="1" si="0"/>
        <v>24</v>
      </c>
      <c r="D74" t="str">
        <f t="shared" ca="1" si="15"/>
        <v xml:space="preserve">Gouveia, L. e Gaio, S. </v>
      </c>
      <c r="E74" t="str">
        <f t="shared" ca="1" si="10"/>
        <v>2004</v>
      </c>
      <c r="F74" t="str">
        <f t="shared" ca="1" si="11"/>
        <v xml:space="preserve"> *Introdução: balanço e implicações e 
Sociedade da Informação*. </v>
      </c>
      <c r="G74" s="3">
        <f t="shared" ca="1" si="12"/>
        <v>29</v>
      </c>
      <c r="H74" s="2">
        <f t="shared" ca="1" si="13"/>
        <v>94</v>
      </c>
      <c r="I74" t="str">
        <f t="shared" ca="1" si="14"/>
        <v>In Gouveia, L. e Gaio, S. (orgs).</v>
      </c>
      <c r="J74" s="3">
        <f t="shared" ca="1" si="16"/>
        <v>127</v>
      </c>
      <c r="K74" t="str">
        <f t="shared" ca="1" si="6"/>
        <v xml:space="preserve">Gouveia, L. e Gaio, S. </v>
      </c>
      <c r="L74" t="str">
        <f t="shared" ca="1" si="7"/>
        <v xml:space="preserve">Quental, C. </v>
      </c>
    </row>
    <row r="75" spans="1:14" ht="15.75" customHeight="1">
      <c r="A75">
        <f ca="1">IFERROR(__xludf.DUMMYFUNCTION("""COMPUTED_VALUE"""),12)</f>
        <v>12</v>
      </c>
      <c r="B75" t="str">
        <f ca="1">IFERROR(__xludf.DUMMYFUNCTION("""COMPUTED_VALUE"""),"Gouveia, L. and Gaio, S. (2004). *Introduction to information society* in 
Gouveia, L.and Gaio, S. (2004). Readings in Information Society. University 
Fernando Pessoa Press. March. ISBN 972-8830-14-9, pp 11-13.")</f>
        <v>Gouveia, L. and Gaio, S. (2004). *Introduction to information society* in 
Gouveia, L.and Gaio, S. (2004). Readings in Information Society. University 
Fernando Pessoa Press. March. ISBN 972-8830-14-9, pp 11-13.</v>
      </c>
      <c r="C75" s="2">
        <f t="shared" ca="1" si="0"/>
        <v>26</v>
      </c>
      <c r="D75" t="str">
        <f t="shared" ca="1" si="15"/>
        <v xml:space="preserve">Gouveia, L. and Gaio, S. </v>
      </c>
      <c r="E75" t="str">
        <f t="shared" ca="1" si="10"/>
        <v>2004</v>
      </c>
      <c r="F75" t="str">
        <f t="shared" ca="1" si="11"/>
        <v xml:space="preserve"> *Introduction to information society* in 
Gouveia, L.a</v>
      </c>
      <c r="G75" s="3">
        <f t="shared" ca="1" si="12"/>
        <v>31</v>
      </c>
      <c r="H75" s="2">
        <f t="shared" ca="1" si="13"/>
        <v>86</v>
      </c>
      <c r="I75" t="str">
        <f t="shared" ca="1" si="14"/>
        <v>nd Gaio, S. (2004).</v>
      </c>
      <c r="J75" s="3">
        <f t="shared" ca="1" si="16"/>
        <v>105</v>
      </c>
      <c r="K75" t="str">
        <f t="shared" ca="1" si="6"/>
        <v xml:space="preserve">Gouveia, L. ; Gaio, S. </v>
      </c>
      <c r="L75" t="str">
        <f t="shared" ca="1" si="7"/>
        <v xml:space="preserve">Quental, C. </v>
      </c>
      <c r="M75" t="str">
        <f ca="1">IFERROR(__xludf.DUMMYFUNCTION("""COMPUTED_VALUE""")," Gaio, S. ")</f>
        <v xml:space="preserve"> Gaio, S. </v>
      </c>
    </row>
    <row r="76" spans="1:14" ht="15.75" customHeight="1">
      <c r="A76">
        <f ca="1">IFERROR(__xludf.DUMMYFUNCTION("""COMPUTED_VALUE"""),11)</f>
        <v>11</v>
      </c>
      <c r="B76" t="str">
        <f ca="1">IFERROR(__xludf.DUMMYFUNCTION("""COMPUTED_VALUE"""),"Gouveia, L. and Xavier, J. and Gouveia, J.. (2004). *Gaia Global: a digital 
cities initiative* in Gouveia, L. and Gaio, S. (2004). Readings in 
Information Society. University Fernando Pessoa Press. March. ISBN 
972-8830-14-9, pp 17-37.")</f>
        <v>Gouveia, L. and Xavier, J. and Gouveia, J.. (2004). *Gaia Global: a digital 
cities initiative* in Gouveia, L. and Gaio, S. (2004). Readings in 
Information Society. University Fernando Pessoa Press. March. ISBN 
972-8830-14-9, pp 17-37.</v>
      </c>
      <c r="C76" s="2">
        <f t="shared" ca="1" si="0"/>
        <v>45</v>
      </c>
      <c r="D76" t="str">
        <f t="shared" ca="1" si="15"/>
        <v xml:space="preserve">Gouveia, L. and Xavier, J. and Gouveia, J.. </v>
      </c>
      <c r="E76" t="str">
        <f t="shared" ca="1" si="10"/>
        <v>2004</v>
      </c>
      <c r="F76" t="str">
        <f t="shared" ca="1" si="11"/>
        <v xml:space="preserve"> *Gaia Global: a digital 
cities initiative* in Gouveia, L. </v>
      </c>
      <c r="G76" s="3">
        <f t="shared" ca="1" si="12"/>
        <v>50</v>
      </c>
      <c r="H76" s="2">
        <f t="shared" ca="1" si="13"/>
        <v>110</v>
      </c>
      <c r="I76" t="str">
        <f t="shared" ca="1" si="14"/>
        <v>and Gaio, S. (2004).</v>
      </c>
      <c r="J76" s="3">
        <f t="shared" ca="1" si="16"/>
        <v>130</v>
      </c>
      <c r="K76" t="str">
        <f t="shared" ca="1" si="6"/>
        <v xml:space="preserve">Gouveia, L. ; Xavier, J. ; Gouveia, J.. </v>
      </c>
      <c r="L76" t="str">
        <f t="shared" ca="1" si="7"/>
        <v xml:space="preserve">Quental, C. </v>
      </c>
      <c r="M76" t="str">
        <f ca="1">IFERROR(__xludf.DUMMYFUNCTION("""COMPUTED_VALUE""")," Xavier, J. ")</f>
        <v xml:space="preserve"> Xavier, J. </v>
      </c>
      <c r="N76" t="str">
        <f ca="1">IFERROR(__xludf.DUMMYFUNCTION("""COMPUTED_VALUE""")," Gouveia, J.. ")</f>
        <v xml:space="preserve"> Gouveia, J.. </v>
      </c>
    </row>
    <row r="77" spans="1:14" ht="15.75" customHeight="1">
      <c r="A77">
        <f ca="1">IFERROR(__xludf.DUMMYFUNCTION("""COMPUTED_VALUE"""),10)</f>
        <v>10</v>
      </c>
      <c r="B77" t="str">
        <f ca="1">IFERROR(__xludf.DUMMYFUNCTION("""COMPUTED_VALUE"""),"Gouveia, L. (2004). *Why physical place for a digital oriented world* in 
Gouveia, L. and Gaio, S. (2004). Readings in Information Society. 
University Fernando Pessoa Press. March. ISBN 972-8830-14-9, pp 91-100.")</f>
        <v>Gouveia, L. (2004). *Why physical place for a digital oriented world* in 
Gouveia, L. and Gaio, S. (2004). Readings in Information Society. 
University Fernando Pessoa Press. March. ISBN 972-8830-14-9, pp 91-100.</v>
      </c>
      <c r="C77" s="2">
        <f t="shared" ca="1" si="0"/>
        <v>13</v>
      </c>
      <c r="D77" t="str">
        <f t="shared" ca="1" si="15"/>
        <v xml:space="preserve">Gouveia, L. </v>
      </c>
      <c r="E77" t="str">
        <f t="shared" ca="1" si="10"/>
        <v>2004</v>
      </c>
      <c r="F77" t="str">
        <f t="shared" ca="1" si="11"/>
        <v xml:space="preserve"> *Why physical place for a digital oriented world* in 
Gouveia, L. </v>
      </c>
      <c r="G77" s="3">
        <f t="shared" ca="1" si="12"/>
        <v>18</v>
      </c>
      <c r="H77" s="2">
        <f t="shared" ca="1" si="13"/>
        <v>85</v>
      </c>
      <c r="I77" t="str">
        <f t="shared" ca="1" si="14"/>
        <v>and Gaio, S. (2004).</v>
      </c>
      <c r="J77" s="3">
        <f t="shared" ca="1" si="16"/>
        <v>105</v>
      </c>
      <c r="K77" t="str">
        <f t="shared" ca="1" si="6"/>
        <v xml:space="preserve">Gouveia, L. </v>
      </c>
      <c r="L77" t="str">
        <f t="shared" ca="1" si="7"/>
        <v xml:space="preserve">Quental, C. </v>
      </c>
    </row>
    <row r="78" spans="1:14" ht="15.75" customHeight="1">
      <c r="A78">
        <f ca="1">IFERROR(__xludf.DUMMYFUNCTION("""COMPUTED_VALUE"""),9)</f>
        <v>9</v>
      </c>
      <c r="B78" t="str">
        <f ca="1">IFERROR(__xludf.DUMMYFUNCTION("""COMPUTED_VALUE"""),"Rurato, P. and Gouveia, L. and Gouveia, J. (2004). *Adult Education and 
Distance Learning: Issues, Barriers and Outcomes* in Gouveia, L. and Gaio, 
S. (2004). Readings in Information Society. University Fernando Pessoa 
Press. March, pp 133-141. ISBN 972"&amp;"-8830-14-9.")</f>
        <v>Rurato, P. and Gouveia, L. and Gouveia, J. (2004). *Adult Education and 
Distance Learning: Issues, Barriers and Outcomes* in Gouveia, L. and Gaio, 
S. (2004). Readings in Information Society. University Fernando Pessoa 
Press. March, pp 133-141. ISBN 972-8830-14-9.</v>
      </c>
      <c r="C78" s="2">
        <f t="shared" ca="1" si="0"/>
        <v>44</v>
      </c>
      <c r="D78" t="str">
        <f t="shared" ca="1" si="15"/>
        <v xml:space="preserve">Rurato, P. and Gouveia, L. and Gouveia, J. </v>
      </c>
      <c r="E78" t="str">
        <f t="shared" ca="1" si="10"/>
        <v>2004</v>
      </c>
      <c r="F78" t="str">
        <f t="shared" ca="1" si="11"/>
        <v xml:space="preserve"> *Adult Education and 
Distance Learning: Issues, Barriers and Outcomes* in Gouveia, L. </v>
      </c>
      <c r="G78" s="3">
        <f t="shared" ca="1" si="12"/>
        <v>49</v>
      </c>
      <c r="H78" s="2">
        <f t="shared" ca="1" si="13"/>
        <v>137</v>
      </c>
      <c r="I78" t="str">
        <f t="shared" ca="1" si="14"/>
        <v>and Gaio, 
S. (2004).</v>
      </c>
      <c r="J78" s="3">
        <f t="shared" ca="1" si="16"/>
        <v>158</v>
      </c>
      <c r="K78" t="str">
        <f t="shared" ca="1" si="6"/>
        <v xml:space="preserve">Rurato, P. ; Gouveia, L. ; Gouveia, J. </v>
      </c>
      <c r="L78" t="str">
        <f t="shared" ca="1" si="7"/>
        <v xml:space="preserve">Quental, C. </v>
      </c>
      <c r="M78" t="str">
        <f ca="1">IFERROR(__xludf.DUMMYFUNCTION("""COMPUTED_VALUE""")," Gouveia, L. ")</f>
        <v xml:space="preserve"> Gouveia, L. </v>
      </c>
      <c r="N78" t="str">
        <f ca="1">IFERROR(__xludf.DUMMYFUNCTION("""COMPUTED_VALUE""")," Gouveia, J. ")</f>
        <v xml:space="preserve"> Gouveia, J. </v>
      </c>
    </row>
    <row r="79" spans="1:14" ht="15.75" customHeight="1">
      <c r="A79">
        <f ca="1">IFERROR(__xludf.DUMMYFUNCTION("""COMPUTED_VALUE"""),8)</f>
        <v>8</v>
      </c>
      <c r="B79" t="str">
        <f ca="1">IFERROR(__xludf.DUMMYFUNCTION("""COMPUTED_VALUE"""),"Gouveia, L. (2003). *Cidades e Regiões Digitais: questões e desafios no 
digital*. In Gouveia, L.(organizador). (2003). Cidades e Regiões Digitais: 
impacte nas cidades e nas pessoas. Setembro de 2003. Edições Universidade 
Fernando Pessoa, pp 11-13. ISBN"&amp;": 972-8830-03-3")</f>
        <v>Gouveia, L. (2003). *Cidades e Regiões Digitais: questões e desafios no 
digital*. In Gouveia, L.(organizador). (2003). Cidades e Regiões Digitais: 
impacte nas cidades e nas pessoas. Setembro de 2003. Edições Universidade 
Fernando Pessoa, pp 11-13. ISBN: 972-8830-03-3</v>
      </c>
      <c r="C79" s="2">
        <f t="shared" ca="1" si="0"/>
        <v>13</v>
      </c>
      <c r="D79" t="str">
        <f t="shared" ca="1" si="15"/>
        <v xml:space="preserve">Gouveia, L. </v>
      </c>
      <c r="E79" t="str">
        <f t="shared" ca="1" si="10"/>
        <v>2003</v>
      </c>
      <c r="F79" t="str">
        <f t="shared" ca="1" si="11"/>
        <v xml:space="preserve"> *Cidades e Regiões Digitais: questões e desafios no 
digital*. </v>
      </c>
      <c r="G79" s="3">
        <f t="shared" ca="1" si="12"/>
        <v>18</v>
      </c>
      <c r="H79" s="2">
        <f t="shared" ca="1" si="13"/>
        <v>82</v>
      </c>
      <c r="I79" t="str">
        <f t="shared" ca="1" si="14"/>
        <v>In Gouveia, L.(organizador).</v>
      </c>
      <c r="J79" s="3">
        <f t="shared" ca="1" si="16"/>
        <v>110</v>
      </c>
      <c r="K79" t="str">
        <f t="shared" ca="1" si="6"/>
        <v xml:space="preserve">Gouveia, L. </v>
      </c>
      <c r="L79" t="str">
        <f t="shared" ca="1" si="7"/>
        <v xml:space="preserve">Quental, C. </v>
      </c>
    </row>
    <row r="80" spans="1:14" ht="15.75" customHeight="1">
      <c r="A80">
        <f ca="1">IFERROR(__xludf.DUMMYFUNCTION("""COMPUTED_VALUE"""),7)</f>
        <v>7</v>
      </c>
      <c r="B80" t="str">
        <f ca="1">IFERROR(__xludf.DUMMYFUNCTION("""COMPUTED_VALUE"""),"Xavier, J. e Gouveia, L. e Gouveia, J. (2003). G*aia Global - O Cidadão 
como umbigo da Cidade Digital*. In Gouveia, L. (org.) Cidades e Regiões 
Digitais: impacte nas cidades e nas pessoas. Setembro de 2003. Edições 
Universidade Fernando Pessoa, pp 135-"&amp;"155. ISBN: 972-8830-03-3")</f>
        <v>Xavier, J. e Gouveia, L. e Gouveia, J. (2003). G*aia Global - O Cidadão 
como umbigo da Cidade Digital*. In Gouveia, L. (org.) Cidades e Regiões 
Digitais: impacte nas cidades e nas pessoas. Setembro de 2003. Edições 
Universidade Fernando Pessoa, pp 135-155. ISBN: 972-8830-03-3</v>
      </c>
      <c r="C80" s="2">
        <f t="shared" ca="1" si="0"/>
        <v>40</v>
      </c>
      <c r="D80" t="str">
        <f t="shared" ca="1" si="15"/>
        <v xml:space="preserve">Xavier, J. e Gouveia, L. e Gouveia, J. </v>
      </c>
      <c r="E80" t="str">
        <f t="shared" ca="1" si="10"/>
        <v>2003</v>
      </c>
      <c r="F80" t="str">
        <f t="shared" ca="1" si="11"/>
        <v xml:space="preserve"> G*aia Global - O Cidadão 
como umbigo da Cidade Digital*. </v>
      </c>
      <c r="G80" s="3">
        <f t="shared" ca="1" si="12"/>
        <v>45</v>
      </c>
      <c r="H80" s="2">
        <f t="shared" ca="1" si="13"/>
        <v>104</v>
      </c>
      <c r="I80" t="e">
        <f t="shared" ca="1" si="14"/>
        <v>#VALUE!</v>
      </c>
      <c r="J80" s="3" t="e">
        <f t="shared" ca="1" si="16"/>
        <v>#VALUE!</v>
      </c>
      <c r="K80" t="str">
        <f t="shared" ca="1" si="6"/>
        <v xml:space="preserve">Xavier, J. e Gouveia, L. e Gouveia, J. </v>
      </c>
      <c r="L80" t="str">
        <f t="shared" ca="1" si="7"/>
        <v xml:space="preserve">Quental, C. </v>
      </c>
    </row>
    <row r="81" spans="1:14" ht="15.75" customHeight="1">
      <c r="A81">
        <f ca="1">IFERROR(__xludf.DUMMYFUNCTION("""COMPUTED_VALUE"""),6)</f>
        <v>6</v>
      </c>
      <c r="B81" t="str">
        <f ca="1">IFERROR(__xludf.DUMMYFUNCTION("""COMPUTED_VALUE"""),"Gouveia, L. e Gouveia, J. (2003), *Autarquias Digitais: promessas e 
desafios.* In Gouveia, L. (org.) Cidades e Regiões Digitais: impacte nas 
cidades e nas pessoas. Setembro de 2003. Edições Universidade Fernando 
Pessoa, pp 187-193. ISBN: 972-8830-03-3")</f>
        <v>Gouveia, L. e Gouveia, J. (2003), *Autarquias Digitais: promessas e 
desafios.* In Gouveia, L. (org.) Cidades e Regiões Digitais: impacte nas 
cidades e nas pessoas. Setembro de 2003. Edições Universidade Fernando 
Pessoa, pp 187-193. ISBN: 972-8830-03-3</v>
      </c>
      <c r="C81" s="2">
        <f t="shared" ca="1" si="0"/>
        <v>27</v>
      </c>
      <c r="D81" t="str">
        <f t="shared" ca="1" si="15"/>
        <v xml:space="preserve">Gouveia, L. e Gouveia, J. </v>
      </c>
      <c r="E81" t="str">
        <f t="shared" ca="1" si="10"/>
        <v>2003</v>
      </c>
      <c r="F81" t="e">
        <f t="shared" ca="1" si="11"/>
        <v>#VALUE!</v>
      </c>
      <c r="G81" s="3" t="e">
        <f t="shared" ca="1" si="12"/>
        <v>#VALUE!</v>
      </c>
      <c r="H81" s="2" t="e">
        <f t="shared" ca="1" si="13"/>
        <v>#VALUE!</v>
      </c>
      <c r="I81" t="e">
        <f t="shared" ca="1" si="14"/>
        <v>#VALUE!</v>
      </c>
      <c r="J81" s="3" t="e">
        <f t="shared" ca="1" si="16"/>
        <v>#VALUE!</v>
      </c>
      <c r="K81" t="str">
        <f t="shared" ca="1" si="6"/>
        <v xml:space="preserve">Gouveia, L. e Gouveia, J. </v>
      </c>
      <c r="L81" t="str">
        <f t="shared" ca="1" si="7"/>
        <v xml:space="preserve">Quental, C. </v>
      </c>
    </row>
    <row r="82" spans="1:14" ht="15.75" customHeight="1">
      <c r="A82">
        <f ca="1">IFERROR(__xludf.DUMMYFUNCTION("""COMPUTED_VALUE"""),5)</f>
        <v>5</v>
      </c>
      <c r="B82" t="str">
        <f ca="1">IFERROR(__xludf.DUMMYFUNCTION("""COMPUTED_VALUE"""),"Gouveia, L. and Gouveia, F. (2003). Virtual Environments and Kowledge 
Sharing. Tavares, L. and Pereira, M. (eds.) E-Portugal. Chapter 3: Sistemas 
e Processos, ACEP, pp 125-134.")</f>
        <v>Gouveia, L. and Gouveia, F. (2003). Virtual Environments and Kowledge 
Sharing. Tavares, L. and Pereira, M. (eds.) E-Portugal. Chapter 3: Sistemas 
e Processos, ACEP, pp 125-134.</v>
      </c>
      <c r="C82" s="2">
        <f t="shared" ca="1" si="0"/>
        <v>29</v>
      </c>
      <c r="D82" t="str">
        <f t="shared" ca="1" si="15"/>
        <v xml:space="preserve">Gouveia, L. and Gouveia, F. </v>
      </c>
      <c r="E82" t="str">
        <f t="shared" ca="1" si="10"/>
        <v>2003</v>
      </c>
      <c r="F82" t="str">
        <f t="shared" ca="1" si="11"/>
        <v xml:space="preserve"> Virtual Environments and Kowledge 
Sharing. </v>
      </c>
      <c r="G82" s="3">
        <f t="shared" ca="1" si="12"/>
        <v>34</v>
      </c>
      <c r="H82" s="2">
        <f t="shared" ca="1" si="13"/>
        <v>79</v>
      </c>
      <c r="I82" t="e">
        <f t="shared" ca="1" si="14"/>
        <v>#VALUE!</v>
      </c>
      <c r="J82" s="3" t="e">
        <f t="shared" ca="1" si="16"/>
        <v>#VALUE!</v>
      </c>
      <c r="K82" t="str">
        <f t="shared" ca="1" si="6"/>
        <v xml:space="preserve">Gouveia, L. ; Gouveia, F. </v>
      </c>
      <c r="L82" t="str">
        <f t="shared" ca="1" si="7"/>
        <v xml:space="preserve">Quental, C. </v>
      </c>
      <c r="M82" t="str">
        <f ca="1">IFERROR(__xludf.DUMMYFUNCTION("""COMPUTED_VALUE""")," Gouveia, F. ")</f>
        <v xml:space="preserve"> Gouveia, F. </v>
      </c>
    </row>
    <row r="83" spans="1:14" ht="15.75" customHeight="1">
      <c r="A83">
        <f ca="1">IFERROR(__xludf.DUMMYFUNCTION("""COMPUTED_VALUE"""),4)</f>
        <v>4</v>
      </c>
      <c r="B83" t="str">
        <f ca="1">IFERROR(__xludf.DUMMYFUNCTION("""COMPUTED_VALUE"""),"Lamas, D.; Gouveia, F. e Gouveia, L. (2001). *O Símbolo e a Interactividade 
no uso de computadores*. In Leão, I. (Org.). Actas do Congresso 
Internacional Literatura, Cinema e outras Artes. Edições Universidade 
Fernando Pessoa. ISBN 972-8184-64-6, pp 30"&amp;"3-310.
paper [ pdf (26KB) ]")</f>
        <v>Lamas, D.; Gouveia, F. e Gouveia, L. (2001). *O Símbolo e a Interactividade 
no uso de computadores*. In Leão, I. (Org.). Actas do Congresso 
Internacional Literatura, Cinema e outras Artes. Edições Universidade 
Fernando Pessoa. ISBN 972-8184-64-6, pp 303-310.
paper [ pdf (26KB) ]</v>
      </c>
      <c r="C83" s="2">
        <f t="shared" ca="1" si="0"/>
        <v>38</v>
      </c>
      <c r="D83" t="str">
        <f t="shared" ca="1" si="15"/>
        <v xml:space="preserve">Lamas, D.; Gouveia, F. e Gouveia, L. </v>
      </c>
      <c r="E83" t="str">
        <f t="shared" ca="1" si="10"/>
        <v>2001</v>
      </c>
      <c r="F83" t="str">
        <f t="shared" ca="1" si="11"/>
        <v xml:space="preserve"> *O Símbolo e a Interactividade 
no uso de computadores*. </v>
      </c>
      <c r="G83" s="3">
        <f t="shared" ca="1" si="12"/>
        <v>43</v>
      </c>
      <c r="H83" s="2">
        <f t="shared" ca="1" si="13"/>
        <v>101</v>
      </c>
      <c r="I83" t="str">
        <f t="shared" ca="1" si="14"/>
        <v>In Leão, I. (Org.).</v>
      </c>
      <c r="J83" s="3">
        <f t="shared" ca="1" si="16"/>
        <v>120</v>
      </c>
      <c r="K83" t="str">
        <f t="shared" ca="1" si="6"/>
        <v xml:space="preserve">Lamas, D.; Gouveia, F. e Gouveia, L. </v>
      </c>
      <c r="L83" t="str">
        <f t="shared" ca="1" si="7"/>
        <v xml:space="preserve">Quental, C. </v>
      </c>
      <c r="M83" t="str">
        <f ca="1">IFERROR(__xludf.DUMMYFUNCTION("""COMPUTED_VALUE""")," Gouveia, F. e Gouveia, L. ")</f>
        <v xml:space="preserve"> Gouveia, F. e Gouveia, L. </v>
      </c>
    </row>
    <row r="84" spans="1:14" ht="15.75" customHeight="1">
      <c r="A84">
        <f ca="1">IFERROR(__xludf.DUMMYFUNCTION("""COMPUTED_VALUE"""),3)</f>
        <v>3</v>
      </c>
      <c r="B84" t="str">
        <f ca="1">IFERROR(__xludf.DUMMYFUNCTION("""COMPUTED_VALUE"""),"Gouveia, L.; Gouveia, J. and Restivo, F. (2000) *EFTWeb: a working model to 
support Education, Learning and Training.* Valadares, L. and Pereira, M. 
(eds.). Nova Economia e Tecnologias de Informação: Desafios para Portugal, 
pp 400-410. Universidade Cat"&amp;"ólica Editora. ISBN 972-54-0019-4. 
paper [ pdf (47KB) an edited version of the CEPI´99 paper]")</f>
        <v>Gouveia, L.; Gouveia, J. and Restivo, F. (2000) *EFTWeb: a working model to 
support Education, Learning and Training.* Valadares, L. and Pereira, M. 
(eds.). Nova Economia e Tecnologias de Informação: Desafios para Portugal, 
pp 400-410. Universidade Católica Editora. ISBN 972-54-0019-4. 
paper [ pdf (47KB) an edited version of the CEPI´99 paper]</v>
      </c>
      <c r="C84" s="2">
        <f t="shared" ca="1" si="0"/>
        <v>42</v>
      </c>
      <c r="D84" t="str">
        <f t="shared" ca="1" si="15"/>
        <v xml:space="preserve">Gouveia, L.; Gouveia, J. and Restivo, F. </v>
      </c>
      <c r="E84" t="str">
        <f t="shared" ca="1" si="10"/>
        <v>2000</v>
      </c>
      <c r="F84" t="str">
        <f t="shared" ca="1" si="11"/>
        <v xml:space="preserve"> Nova Economia e Tecnologias de Informação: Desafios para Portugal, 
pp 400-410. </v>
      </c>
      <c r="G84" s="3">
        <f t="shared" ca="1" si="12"/>
        <v>157</v>
      </c>
      <c r="H84" s="2">
        <f t="shared" ca="1" si="13"/>
        <v>238</v>
      </c>
      <c r="I84" t="e">
        <f t="shared" ca="1" si="14"/>
        <v>#VALUE!</v>
      </c>
      <c r="J84" s="3" t="e">
        <f t="shared" ca="1" si="16"/>
        <v>#VALUE!</v>
      </c>
      <c r="K84" t="str">
        <f t="shared" ca="1" si="6"/>
        <v xml:space="preserve">Gouveia, L.; Gouveia, J. ; Restivo, F. </v>
      </c>
      <c r="L84" t="str">
        <f t="shared" ca="1" si="7"/>
        <v xml:space="preserve">Quental, C. </v>
      </c>
      <c r="M84" t="str">
        <f ca="1">IFERROR(__xludf.DUMMYFUNCTION("""COMPUTED_VALUE""")," Gouveia, J. ")</f>
        <v xml:space="preserve"> Gouveia, J. </v>
      </c>
      <c r="N84" t="str">
        <f ca="1">IFERROR(__xludf.DUMMYFUNCTION("""COMPUTED_VALUE""")," Restivo, F. ")</f>
        <v xml:space="preserve"> Restivo, F. </v>
      </c>
    </row>
    <row r="85" spans="1:14" ht="15.75" customHeight="1">
      <c r="A85">
        <f ca="1">IFERROR(__xludf.DUMMYFUNCTION("""COMPUTED_VALUE"""),2)</f>
        <v>2</v>
      </c>
      <c r="B85" t="str">
        <f ca="1">IFERROR(__xludf.DUMMYFUNCTION("""COMPUTED_VALUE"""),"Gouveia, L.; Gouveia, F. and Lamas, D. (2000). *Innovation in Business 
Processes: An experiment using CAIN.* Valadares, L. and Pereira, M. (eds.). 
Nova Economia e Tecnologias de Informação: Desafios para Portugal, pp 
368-377. Universidade Católica Edit"&amp;"ora.  ISBN 972-54-0019-4. 
paper [ pfd (48KB) an edited version of the CEPI´99 paper]")</f>
        <v>Gouveia, L.; Gouveia, F. and Lamas, D. (2000). *Innovation in Business 
Processes: An experiment using CAIN.* Valadares, L. and Pereira, M. (eds.). 
Nova Economia e Tecnologias de Informação: Desafios para Portugal, pp 
368-377. Universidade Católica Editora.  ISBN 972-54-0019-4. 
paper [ pfd (48KB) an edited version of the CEPI´99 paper]</v>
      </c>
      <c r="C85" s="2">
        <f t="shared" ca="1" si="0"/>
        <v>40</v>
      </c>
      <c r="D85" t="str">
        <f t="shared" ca="1" si="15"/>
        <v xml:space="preserve">Gouveia, L.; Gouveia, F. and Lamas, D. </v>
      </c>
      <c r="E85" t="str">
        <f t="shared" ca="1" si="10"/>
        <v>2000</v>
      </c>
      <c r="F85" t="str">
        <f t="shared" ca="1" si="11"/>
        <v xml:space="preserve"> *Innovation in Business 
Processes: An experiment using CAIN.*</v>
      </c>
      <c r="G85" s="3">
        <f t="shared" ca="1" si="12"/>
        <v>45</v>
      </c>
      <c r="H85" s="2">
        <f t="shared" ca="1" si="13"/>
        <v>108</v>
      </c>
      <c r="I85" t="str">
        <f t="shared" ca="1" si="14"/>
        <v xml:space="preserve"> Valadares, L. and Pereira, M. (eds.).</v>
      </c>
      <c r="J85" s="3">
        <f t="shared" ca="1" si="16"/>
        <v>146</v>
      </c>
      <c r="K85" t="str">
        <f t="shared" ca="1" si="6"/>
        <v xml:space="preserve">Gouveia, L.; Gouveia, F. ; Lamas, D. </v>
      </c>
      <c r="L85" t="str">
        <f t="shared" ca="1" si="7"/>
        <v xml:space="preserve">Quental, C. </v>
      </c>
      <c r="M85" t="str">
        <f ca="1">IFERROR(__xludf.DUMMYFUNCTION("""COMPUTED_VALUE""")," Gouveia, F. ")</f>
        <v xml:space="preserve"> Gouveia, F. </v>
      </c>
      <c r="N85" t="str">
        <f ca="1">IFERROR(__xludf.DUMMYFUNCTION("""COMPUTED_VALUE""")," Lamas, D. ")</f>
        <v xml:space="preserve"> Lamas, D. </v>
      </c>
    </row>
    <row r="86" spans="1:14" ht="15.75" customHeight="1">
      <c r="A86">
        <f ca="1">IFERROR(__xludf.DUMMYFUNCTION("""COMPUTED_VALUE"""),1)</f>
        <v>1</v>
      </c>
      <c r="B86" t="str">
        <f ca="1">IFERROR(__xludf.DUMMYFUNCTION("""COMPUTED_VALUE"""),"Gouveia, L. (1998). *Sociedade Digital: que oportunidades?*. Da Rosa, V. 
and Castillo, S. (eds.) Pós-Colonialismo e Identidade, UFP, Porto, pp 
181-189. Porto, Maio. ISBN 972-8184-30-1
texto [ HTML ]")</f>
        <v>Gouveia, L. (1998). *Sociedade Digital: que oportunidades?*. Da Rosa, V. 
and Castillo, S. (eds.) Pós-Colonialismo e Identidade, UFP, Porto, pp 
181-189. Porto, Maio. ISBN 972-8184-30-1
texto [ HTML ]</v>
      </c>
      <c r="C86" s="2">
        <f t="shared" ca="1" si="0"/>
        <v>13</v>
      </c>
      <c r="D86" t="str">
        <f t="shared" ca="1" si="15"/>
        <v xml:space="preserve">Gouveia, L. </v>
      </c>
      <c r="E86" t="str">
        <f t="shared" ca="1" si="10"/>
        <v>1998</v>
      </c>
      <c r="F86" t="str">
        <f t="shared" ca="1" si="11"/>
        <v xml:space="preserve"> *Sociedade Digital: que oportunidades?*. </v>
      </c>
      <c r="G86" s="3">
        <f t="shared" ca="1" si="12"/>
        <v>18</v>
      </c>
      <c r="H86" s="2">
        <f t="shared" ca="1" si="13"/>
        <v>60</v>
      </c>
      <c r="I86" t="e">
        <f t="shared" ca="1" si="14"/>
        <v>#VALUE!</v>
      </c>
      <c r="J86" s="3" t="e">
        <f t="shared" ca="1" si="16"/>
        <v>#VALUE!</v>
      </c>
      <c r="K86" t="str">
        <f t="shared" ca="1" si="6"/>
        <v xml:space="preserve">Gouveia, L. </v>
      </c>
      <c r="L86" t="str">
        <f t="shared" ca="1" si="7"/>
        <v xml:space="preserve">Quental, C. </v>
      </c>
    </row>
    <row r="87" spans="1:14" ht="15.75" customHeight="1">
      <c r="A87" t="str">
        <f ca="1">IFERROR(__xludf.DUMMYFUNCTION("""COMPUTED_VALUE"""),"[ top ]")</f>
        <v>[ top ]</v>
      </c>
      <c r="B87" t="str">
        <f ca="1">IFERROR(__xludf.DUMMYFUNCTION("""COMPUTED_VALUE"""),"Relatóriosacadémicos / Academic reports")</f>
        <v>Relatóriosacadémicos / Academic reports</v>
      </c>
      <c r="C87" s="2" t="e">
        <f t="shared" ca="1" si="0"/>
        <v>#VALUE!</v>
      </c>
      <c r="D87" t="e">
        <f t="shared" ca="1" si="15"/>
        <v>#VALUE!</v>
      </c>
      <c r="E87" t="e">
        <f t="shared" ca="1" si="10"/>
        <v>#VALUE!</v>
      </c>
      <c r="F87" t="e">
        <f t="shared" ca="1" si="11"/>
        <v>#VALUE!</v>
      </c>
      <c r="G87" s="3" t="e">
        <f t="shared" ca="1" si="12"/>
        <v>#VALUE!</v>
      </c>
      <c r="H87" s="2" t="e">
        <f t="shared" ca="1" si="13"/>
        <v>#VALUE!</v>
      </c>
      <c r="I87" t="e">
        <f t="shared" ca="1" si="14"/>
        <v>#VALUE!</v>
      </c>
      <c r="J87" s="3" t="e">
        <f t="shared" ca="1" si="16"/>
        <v>#VALUE!</v>
      </c>
      <c r="K87" t="e">
        <f t="shared" ca="1" si="6"/>
        <v>#VALUE!</v>
      </c>
      <c r="L87" t="str">
        <f t="shared" ca="1" si="7"/>
        <v xml:space="preserve">Quental, C. </v>
      </c>
    </row>
    <row r="88" spans="1:14" ht="15.75" customHeight="1">
      <c r="A88" t="str">
        <f ca="1">IFERROR(__xludf.DUMMYFUNCTION("""COMPUTED_VALUE"""),"_________")</f>
        <v>_________</v>
      </c>
      <c r="B88" t="str">
        <f ca="1">IFERROR(__xludf.DUMMYFUNCTION("""COMPUTED_VALUE"""),"teses e dissertações / thesis and dissertations")</f>
        <v>teses e dissertações / thesis and dissertations</v>
      </c>
      <c r="C88" s="2" t="e">
        <f t="shared" ca="1" si="0"/>
        <v>#VALUE!</v>
      </c>
      <c r="D88" t="e">
        <f t="shared" ca="1" si="15"/>
        <v>#VALUE!</v>
      </c>
      <c r="E88" t="e">
        <f t="shared" ca="1" si="10"/>
        <v>#VALUE!</v>
      </c>
      <c r="F88" t="e">
        <f t="shared" ca="1" si="11"/>
        <v>#VALUE!</v>
      </c>
      <c r="G88" s="3" t="e">
        <f t="shared" ca="1" si="12"/>
        <v>#VALUE!</v>
      </c>
      <c r="H88" s="2" t="e">
        <f t="shared" ca="1" si="13"/>
        <v>#VALUE!</v>
      </c>
      <c r="I88" t="e">
        <f t="shared" ca="1" si="14"/>
        <v>#VALUE!</v>
      </c>
      <c r="J88" s="3" t="e">
        <f t="shared" ca="1" si="16"/>
        <v>#VALUE!</v>
      </c>
      <c r="K88" t="e">
        <f t="shared" ca="1" si="6"/>
        <v>#VALUE!</v>
      </c>
      <c r="L88" t="str">
        <f t="shared" ca="1" si="7"/>
        <v xml:space="preserve">Quental, C. </v>
      </c>
    </row>
    <row r="89" spans="1:14" ht="15.75" customHeight="1">
      <c r="A89">
        <f ca="1">IFERROR(__xludf.DUMMYFUNCTION("""COMPUTED_VALUE"""),9)</f>
        <v>9</v>
      </c>
      <c r="B89" t="str">
        <f ca="1">IFERROR(__xludf.DUMMYFUNCTION("""COMPUTED_VALUE"""),"Gouveia, L. (2010). *Relatório Lição de Síntese: A Sociedade da Informação. 
implicações para o indivíduo e para a organização*. Apresentação no âmbito 
das provas públicas de Agregação em Engenharia e Gestão Industrial. 
Universidade de Aveiro, 17 de Jun"&amp;"ho.")</f>
        <v>Gouveia, L. (2010). *Relatório Lição de Síntese: A Sociedade da Informação. 
implicações para o indivíduo e para a organização*. Apresentação no âmbito 
das provas públicas de Agregação em Engenharia e Gestão Industrial. 
Universidade de Aveiro, 17 de Junho.</v>
      </c>
      <c r="C89" s="2">
        <f t="shared" ca="1" si="0"/>
        <v>13</v>
      </c>
      <c r="D89" t="str">
        <f t="shared" ca="1" si="15"/>
        <v xml:space="preserve">Gouveia, L. </v>
      </c>
      <c r="E89" t="str">
        <f t="shared" ca="1" si="10"/>
        <v>2010</v>
      </c>
      <c r="F89" t="str">
        <f t="shared" ca="1" si="11"/>
        <v xml:space="preserve"> *Relatório Lição de Síntese: A Sociedade da Informação. </v>
      </c>
      <c r="G89" s="3">
        <f t="shared" ca="1" si="12"/>
        <v>18</v>
      </c>
      <c r="H89" s="2">
        <f t="shared" ca="1" si="13"/>
        <v>75</v>
      </c>
      <c r="I89" t="e">
        <f t="shared" ca="1" si="14"/>
        <v>#VALUE!</v>
      </c>
      <c r="J89" s="3" t="e">
        <f t="shared" ca="1" si="16"/>
        <v>#VALUE!</v>
      </c>
      <c r="K89" t="str">
        <f t="shared" ca="1" si="6"/>
        <v xml:space="preserve">Gouveia, L. </v>
      </c>
      <c r="L89" t="str">
        <f t="shared" ca="1" si="7"/>
        <v xml:space="preserve">Quental, C. </v>
      </c>
    </row>
    <row r="90" spans="1:14" ht="15.75" customHeight="1">
      <c r="A90">
        <f ca="1">IFERROR(__xludf.DUMMYFUNCTION("""COMPUTED_VALUE"""),8)</f>
        <v>8</v>
      </c>
      <c r="B90" t="str">
        <f ca="1">IFERROR(__xludf.DUMMYFUNCTION("""COMPUTED_VALUE"""),"Gouveia, L. (2010). *Relatório da Unidade Curricular Gestão do Conhecimento*. 
Apresentação no âmbito das provas públicas de Agregação em Engenharia e 
Gestão Industrial. Universidade de Aveiro, 16 de Junho.")</f>
        <v>Gouveia, L. (2010). *Relatório da Unidade Curricular Gestão do Conhecimento*. 
Apresentação no âmbito das provas públicas de Agregação em Engenharia e 
Gestão Industrial. Universidade de Aveiro, 16 de Junho.</v>
      </c>
      <c r="C90" s="2">
        <f t="shared" ca="1" si="0"/>
        <v>13</v>
      </c>
      <c r="D90" t="str">
        <f t="shared" ca="1" si="15"/>
        <v xml:space="preserve">Gouveia, L. </v>
      </c>
      <c r="E90" t="str">
        <f t="shared" ca="1" si="10"/>
        <v>2010</v>
      </c>
      <c r="F90" t="str">
        <f t="shared" ca="1" si="11"/>
        <v xml:space="preserve"> *Relatório da Unidade Curricular Gestão do Conhecimento*. </v>
      </c>
      <c r="G90" s="3">
        <f t="shared" ca="1" si="12"/>
        <v>18</v>
      </c>
      <c r="H90" s="2">
        <f t="shared" ca="1" si="13"/>
        <v>77</v>
      </c>
      <c r="I90" t="e">
        <f t="shared" ca="1" si="14"/>
        <v>#VALUE!</v>
      </c>
      <c r="J90" s="3" t="e">
        <f t="shared" ca="1" si="16"/>
        <v>#VALUE!</v>
      </c>
      <c r="K90" t="str">
        <f t="shared" ca="1" si="6"/>
        <v xml:space="preserve">Gouveia, L. </v>
      </c>
      <c r="L90" t="str">
        <f t="shared" ca="1" si="7"/>
        <v xml:space="preserve">Quental, C. </v>
      </c>
    </row>
    <row r="91" spans="1:14" ht="15.75" customHeight="1">
      <c r="A91">
        <f ca="1">IFERROR(__xludf.DUMMYFUNCTION("""COMPUTED_VALUE"""),7)</f>
        <v>7</v>
      </c>
      <c r="B91" t="str">
        <f ca="1">IFERROR(__xludf.DUMMYFUNCTION("""COMPUTED_VALUE"""),"Gouveia, L. (2008) *O Digital e a sua relação com as fronteiras físicas dos 
Estados*. Trabalho de investigação individual (TII). Curso de Defesa 
Nacional 2007/2008, Instituto de Defesa Nacional, Agosto de 2008.
texto [ pdf (136KB) ]")</f>
        <v>Gouveia, L. (2008) *O Digital e a sua relação com as fronteiras físicas dos 
Estados*. Trabalho de investigação individual (TII). Curso de Defesa 
Nacional 2007/2008, Instituto de Defesa Nacional, Agosto de 2008.
texto [ pdf (136KB) ]</v>
      </c>
      <c r="C91" s="2">
        <f t="shared" ca="1" si="0"/>
        <v>13</v>
      </c>
      <c r="D91" t="str">
        <f t="shared" ca="1" si="15"/>
        <v xml:space="preserve">Gouveia, L. </v>
      </c>
      <c r="E91" t="str">
        <f t="shared" ca="1" si="10"/>
        <v>2008</v>
      </c>
      <c r="F91" t="str">
        <f t="shared" ca="1" si="11"/>
        <v xml:space="preserve"> Curso de Defesa 
Nacional 2007/2008, Instituto de Defesa Nacional, Agosto de 2008.
</v>
      </c>
      <c r="G91" s="3">
        <f t="shared" ca="1" si="12"/>
        <v>128</v>
      </c>
      <c r="H91" s="2">
        <f t="shared" ca="1" si="13"/>
        <v>212</v>
      </c>
      <c r="I91" t="e">
        <f t="shared" ca="1" si="14"/>
        <v>#VALUE!</v>
      </c>
      <c r="J91" s="3" t="e">
        <f t="shared" ca="1" si="16"/>
        <v>#VALUE!</v>
      </c>
      <c r="K91" t="str">
        <f t="shared" ca="1" si="6"/>
        <v xml:space="preserve">Gouveia, L. </v>
      </c>
      <c r="L91" t="str">
        <f t="shared" ca="1" si="7"/>
        <v xml:space="preserve">Quental, C. </v>
      </c>
    </row>
    <row r="92" spans="1:14" ht="15.75" customHeight="1">
      <c r="A92">
        <f ca="1">IFERROR(__xludf.DUMMYFUNCTION("""COMPUTED_VALUE"""),6)</f>
        <v>6</v>
      </c>
      <c r="B92" t="str">
        <f ca="1">IFERROR(__xludf.DUMMYFUNCTION("""COMPUTED_VALUE"""),"Gouveia, L. (2002). *A Visualisation Design for Sharing Knowledge, A 
virtual environment for collaborative learning support*. PhD Thesis Viva. 
Computer Science Department. Lancaster University, England, UK. 19th March. 
presentation [ pdf(24KB)]")</f>
        <v>Gouveia, L. (2002). *A Visualisation Design for Sharing Knowledge, A 
virtual environment for collaborative learning support*. PhD Thesis Viva. 
Computer Science Department. Lancaster University, England, UK. 19th March. 
presentation [ pdf(24KB)]</v>
      </c>
      <c r="C92" s="2">
        <f t="shared" ca="1" si="0"/>
        <v>13</v>
      </c>
      <c r="D92" t="str">
        <f t="shared" ca="1" si="15"/>
        <v xml:space="preserve">Gouveia, L. </v>
      </c>
      <c r="E92" t="str">
        <f t="shared" ca="1" si="10"/>
        <v>2002</v>
      </c>
      <c r="F92" t="str">
        <f t="shared" ca="1" si="11"/>
        <v xml:space="preserve"> *A Visualisation Design for Sharing Knowledge, A 
virtual environment for collaborative learning support*. </v>
      </c>
      <c r="G92" s="3">
        <f t="shared" ca="1" si="12"/>
        <v>18</v>
      </c>
      <c r="H92" s="2">
        <f t="shared" ca="1" si="13"/>
        <v>126</v>
      </c>
      <c r="I92" t="e">
        <f t="shared" ca="1" si="14"/>
        <v>#VALUE!</v>
      </c>
      <c r="J92" s="3" t="e">
        <f t="shared" ca="1" si="16"/>
        <v>#VALUE!</v>
      </c>
      <c r="K92" t="str">
        <f t="shared" ca="1" si="6"/>
        <v xml:space="preserve">Gouveia, L. </v>
      </c>
      <c r="L92" t="str">
        <f t="shared" ca="1" si="7"/>
        <v xml:space="preserve">Quental, C. </v>
      </c>
    </row>
    <row r="93" spans="1:14" ht="15.75" customHeight="1">
      <c r="A93">
        <f ca="1">IFERROR(__xludf.DUMMYFUNCTION("""COMPUTED_VALUE"""),5)</f>
        <v>5</v>
      </c>
      <c r="B93" t="str">
        <f ca="1">IFERROR(__xludf.DUMMYFUNCTION("""COMPUTED_VALUE"""),"Gouveia, L. (2001). *A Visualisation Design for Sharing Knowledge, A 
virtual environment for collaborative learning support*. PhD Thesis. 
Computer Science Department. Lancaster University, England, UK, December. 
final version [ pdf(34MB)]")</f>
        <v>Gouveia, L. (2001). *A Visualisation Design for Sharing Knowledge, A 
virtual environment for collaborative learning support*. PhD Thesis. 
Computer Science Department. Lancaster University, England, UK, December. 
final version [ pdf(34MB)]</v>
      </c>
      <c r="C93" s="2">
        <f t="shared" ca="1" si="0"/>
        <v>13</v>
      </c>
      <c r="D93" t="str">
        <f t="shared" ca="1" si="15"/>
        <v xml:space="preserve">Gouveia, L. </v>
      </c>
      <c r="E93" t="str">
        <f t="shared" ca="1" si="10"/>
        <v>2001</v>
      </c>
      <c r="F93" t="str">
        <f t="shared" ca="1" si="11"/>
        <v xml:space="preserve"> *A Visualisation Design for Sharing Knowledge, A 
virtual environment for collaborative learning support*. </v>
      </c>
      <c r="G93" s="3">
        <f t="shared" ca="1" si="12"/>
        <v>18</v>
      </c>
      <c r="H93" s="2">
        <f t="shared" ca="1" si="13"/>
        <v>126</v>
      </c>
      <c r="I93" t="e">
        <f t="shared" ca="1" si="14"/>
        <v>#VALUE!</v>
      </c>
      <c r="J93" s="3" t="e">
        <f t="shared" ca="1" si="16"/>
        <v>#VALUE!</v>
      </c>
      <c r="K93" t="str">
        <f t="shared" ca="1" si="6"/>
        <v xml:space="preserve">Gouveia, L. </v>
      </c>
      <c r="L93" t="str">
        <f t="shared" ca="1" si="7"/>
        <v xml:space="preserve">Quental, C. </v>
      </c>
    </row>
    <row r="94" spans="1:14" ht="15.75" customHeight="1">
      <c r="A94">
        <f ca="1">IFERROR(__xludf.DUMMYFUNCTION("""COMPUTED_VALUE"""),4)</f>
        <v>4</v>
      </c>
      <c r="B94" t="str">
        <f ca="1">IFERROR(__xludf.DUMMYFUNCTION("""COMPUTED_VALUE"""),"Gouveia, L. (1999). *Second year PhD report.* Away Day, CSEG Group, 
Lancaster University. Lancaster, UK, November 
report [ pdf (30KB) ] presentation [ pdf(555KB) ]")</f>
        <v>Gouveia, L. (1999). *Second year PhD report.* Away Day, CSEG Group, 
Lancaster University. Lancaster, UK, November 
report [ pdf (30KB) ] presentation [ pdf(555KB) ]</v>
      </c>
      <c r="C94" s="2">
        <f t="shared" ca="1" si="0"/>
        <v>13</v>
      </c>
      <c r="D94" t="str">
        <f t="shared" ca="1" si="15"/>
        <v xml:space="preserve">Gouveia, L. </v>
      </c>
      <c r="E94" t="str">
        <f t="shared" ca="1" si="10"/>
        <v>1999</v>
      </c>
      <c r="F94" t="str">
        <f t="shared" ca="1" si="11"/>
        <v xml:space="preserve"> *Second year PhD report.*</v>
      </c>
      <c r="G94" s="3">
        <f t="shared" ca="1" si="12"/>
        <v>18</v>
      </c>
      <c r="H94" s="2">
        <f t="shared" ca="1" si="13"/>
        <v>44</v>
      </c>
      <c r="I94" t="e">
        <f t="shared" ca="1" si="14"/>
        <v>#VALUE!</v>
      </c>
      <c r="J94" s="3" t="e">
        <f t="shared" ca="1" si="16"/>
        <v>#VALUE!</v>
      </c>
      <c r="K94" t="str">
        <f t="shared" ca="1" si="6"/>
        <v xml:space="preserve">Gouveia, L. </v>
      </c>
      <c r="L94" t="str">
        <f t="shared" ca="1" si="7"/>
        <v xml:space="preserve">Quental, C. </v>
      </c>
    </row>
    <row r="95" spans="1:14" ht="15.75" customHeight="1">
      <c r="A95">
        <f ca="1">IFERROR(__xludf.DUMMYFUNCTION("""COMPUTED_VALUE"""),3)</f>
        <v>3</v>
      </c>
      <c r="B95" t="str">
        <f ca="1">IFERROR(__xludf.DUMMYFUNCTION("""COMPUTED_VALUE"""),"Gouveia, L. (1998). *First year PhD report.* Lancaster University. 
Lancaster, UK, 6 November 
paper [ pdf (30KB) ] presentation [ pdf(555KB) ]")</f>
        <v>Gouveia, L. (1998). *First year PhD report.* Lancaster University. 
Lancaster, UK, 6 November 
paper [ pdf (30KB) ] presentation [ pdf(555KB) ]</v>
      </c>
      <c r="C95" s="2">
        <f t="shared" ca="1" si="0"/>
        <v>13</v>
      </c>
      <c r="D95" t="str">
        <f t="shared" ca="1" si="15"/>
        <v xml:space="preserve">Gouveia, L. </v>
      </c>
      <c r="E95" t="str">
        <f t="shared" ca="1" si="10"/>
        <v>1998</v>
      </c>
      <c r="F95" t="str">
        <f t="shared" ca="1" si="11"/>
        <v xml:space="preserve"> *First year PhD report.*</v>
      </c>
      <c r="G95" s="3">
        <f t="shared" ca="1" si="12"/>
        <v>18</v>
      </c>
      <c r="H95" s="2">
        <f t="shared" ca="1" si="13"/>
        <v>43</v>
      </c>
      <c r="I95" t="e">
        <f t="shared" ca="1" si="14"/>
        <v>#VALUE!</v>
      </c>
      <c r="J95" s="3" t="e">
        <f t="shared" ca="1" si="16"/>
        <v>#VALUE!</v>
      </c>
      <c r="K95" t="str">
        <f t="shared" ca="1" si="6"/>
        <v xml:space="preserve">Gouveia, L. </v>
      </c>
      <c r="L95" t="str">
        <f t="shared" ca="1" si="7"/>
        <v xml:space="preserve">Quental, C. </v>
      </c>
    </row>
    <row r="96" spans="1:14" ht="15.75" customHeight="1">
      <c r="A96">
        <f ca="1">IFERROR(__xludf.DUMMYFUNCTION("""COMPUTED_VALUE"""),2)</f>
        <v>2</v>
      </c>
      <c r="B96" t="str">
        <f ca="1">IFERROR(__xludf.DUMMYFUNCTION("""COMPUTED_VALUE"""),"Gouveia, L. (1995). *Aplicações multimédia para o Sistema de Informação da 
Empresa.* Dissertação de Mestrado, FEUP-DEEC. Universidade do Porto. 
Dezembro. Porto
[ pdf (22,1MB) ou Descrição em HTML ]")</f>
        <v>Gouveia, L. (1995). *Aplicações multimédia para o Sistema de Informação da 
Empresa.* Dissertação de Mestrado, FEUP-DEEC. Universidade do Porto. 
Dezembro. Porto
[ pdf (22,1MB) ou Descrição em HTML ]</v>
      </c>
      <c r="C96" s="2">
        <f t="shared" ca="1" si="0"/>
        <v>13</v>
      </c>
      <c r="D96" t="str">
        <f t="shared" ca="1" si="15"/>
        <v xml:space="preserve">Gouveia, L. </v>
      </c>
      <c r="E96" t="str">
        <f t="shared" ca="1" si="10"/>
        <v>1995</v>
      </c>
      <c r="F96" t="str">
        <f t="shared" ca="1" si="11"/>
        <v xml:space="preserve"> *Aplicações multimédia para o Sistema de Informação da 
Empresa.*</v>
      </c>
      <c r="G96" s="3">
        <f t="shared" ca="1" si="12"/>
        <v>18</v>
      </c>
      <c r="H96" s="2">
        <f t="shared" ca="1" si="13"/>
        <v>84</v>
      </c>
      <c r="I96" t="e">
        <f t="shared" ca="1" si="14"/>
        <v>#VALUE!</v>
      </c>
      <c r="J96" s="3" t="e">
        <f t="shared" ca="1" si="16"/>
        <v>#VALUE!</v>
      </c>
      <c r="K96" t="str">
        <f t="shared" ca="1" si="6"/>
        <v xml:space="preserve">Gouveia, L. </v>
      </c>
      <c r="L96" t="str">
        <f t="shared" ca="1" si="7"/>
        <v xml:space="preserve">Quental, C. </v>
      </c>
    </row>
    <row r="97" spans="1:13" ht="15.75" customHeight="1">
      <c r="A97">
        <f ca="1">IFERROR(__xludf.DUMMYFUNCTION("""COMPUTED_VALUE"""),1)</f>
        <v>1</v>
      </c>
      <c r="B97" t="str">
        <f ca="1">IFERROR(__xludf.DUMMYFUNCTION("""COMPUTED_VALUE"""),"Zagallo, J. e Gouveia, L. (1989). *O serviço Videotex*. Projecto final de 
licenciatura. Departamento de Informática. Universidade Portucalense. UPIH. 
Julho. Porto.")</f>
        <v>Zagallo, J. e Gouveia, L. (1989). *O serviço Videotex*. Projecto final de 
licenciatura. Departamento de Informática. Universidade Portucalense. UPIH. 
Julho. Porto.</v>
      </c>
      <c r="C97" s="2">
        <f t="shared" ca="1" si="0"/>
        <v>27</v>
      </c>
      <c r="D97" t="str">
        <f t="shared" ca="1" si="15"/>
        <v xml:space="preserve">Zagallo, J. e Gouveia, L. </v>
      </c>
      <c r="E97" t="str">
        <f t="shared" ca="1" si="10"/>
        <v>1989</v>
      </c>
      <c r="F97" t="str">
        <f t="shared" ca="1" si="11"/>
        <v xml:space="preserve"> *O serviço Videotex*. </v>
      </c>
      <c r="G97" s="3">
        <f t="shared" ca="1" si="12"/>
        <v>32</v>
      </c>
      <c r="H97" s="2">
        <f t="shared" ca="1" si="13"/>
        <v>55</v>
      </c>
      <c r="I97" t="e">
        <f t="shared" ca="1" si="14"/>
        <v>#VALUE!</v>
      </c>
      <c r="J97" s="3" t="e">
        <f t="shared" ca="1" si="16"/>
        <v>#VALUE!</v>
      </c>
      <c r="K97" t="str">
        <f t="shared" ca="1" si="6"/>
        <v xml:space="preserve">Zagallo, J. e Gouveia, L. </v>
      </c>
      <c r="L97" t="str">
        <f t="shared" ca="1" si="7"/>
        <v xml:space="preserve">Quental, C. </v>
      </c>
    </row>
    <row r="98" spans="1:13" ht="15.75" customHeight="1">
      <c r="A98" t="str">
        <f ca="1">IFERROR(__xludf.DUMMYFUNCTION("""COMPUTED_VALUE"""),"_________")</f>
        <v>_________</v>
      </c>
      <c r="B98" t="str">
        <f ca="1">IFERROR(__xludf.DUMMYFUNCTION("""COMPUTED_VALUE"""),"relatórios internos / internal reports")</f>
        <v>relatórios internos / internal reports</v>
      </c>
      <c r="C98" s="2" t="e">
        <f t="shared" ca="1" si="0"/>
        <v>#VALUE!</v>
      </c>
      <c r="D98" t="e">
        <f t="shared" ca="1" si="15"/>
        <v>#VALUE!</v>
      </c>
      <c r="E98" t="e">
        <f t="shared" ca="1" si="10"/>
        <v>#VALUE!</v>
      </c>
      <c r="F98" t="e">
        <f t="shared" ca="1" si="11"/>
        <v>#VALUE!</v>
      </c>
      <c r="G98" s="3" t="e">
        <f t="shared" ca="1" si="12"/>
        <v>#VALUE!</v>
      </c>
      <c r="H98" s="2" t="e">
        <f t="shared" ca="1" si="13"/>
        <v>#VALUE!</v>
      </c>
      <c r="I98" t="e">
        <f t="shared" ca="1" si="14"/>
        <v>#VALUE!</v>
      </c>
      <c r="J98" s="3" t="e">
        <f t="shared" ca="1" si="16"/>
        <v>#VALUE!</v>
      </c>
      <c r="K98" t="e">
        <f t="shared" ca="1" si="6"/>
        <v>#VALUE!</v>
      </c>
      <c r="L98" t="str">
        <f t="shared" ca="1" si="7"/>
        <v xml:space="preserve">Quental, C. </v>
      </c>
    </row>
    <row r="99" spans="1:13" ht="15.75" customHeight="1">
      <c r="A99">
        <f ca="1">IFERROR(__xludf.DUMMYFUNCTION("""COMPUTED_VALUE"""),43)</f>
        <v>43</v>
      </c>
      <c r="B99" t="str">
        <f ca="1">IFERROR(__xludf.DUMMYFUNCTION("""COMPUTED_VALUE"""),"Sargo, S.; Gouveia, L. e Reis, P. (2019). Utilização da metodologia da sala 
de aula invertida (flipped classroom): análise de eficiência dos 
instrumentos e resultados do experimento piloto.  Relatório Interno 1/2019. 
*TRS Tecnologia, Redes e Sociedade."&amp;" Janeiro. Universidade Fernando Pessoa.  
[ handle ]")</f>
        <v>Sargo, S.; Gouveia, L. e Reis, P. (2019). Utilização da metodologia da sala 
de aula invertida (flipped classroom): análise de eficiência dos 
instrumentos e resultados do experimento piloto.  Relatório Interno 1/2019. 
*TRS Tecnologia, Redes e Sociedade. Janeiro. Universidade Fernando Pessoa.  
[ handle ]</v>
      </c>
      <c r="C99" s="2">
        <f t="shared" ca="1" si="0"/>
        <v>35</v>
      </c>
      <c r="D99" t="str">
        <f t="shared" ca="1" si="15"/>
        <v xml:space="preserve">Sargo, S.; Gouveia, L. e Reis, P. </v>
      </c>
      <c r="E99" t="str">
        <f t="shared" ca="1" si="10"/>
        <v>2019</v>
      </c>
      <c r="F99" t="str">
        <f t="shared" ca="1" si="11"/>
        <v xml:space="preserve"> Utilização da metodologia da sala 
de aula invertida (flipped classroom): análise de eficiência dos 
instrumentos e resultados do experimento piloto. </v>
      </c>
      <c r="G99" s="3">
        <f t="shared" ca="1" si="12"/>
        <v>40</v>
      </c>
      <c r="H99" s="2">
        <f t="shared" ca="1" si="13"/>
        <v>191</v>
      </c>
      <c r="I99" t="e">
        <f t="shared" ca="1" si="14"/>
        <v>#VALUE!</v>
      </c>
      <c r="J99" s="3" t="e">
        <f t="shared" ca="1" si="16"/>
        <v>#VALUE!</v>
      </c>
      <c r="K99" t="str">
        <f t="shared" ca="1" si="6"/>
        <v xml:space="preserve">Sargo, S.; Gouveia, L. e Reis, P. </v>
      </c>
      <c r="L99" t="str">
        <f t="shared" ca="1" si="7"/>
        <v xml:space="preserve">Quental, C. </v>
      </c>
      <c r="M99" t="str">
        <f ca="1">IFERROR(__xludf.DUMMYFUNCTION("""COMPUTED_VALUE""")," Gouveia, L. e Reis, P. ")</f>
        <v xml:space="preserve"> Gouveia, L. e Reis, P. </v>
      </c>
    </row>
    <row r="100" spans="1:13" ht="15.75" customHeight="1">
      <c r="A100">
        <f ca="1">IFERROR(__xludf.DUMMYFUNCTION("""COMPUTED_VALUE"""),42)</f>
        <v>42</v>
      </c>
      <c r="B100" t="str">
        <f ca="1">IFERROR(__xludf.DUMMYFUNCTION("""COMPUTED_VALUE"""),"Barros, V. e Gouveia, L. (2018). Contribuições para a discussão de um 
modelo de avaliação do impacto social. Relatório Interno 10/2018. *TRS 
Tecnologia, Redes e Sociedade. Novembro. Universidade Fernando Pessoa. 
[ handle ]")</f>
        <v>Barros, V. e Gouveia, L. (2018). Contribuições para a discussão de um 
modelo de avaliação do impacto social. Relatório Interno 10/2018. *TRS 
Tecnologia, Redes e Sociedade. Novembro. Universidade Fernando Pessoa. 
[ handle ]</v>
      </c>
      <c r="C100" s="2">
        <f t="shared" ca="1" si="0"/>
        <v>26</v>
      </c>
      <c r="D100" t="str">
        <f t="shared" ca="1" si="15"/>
        <v xml:space="preserve">Barros, V. e Gouveia, L. </v>
      </c>
      <c r="E100" t="str">
        <f t="shared" ca="1" si="10"/>
        <v>2018</v>
      </c>
      <c r="F100" t="str">
        <f t="shared" ca="1" si="11"/>
        <v xml:space="preserve"> Contribuições para a discussão de um 
modelo de avaliação do impacto social. </v>
      </c>
      <c r="G100" s="3">
        <f t="shared" ca="1" si="12"/>
        <v>31</v>
      </c>
      <c r="H100" s="2">
        <f t="shared" ca="1" si="13"/>
        <v>109</v>
      </c>
      <c r="I100" t="e">
        <f t="shared" ca="1" si="14"/>
        <v>#VALUE!</v>
      </c>
      <c r="J100" s="3" t="e">
        <f t="shared" ca="1" si="16"/>
        <v>#VALUE!</v>
      </c>
      <c r="K100" t="str">
        <f t="shared" ca="1" si="6"/>
        <v xml:space="preserve">Barros, V. e Gouveia, L. </v>
      </c>
      <c r="L100" t="str">
        <f t="shared" ca="1" si="7"/>
        <v xml:space="preserve">Quental, C. </v>
      </c>
    </row>
    <row r="101" spans="1:13" ht="15.75" customHeight="1">
      <c r="A101">
        <f ca="1">IFERROR(__xludf.DUMMYFUNCTION("""COMPUTED_VALUE"""),41)</f>
        <v>41</v>
      </c>
      <c r="B101" t="str">
        <f ca="1">IFERROR(__xludf.DUMMYFUNCTION("""COMPUTED_VALUE"""),"Correia, A. e Gouveia, L. (2018). FIWARE: uma plataforma de desenvolvimento 
de soluções inteligentes. Relatório Interno 09/2018. *TRS Tecnologia, Redes 
e Sociedade. Junho. Universidade Fernando Pessoa.
[ handle ]")</f>
        <v>Correia, A. e Gouveia, L. (2018). FIWARE: uma plataforma de desenvolvimento 
de soluções inteligentes. Relatório Interno 09/2018. *TRS Tecnologia, Redes 
e Sociedade. Junho. Universidade Fernando Pessoa.
[ handle ]</v>
      </c>
      <c r="C101" s="2">
        <f t="shared" ca="1" si="0"/>
        <v>27</v>
      </c>
      <c r="D101" t="str">
        <f t="shared" ca="1" si="15"/>
        <v xml:space="preserve">Correia, A. e Gouveia, L. </v>
      </c>
      <c r="E101" t="str">
        <f t="shared" ca="1" si="10"/>
        <v>2018</v>
      </c>
      <c r="F101" t="str">
        <f t="shared" ca="1" si="11"/>
        <v xml:space="preserve"> FIWARE: uma plataforma de desenvolvimento 
de soluções inteligentes. </v>
      </c>
      <c r="G101" s="3">
        <f t="shared" ca="1" si="12"/>
        <v>32</v>
      </c>
      <c r="H101" s="2">
        <f t="shared" ca="1" si="13"/>
        <v>102</v>
      </c>
      <c r="I101" t="e">
        <f t="shared" ca="1" si="14"/>
        <v>#VALUE!</v>
      </c>
      <c r="J101" s="3" t="e">
        <f t="shared" ca="1" si="16"/>
        <v>#VALUE!</v>
      </c>
      <c r="K101" t="str">
        <f t="shared" ca="1" si="6"/>
        <v xml:space="preserve">Correia, A. e Gouveia, L. </v>
      </c>
      <c r="L101" t="str">
        <f t="shared" ca="1" si="7"/>
        <v xml:space="preserve">Quental, C. </v>
      </c>
    </row>
    <row r="102" spans="1:13" ht="15.75" customHeight="1">
      <c r="A102">
        <f ca="1">IFERROR(__xludf.DUMMYFUNCTION("""COMPUTED_VALUE"""),40)</f>
        <v>40</v>
      </c>
      <c r="B102" t="str">
        <f ca="1">IFERROR(__xludf.DUMMYFUNCTION("""COMPUTED_VALUE"""),"Menezes, N. e Gouveia, L. (2018). O Recurso a TIC para suporte de atividade 
em sala de aula, teste piloto. Relatório Interno 08/2018. *TRS Tecnologia, 
Redes e Sociedade. Junho. Universidade Fernando Pessoa.
[ handle ]")</f>
        <v>Menezes, N. e Gouveia, L. (2018). O Recurso a TIC para suporte de atividade 
em sala de aula, teste piloto. Relatório Interno 08/2018. *TRS Tecnologia, 
Redes e Sociedade. Junho. Universidade Fernando Pessoa.
[ handle ]</v>
      </c>
      <c r="C102" s="2">
        <f t="shared" ca="1" si="0"/>
        <v>27</v>
      </c>
      <c r="D102" t="str">
        <f t="shared" ca="1" si="15"/>
        <v xml:space="preserve">Menezes, N. e Gouveia, L. </v>
      </c>
      <c r="E102" t="str">
        <f t="shared" ca="1" si="10"/>
        <v>2018</v>
      </c>
      <c r="F102" t="str">
        <f t="shared" ca="1" si="11"/>
        <v xml:space="preserve"> O Recurso a TIC para suporte de atividade 
em sala de aula, teste piloto. </v>
      </c>
      <c r="G102" s="3">
        <f t="shared" ca="1" si="12"/>
        <v>32</v>
      </c>
      <c r="H102" s="2">
        <f t="shared" ca="1" si="13"/>
        <v>107</v>
      </c>
      <c r="I102" t="e">
        <f t="shared" ca="1" si="14"/>
        <v>#VALUE!</v>
      </c>
      <c r="J102" s="3" t="e">
        <f t="shared" ca="1" si="16"/>
        <v>#VALUE!</v>
      </c>
      <c r="K102" t="str">
        <f t="shared" ca="1" si="6"/>
        <v xml:space="preserve">Menezes, N. e Gouveia, L. </v>
      </c>
      <c r="L102" t="str">
        <f t="shared" ca="1" si="7"/>
        <v xml:space="preserve">Quental, C. </v>
      </c>
    </row>
    <row r="103" spans="1:13" ht="15.75" customHeight="1">
      <c r="A103">
        <f ca="1">IFERROR(__xludf.DUMMYFUNCTION("""COMPUTED_VALUE"""),39)</f>
        <v>39</v>
      </c>
      <c r="B103" t="str">
        <f ca="1">IFERROR(__xludf.DUMMYFUNCTION("""COMPUTED_VALUE"""),"Cordeiro, S. e Gouveia, L. (2018). Regulamento Geral de Proteção de Dados 
(RGPD): o novo pesadelo das empresas? Relatório Interno 07/2018. *TRS 
Tecnologia, Redes e Sociedade. Maio. Universidade Fernando Pessoa.
[ handle ]")</f>
        <v>Cordeiro, S. e Gouveia, L. (2018). Regulamento Geral de Proteção de Dados 
(RGPD): o novo pesadelo das empresas? Relatório Interno 07/2018. *TRS 
Tecnologia, Redes e Sociedade. Maio. Universidade Fernando Pessoa.
[ handle ]</v>
      </c>
      <c r="C103" s="2">
        <f t="shared" ca="1" si="0"/>
        <v>28</v>
      </c>
      <c r="D103" t="str">
        <f t="shared" ca="1" si="15"/>
        <v xml:space="preserve">Cordeiro, S. e Gouveia, L. </v>
      </c>
      <c r="E103" t="str">
        <f t="shared" ca="1" si="10"/>
        <v>2018</v>
      </c>
      <c r="F103" t="str">
        <f t="shared" ca="1" si="11"/>
        <v xml:space="preserve"> Regulamento Geral de Proteção de Dados 
(RGPD): o novo pesadelo das empresas? Relatório Interno 07/2018. </v>
      </c>
      <c r="G103" s="3">
        <f t="shared" ca="1" si="12"/>
        <v>33</v>
      </c>
      <c r="H103" s="2">
        <f t="shared" ca="1" si="13"/>
        <v>139</v>
      </c>
      <c r="I103" t="e">
        <f t="shared" ca="1" si="14"/>
        <v>#VALUE!</v>
      </c>
      <c r="J103" s="3" t="e">
        <f t="shared" ca="1" si="16"/>
        <v>#VALUE!</v>
      </c>
      <c r="K103" t="str">
        <f t="shared" ca="1" si="6"/>
        <v xml:space="preserve">Cordeiro, S. e Gouveia, L. </v>
      </c>
      <c r="L103" t="str">
        <f t="shared" ca="1" si="7"/>
        <v xml:space="preserve">Quental, C. </v>
      </c>
    </row>
    <row r="104" spans="1:13" ht="15.75" customHeight="1">
      <c r="A104">
        <f ca="1">IFERROR(__xludf.DUMMYFUNCTION("""COMPUTED_VALUE"""),38)</f>
        <v>38</v>
      </c>
      <c r="B104" t="str">
        <f ca="1">IFERROR(__xludf.DUMMYFUNCTION("""COMPUTED_VALUE"""),"Araújo, A. e Gouveia, L. (2018). Questionário sobre o nível de utilização e 
importância das TICs numa IES a Coordenadores de Curso. Teste Piloto. 
Relatório Interno 06/2018. *TRS Tecnologia, Redes e Sociedade. Maio. 
Universidade Fernando Pessoa.
[ handl"&amp;"e ]")</f>
        <v>Araújo, A. e Gouveia, L. (2018). Questionário sobre o nível de utilização e 
importância das TICs numa IES a Coordenadores de Curso. Teste Piloto. 
Relatório Interno 06/2018. *TRS Tecnologia, Redes e Sociedade. Maio. 
Universidade Fernando Pessoa.
[ handle ]</v>
      </c>
      <c r="C104" s="2">
        <f t="shared" ca="1" si="0"/>
        <v>26</v>
      </c>
      <c r="D104" t="str">
        <f t="shared" ca="1" si="15"/>
        <v xml:space="preserve">Araújo, A. e Gouveia, L. </v>
      </c>
      <c r="E104" t="str">
        <f t="shared" ca="1" si="10"/>
        <v>2018</v>
      </c>
      <c r="F104" t="str">
        <f t="shared" ca="1" si="11"/>
        <v xml:space="preserve"> Questionário sobre o nível de utilização e 
importância das TICs numa IES a Coordenadores de Curso. </v>
      </c>
      <c r="G104" s="3">
        <f t="shared" ca="1" si="12"/>
        <v>31</v>
      </c>
      <c r="H104" s="2">
        <f t="shared" ca="1" si="13"/>
        <v>132</v>
      </c>
      <c r="I104" t="e">
        <f t="shared" ca="1" si="14"/>
        <v>#VALUE!</v>
      </c>
      <c r="J104" s="3" t="e">
        <f t="shared" ca="1" si="16"/>
        <v>#VALUE!</v>
      </c>
      <c r="K104" t="str">
        <f t="shared" ca="1" si="6"/>
        <v xml:space="preserve">Araújo, A. e Gouveia, L. </v>
      </c>
      <c r="L104" t="str">
        <f t="shared" ca="1" si="7"/>
        <v xml:space="preserve">Quental, C. </v>
      </c>
    </row>
    <row r="105" spans="1:13" ht="15.75" customHeight="1">
      <c r="A105">
        <f ca="1">IFERROR(__xludf.DUMMYFUNCTION("""COMPUTED_VALUE"""),37)</f>
        <v>37</v>
      </c>
      <c r="B105" t="str">
        <f ca="1">IFERROR(__xludf.DUMMYFUNCTION("""COMPUTED_VALUE"""),"Lopes, S.; Gouveia, L. e Reis, P. (2018). Experimento prático de uma aula 
sobre Diagramas de Classe (UML), com a utilização da metodologia da “sala 
de aula invertida” (Flipped Classroom). Relatório Interno 05/2018. *TRS 
Tecnologia, Redes e Sociedade. A"&amp;"bril. Universidade Fernando Pessoa.
[ handle ]")</f>
        <v>Lopes, S.; Gouveia, L. e Reis, P. (2018). Experimento prático de uma aula 
sobre Diagramas de Classe (UML), com a utilização da metodologia da “sala 
de aula invertida” (Flipped Classroom). Relatório Interno 05/2018. *TRS 
Tecnologia, Redes e Sociedade. Abril. Universidade Fernando Pessoa.
[ handle ]</v>
      </c>
      <c r="C105" s="2">
        <f t="shared" ca="1" si="0"/>
        <v>35</v>
      </c>
      <c r="D105" t="str">
        <f t="shared" ca="1" si="15"/>
        <v xml:space="preserve">Lopes, S.; Gouveia, L. e Reis, P. </v>
      </c>
      <c r="E105" t="str">
        <f t="shared" ca="1" si="10"/>
        <v>2018</v>
      </c>
      <c r="F105" t="str">
        <f t="shared" ca="1" si="11"/>
        <v xml:space="preserve"> Experimento prático de uma aula 
sobre Diagramas de Classe (UML), com a utilização da metodologia da “sala 
de aula invertida” (Flipped Classroom). </v>
      </c>
      <c r="G105" s="3">
        <f t="shared" ca="1" si="12"/>
        <v>40</v>
      </c>
      <c r="H105" s="2">
        <f t="shared" ca="1" si="13"/>
        <v>189</v>
      </c>
      <c r="I105" t="e">
        <f t="shared" ca="1" si="14"/>
        <v>#VALUE!</v>
      </c>
      <c r="J105" s="3" t="e">
        <f t="shared" ca="1" si="16"/>
        <v>#VALUE!</v>
      </c>
      <c r="K105" t="str">
        <f t="shared" ca="1" si="6"/>
        <v xml:space="preserve">Lopes, S.; Gouveia, L. e Reis, P. </v>
      </c>
      <c r="L105" t="str">
        <f t="shared" ca="1" si="7"/>
        <v xml:space="preserve">Quental, C. </v>
      </c>
      <c r="M105" t="str">
        <f ca="1">IFERROR(__xludf.DUMMYFUNCTION("""COMPUTED_VALUE""")," Gouveia, L. e Reis, P. ")</f>
        <v xml:space="preserve"> Gouveia, L. e Reis, P. </v>
      </c>
    </row>
    <row r="106" spans="1:13" ht="15.75" customHeight="1">
      <c r="A106">
        <f ca="1">IFERROR(__xludf.DUMMYFUNCTION("""COMPUTED_VALUE"""),36)</f>
        <v>36</v>
      </c>
      <c r="B106" t="str">
        <f ca="1">IFERROR(__xludf.DUMMYFUNCTION("""COMPUTED_VALUE"""),"Araújo, A. e Gouveia, L. (2018). Questionário sobre o nível de utilização e 
importância das TICs numa IES. Teste Piloto. Relatário Interno 04/2018. 
*TRS Tecnologia, Redes e Sociedade. Abril. Universidade Fernando Pessoa.
[ handle ]")</f>
        <v>Araújo, A. e Gouveia, L. (2018). Questionário sobre o nível de utilização e 
importância das TICs numa IES. Teste Piloto. Relatário Interno 04/2018. 
*TRS Tecnologia, Redes e Sociedade. Abril. Universidade Fernando Pessoa.
[ handle ]</v>
      </c>
      <c r="C106" s="2">
        <f t="shared" ca="1" si="0"/>
        <v>26</v>
      </c>
      <c r="D106" t="str">
        <f t="shared" ca="1" si="15"/>
        <v xml:space="preserve">Araújo, A. e Gouveia, L. </v>
      </c>
      <c r="E106" t="str">
        <f t="shared" ca="1" si="10"/>
        <v>2018</v>
      </c>
      <c r="F106" t="str">
        <f t="shared" ca="1" si="11"/>
        <v xml:space="preserve"> Questionário sobre o nível de utilização e 
importância das TICs numa IES. </v>
      </c>
      <c r="G106" s="3">
        <f t="shared" ca="1" si="12"/>
        <v>31</v>
      </c>
      <c r="H106" s="2">
        <f t="shared" ca="1" si="13"/>
        <v>107</v>
      </c>
      <c r="I106" t="e">
        <f t="shared" ca="1" si="14"/>
        <v>#VALUE!</v>
      </c>
      <c r="J106" s="3" t="e">
        <f t="shared" ca="1" si="16"/>
        <v>#VALUE!</v>
      </c>
      <c r="K106" t="str">
        <f t="shared" ca="1" si="6"/>
        <v xml:space="preserve">Araújo, A. e Gouveia, L. </v>
      </c>
      <c r="L106" t="str">
        <f t="shared" ca="1" si="7"/>
        <v xml:space="preserve">Quental, C. </v>
      </c>
    </row>
    <row r="107" spans="1:13" ht="15.75" customHeight="1">
      <c r="A107">
        <f ca="1">IFERROR(__xludf.DUMMYFUNCTION("""COMPUTED_VALUE"""),35)</f>
        <v>35</v>
      </c>
      <c r="B107" t="str">
        <f ca="1">IFERROR(__xludf.DUMMYFUNCTION("""COMPUTED_VALUE"""),"Gouveia, L. (2018). Contributos para a escrita e organização da estrutura 
do relatório final de doutoramento: a tese. Relatório Interno 03/2018. *TRS 
Tecnologia, Redes e Sociedade. Março. Universidade Fernando Pessoa.
[ handle ]")</f>
        <v>Gouveia, L. (2018). Contributos para a escrita e organização da estrutura 
do relatório final de doutoramento: a tese. Relatório Interno 03/2018. *TRS 
Tecnologia, Redes e Sociedade. Março. Universidade Fernando Pessoa.
[ handle ]</v>
      </c>
      <c r="C107" s="2">
        <f t="shared" ca="1" si="0"/>
        <v>13</v>
      </c>
      <c r="D107" t="str">
        <f t="shared" ca="1" si="15"/>
        <v xml:space="preserve">Gouveia, L. </v>
      </c>
      <c r="E107" t="str">
        <f t="shared" ca="1" si="10"/>
        <v>2018</v>
      </c>
      <c r="F107" t="str">
        <f t="shared" ca="1" si="11"/>
        <v xml:space="preserve"> Contributos para a escrita e organização da estrutura 
do relatório final de doutoramento: a tese. </v>
      </c>
      <c r="G107" s="3">
        <f t="shared" ca="1" si="12"/>
        <v>18</v>
      </c>
      <c r="H107" s="2">
        <f t="shared" ca="1" si="13"/>
        <v>118</v>
      </c>
      <c r="I107" t="e">
        <f t="shared" ca="1" si="14"/>
        <v>#VALUE!</v>
      </c>
      <c r="J107" s="3" t="e">
        <f t="shared" ca="1" si="16"/>
        <v>#VALUE!</v>
      </c>
      <c r="K107" t="str">
        <f t="shared" ca="1" si="6"/>
        <v xml:space="preserve">Gouveia, L. </v>
      </c>
      <c r="L107" t="str">
        <f t="shared" ca="1" si="7"/>
        <v xml:space="preserve">Quental, C. </v>
      </c>
    </row>
    <row r="108" spans="1:13" ht="15.75" customHeight="1">
      <c r="A108">
        <f ca="1">IFERROR(__xludf.DUMMYFUNCTION("""COMPUTED_VALUE"""),34)</f>
        <v>34</v>
      </c>
      <c r="B108" t="str">
        <f ca="1">IFERROR(__xludf.DUMMYFUNCTION("""COMPUTED_VALUE"""),"Araújo, A. e Gouveia, L. (2018). Pressupostos sobre a pesquisa científica e 
os testes piloto. Relatório Interno 02/2018. *TRS Tecnologia, Redes e 
Sociedade. Março. Universidade Fernando Pessoa.
[ handle ]")</f>
        <v>Araújo, A. e Gouveia, L. (2018). Pressupostos sobre a pesquisa científica e 
os testes piloto. Relatório Interno 02/2018. *TRS Tecnologia, Redes e 
Sociedade. Março. Universidade Fernando Pessoa.
[ handle ]</v>
      </c>
      <c r="C108" s="2">
        <f t="shared" ca="1" si="0"/>
        <v>26</v>
      </c>
      <c r="D108" t="str">
        <f t="shared" ca="1" si="15"/>
        <v xml:space="preserve">Araújo, A. e Gouveia, L. </v>
      </c>
      <c r="E108" t="str">
        <f t="shared" ca="1" si="10"/>
        <v>2018</v>
      </c>
      <c r="F108" t="str">
        <f t="shared" ca="1" si="11"/>
        <v xml:space="preserve"> Pressupostos sobre a pesquisa científica e 
os testes piloto. </v>
      </c>
      <c r="G108" s="3">
        <f t="shared" ca="1" si="12"/>
        <v>31</v>
      </c>
      <c r="H108" s="2">
        <f t="shared" ca="1" si="13"/>
        <v>94</v>
      </c>
      <c r="I108" t="e">
        <f t="shared" ca="1" si="14"/>
        <v>#VALUE!</v>
      </c>
      <c r="J108" s="3" t="e">
        <f t="shared" ca="1" si="16"/>
        <v>#VALUE!</v>
      </c>
      <c r="K108" t="str">
        <f t="shared" ca="1" si="6"/>
        <v xml:space="preserve">Araújo, A. e Gouveia, L. </v>
      </c>
      <c r="L108" t="str">
        <f t="shared" ca="1" si="7"/>
        <v xml:space="preserve">Quental, C. </v>
      </c>
    </row>
    <row r="109" spans="1:13" ht="15.75" customHeight="1">
      <c r="A109">
        <f ca="1">IFERROR(__xludf.DUMMYFUNCTION("""COMPUTED_VALUE"""),33)</f>
        <v>33</v>
      </c>
      <c r="B109" t="str">
        <f ca="1">IFERROR(__xludf.DUMMYFUNCTION("""COMPUTED_VALUE"""),"Khan, S. and Gouveia, L. (2018). *Digital Transformation Journey: a 
discussion*. Internal Report 01/2018. *TRS Technology, Networks and 
Society. March. University Fernando Pessoa. 
[ handle ]")</f>
        <v>Khan, S. and Gouveia, L. (2018). *Digital Transformation Journey: a 
discussion*. Internal Report 01/2018. *TRS Technology, Networks and 
Society. March. University Fernando Pessoa. 
[ handle ]</v>
      </c>
      <c r="C109" s="2">
        <f t="shared" ca="1" si="0"/>
        <v>26</v>
      </c>
      <c r="D109" t="str">
        <f t="shared" ca="1" si="15"/>
        <v xml:space="preserve">Khan, S. and Gouveia, L. </v>
      </c>
      <c r="E109" t="str">
        <f t="shared" ca="1" si="10"/>
        <v>2018</v>
      </c>
      <c r="F109" t="str">
        <f t="shared" ca="1" si="11"/>
        <v xml:space="preserve"> *Digital Transformation Journey: a 
discussion*. </v>
      </c>
      <c r="G109" s="3">
        <f t="shared" ca="1" si="12"/>
        <v>31</v>
      </c>
      <c r="H109" s="2">
        <f t="shared" ca="1" si="13"/>
        <v>81</v>
      </c>
      <c r="I109" t="e">
        <f t="shared" ca="1" si="14"/>
        <v>#VALUE!</v>
      </c>
      <c r="J109" s="3" t="e">
        <f t="shared" ca="1" si="16"/>
        <v>#VALUE!</v>
      </c>
      <c r="K109" t="str">
        <f t="shared" ca="1" si="6"/>
        <v xml:space="preserve">Khan, S. ; Gouveia, L. </v>
      </c>
      <c r="L109" t="str">
        <f t="shared" ca="1" si="7"/>
        <v xml:space="preserve">Quental, C. </v>
      </c>
      <c r="M109" t="str">
        <f ca="1">IFERROR(__xludf.DUMMYFUNCTION("""COMPUTED_VALUE""")," Gouveia, L. ")</f>
        <v xml:space="preserve"> Gouveia, L. </v>
      </c>
    </row>
    <row r="110" spans="1:13" ht="15.75" customHeight="1">
      <c r="A110">
        <f ca="1">IFERROR(__xludf.DUMMYFUNCTION("""COMPUTED_VALUE"""),32)</f>
        <v>32</v>
      </c>
      <c r="B110" t="str">
        <f ca="1">IFERROR(__xludf.DUMMYFUNCTION("""COMPUTED_VALUE"""),"Gouveia, L. e Morgado, R. (2017). *Estratégia Nacional de Segurança do 
Ciberespaço.* Relatório Interno 10/2017. *TRS Tecnologia, Redes e 
Sociedade. Junho. Universidade Fernando Pessoa.
[ handle ]")</f>
        <v>Gouveia, L. e Morgado, R. (2017). *Estratégia Nacional de Segurança do 
Ciberespaço.* Relatório Interno 10/2017. *TRS Tecnologia, Redes e 
Sociedade. Junho. Universidade Fernando Pessoa.
[ handle ]</v>
      </c>
      <c r="C110" s="2">
        <f t="shared" ca="1" si="0"/>
        <v>27</v>
      </c>
      <c r="D110" t="str">
        <f t="shared" ca="1" si="15"/>
        <v xml:space="preserve">Gouveia, L. e Morgado, R. </v>
      </c>
      <c r="E110" t="str">
        <f t="shared" ca="1" si="10"/>
        <v>2017</v>
      </c>
      <c r="F110" t="str">
        <f t="shared" ca="1" si="11"/>
        <v xml:space="preserve"> *Estratégia Nacional de Segurança do 
Ciberespaço.*</v>
      </c>
      <c r="G110" s="3">
        <f t="shared" ca="1" si="12"/>
        <v>32</v>
      </c>
      <c r="H110" s="2">
        <f t="shared" ca="1" si="13"/>
        <v>84</v>
      </c>
      <c r="I110" t="e">
        <f t="shared" ca="1" si="14"/>
        <v>#VALUE!</v>
      </c>
      <c r="J110" s="3" t="e">
        <f t="shared" ca="1" si="16"/>
        <v>#VALUE!</v>
      </c>
      <c r="K110" t="str">
        <f t="shared" ca="1" si="6"/>
        <v xml:space="preserve">Gouveia, L. e Morgado, R. </v>
      </c>
      <c r="L110" t="str">
        <f t="shared" ca="1" si="7"/>
        <v xml:space="preserve">Quental, C. </v>
      </c>
    </row>
    <row r="111" spans="1:13" ht="15.75" customHeight="1">
      <c r="A111">
        <f ca="1">IFERROR(__xludf.DUMMYFUNCTION("""COMPUTED_VALUE"""),31)</f>
        <v>31</v>
      </c>
      <c r="B111" t="str">
        <f ca="1">IFERROR(__xludf.DUMMYFUNCTION("""COMPUTED_VALUE"""),"Correia, A. e Gouveia, L. (2017).*Um Estudo sobre a Qualidade de Vida na 
Cidade do Porto: exploração de um post no Facebook.* Relatório Interno 
09/2017. *TRS Tecnologia, Redes e Sociedade. Junho. Universidade Fernando 
Pessoa.
[ handle ]")</f>
        <v>Correia, A. e Gouveia, L. (2017).*Um Estudo sobre a Qualidade de Vida na 
Cidade do Porto: exploração de um post no Facebook.* Relatório Interno 
09/2017. *TRS Tecnologia, Redes e Sociedade. Junho. Universidade Fernando 
Pessoa.
[ handle ]</v>
      </c>
      <c r="C111" s="2">
        <f t="shared" ca="1" si="0"/>
        <v>27</v>
      </c>
      <c r="D111" t="str">
        <f t="shared" ca="1" si="15"/>
        <v xml:space="preserve">Correia, A. e Gouveia, L. </v>
      </c>
      <c r="E111" t="str">
        <f t="shared" ca="1" si="10"/>
        <v>2017</v>
      </c>
      <c r="F111" t="str">
        <f t="shared" ca="1" si="11"/>
        <v>*Um Estudo sobre a Qualidade de Vida na 
Cidade do Porto: exploração de um post no Facebook.*</v>
      </c>
      <c r="G111" s="3">
        <f t="shared" ca="1" si="12"/>
        <v>32</v>
      </c>
      <c r="H111" s="2">
        <f t="shared" ca="1" si="13"/>
        <v>125</v>
      </c>
      <c r="I111" t="e">
        <f t="shared" ca="1" si="14"/>
        <v>#VALUE!</v>
      </c>
      <c r="J111" s="3" t="e">
        <f t="shared" ca="1" si="16"/>
        <v>#VALUE!</v>
      </c>
      <c r="K111" t="str">
        <f t="shared" ca="1" si="6"/>
        <v xml:space="preserve">Correia, A. e Gouveia, L. </v>
      </c>
      <c r="L111" t="str">
        <f t="shared" ca="1" si="7"/>
        <v xml:space="preserve">Quental, C. </v>
      </c>
    </row>
    <row r="112" spans="1:13" ht="15.75" customHeight="1">
      <c r="A112">
        <f ca="1">IFERROR(__xludf.DUMMYFUNCTION("""COMPUTED_VALUE"""),30)</f>
        <v>30</v>
      </c>
      <c r="B112" t="str">
        <f ca="1">IFERROR(__xludf.DUMMYFUNCTION("""COMPUTED_VALUE"""),"Rocha, L. e Gouveia, L. (2017). *Aplicação de questionário sobre consumo de 
bens e serviços na Economia Partilhada.* Relatório Interno 08/2017. *TRS 
Tecnologia, Redes e Sociedade. Junho. Universidade Fernando Pessoa.
[ handle ]")</f>
        <v>Rocha, L. e Gouveia, L. (2017). *Aplicação de questionário sobre consumo de 
bens e serviços na Economia Partilhada.* Relatório Interno 08/2017. *TRS 
Tecnologia, Redes e Sociedade. Junho. Universidade Fernando Pessoa.
[ handle ]</v>
      </c>
      <c r="C112" s="2">
        <f t="shared" ca="1" si="0"/>
        <v>25</v>
      </c>
      <c r="D112" t="str">
        <f t="shared" ca="1" si="15"/>
        <v xml:space="preserve">Rocha, L. e Gouveia, L. </v>
      </c>
      <c r="E112" t="str">
        <f t="shared" ca="1" si="10"/>
        <v>2017</v>
      </c>
      <c r="F112" t="str">
        <f t="shared" ca="1" si="11"/>
        <v xml:space="preserve"> *Aplicação de questionário sobre consumo de 
bens e serviços na Economia Partilhada.*</v>
      </c>
      <c r="G112" s="3">
        <f t="shared" ca="1" si="12"/>
        <v>30</v>
      </c>
      <c r="H112" s="2">
        <f t="shared" ca="1" si="13"/>
        <v>116</v>
      </c>
      <c r="I112" t="e">
        <f t="shared" ca="1" si="14"/>
        <v>#VALUE!</v>
      </c>
      <c r="J112" s="3" t="e">
        <f t="shared" ca="1" si="16"/>
        <v>#VALUE!</v>
      </c>
      <c r="K112" t="str">
        <f t="shared" ca="1" si="6"/>
        <v xml:space="preserve">Rocha, L. e Gouveia, L. </v>
      </c>
      <c r="L112" t="str">
        <f t="shared" ca="1" si="7"/>
        <v xml:space="preserve">Quental, C. </v>
      </c>
    </row>
    <row r="113" spans="1:13" ht="15.75" customHeight="1">
      <c r="A113">
        <f ca="1">IFERROR(__xludf.DUMMYFUNCTION("""COMPUTED_VALUE"""),29)</f>
        <v>29</v>
      </c>
      <c r="B113" t="str">
        <f ca="1">IFERROR(__xludf.DUMMYFUNCTION("""COMPUTED_VALUE"""),"Filho, R e Gouveia, L. (2017). *Proposta de renovação da rede lógica do 
MT-Hemocentro.* Relatório Interno 07/2017. *TRS Tecnologia, Redes e 
Sociedade. Maio. Universidade Fernando Pessoa.
[ handle ]")</f>
        <v>Filho, R e Gouveia, L. (2017). *Proposta de renovação da rede lógica do 
MT-Hemocentro.* Relatório Interno 07/2017. *TRS Tecnologia, Redes e 
Sociedade. Maio. Universidade Fernando Pessoa.
[ handle ]</v>
      </c>
      <c r="C113" s="2">
        <f t="shared" ca="1" si="0"/>
        <v>24</v>
      </c>
      <c r="D113" t="str">
        <f t="shared" ca="1" si="15"/>
        <v xml:space="preserve">Filho, R e Gouveia, L. </v>
      </c>
      <c r="E113" t="str">
        <f t="shared" ca="1" si="10"/>
        <v>2017</v>
      </c>
      <c r="F113" t="str">
        <f t="shared" ca="1" si="11"/>
        <v xml:space="preserve"> *Proposta de renovação da rede lógica do 
MT-Hemocentro.*</v>
      </c>
      <c r="G113" s="3">
        <f t="shared" ca="1" si="12"/>
        <v>29</v>
      </c>
      <c r="H113" s="2">
        <f t="shared" ca="1" si="13"/>
        <v>87</v>
      </c>
      <c r="I113" t="e">
        <f t="shared" ca="1" si="14"/>
        <v>#VALUE!</v>
      </c>
      <c r="J113" s="3" t="e">
        <f t="shared" ca="1" si="16"/>
        <v>#VALUE!</v>
      </c>
      <c r="K113" t="str">
        <f t="shared" ca="1" si="6"/>
        <v xml:space="preserve">Filho, R e Gouveia, L. </v>
      </c>
      <c r="L113" t="str">
        <f t="shared" ca="1" si="7"/>
        <v xml:space="preserve">Quental, C. </v>
      </c>
    </row>
    <row r="114" spans="1:13" ht="15.75" customHeight="1">
      <c r="A114">
        <f ca="1">IFERROR(__xludf.DUMMYFUNCTION("""COMPUTED_VALUE"""),28)</f>
        <v>28</v>
      </c>
      <c r="B114" t="str">
        <f ca="1">IFERROR(__xludf.DUMMYFUNCTION("""COMPUTED_VALUE"""),"Quental, C. e Gouveia, L. (2017). *Modelo de mediação digital para 
participação pública em sindicatos. Um relato das experiências realizadas*. 
Relatório Interno 06/2017. *TRS Tecnologia, Redes e Sociedade. Abril. 
Universidade Fernando Pessoa.
[ handle "&amp;"]")</f>
        <v>Quental, C. e Gouveia, L. (2017). *Modelo de mediação digital para 
participação pública em sindicatos. Um relato das experiências realizadas*. 
Relatório Interno 06/2017. *TRS Tecnologia, Redes e Sociedade. Abril. 
Universidade Fernando Pessoa.
[ handle ]</v>
      </c>
      <c r="C114" s="2">
        <f t="shared" ca="1" si="0"/>
        <v>27</v>
      </c>
      <c r="D114" t="str">
        <f t="shared" ca="1" si="15"/>
        <v xml:space="preserve">Quental, C. e Gouveia, L. </v>
      </c>
      <c r="E114" t="str">
        <f t="shared" ca="1" si="10"/>
        <v>2017</v>
      </c>
      <c r="F114" t="str">
        <f t="shared" ca="1" si="11"/>
        <v xml:space="preserve"> *Modelo de mediação digital para 
participação pública em sindicatos. </v>
      </c>
      <c r="G114" s="3">
        <f t="shared" ca="1" si="12"/>
        <v>32</v>
      </c>
      <c r="H114" s="2">
        <f t="shared" ca="1" si="13"/>
        <v>103</v>
      </c>
      <c r="I114" t="e">
        <f t="shared" ca="1" si="14"/>
        <v>#VALUE!</v>
      </c>
      <c r="J114" s="3" t="e">
        <f t="shared" ca="1" si="16"/>
        <v>#VALUE!</v>
      </c>
      <c r="K114" t="str">
        <f t="shared" ca="1" si="6"/>
        <v xml:space="preserve">Quental, C. e Gouveia, L. </v>
      </c>
      <c r="L114" t="str">
        <f t="shared" ca="1" si="7"/>
        <v xml:space="preserve">Quental, C. </v>
      </c>
    </row>
    <row r="115" spans="1:13" ht="15.75" customHeight="1">
      <c r="A115">
        <f ca="1">IFERROR(__xludf.DUMMYFUNCTION("""COMPUTED_VALUE"""),27)</f>
        <v>27</v>
      </c>
      <c r="B115" t="str">
        <f ca="1">IFERROR(__xludf.DUMMYFUNCTION("""COMPUTED_VALUE"""),"Khan, S. and Gouveia, L. (2017). *EMSL Framework: (Minimum Service Level 
Framework) for Cloud Providers and Users*. Internal Report 05/2017. *TRS 
Technology, Networks and Society. April. University Fernando Pessoa. 
[ handle ]")</f>
        <v>Khan, S. and Gouveia, L. (2017). *EMSL Framework: (Minimum Service Level 
Framework) for Cloud Providers and Users*. Internal Report 05/2017. *TRS 
Technology, Networks and Society. April. University Fernando Pessoa. 
[ handle ]</v>
      </c>
      <c r="C115" s="2">
        <f t="shared" ca="1" si="0"/>
        <v>26</v>
      </c>
      <c r="D115" t="str">
        <f t="shared" ca="1" si="15"/>
        <v xml:space="preserve">Khan, S. and Gouveia, L. </v>
      </c>
      <c r="E115" t="str">
        <f t="shared" ca="1" si="10"/>
        <v>2017</v>
      </c>
      <c r="F115" t="str">
        <f t="shared" ca="1" si="11"/>
        <v xml:space="preserve"> *EMSL Framework: (Minimum Service Level 
Framework) for Cloud Providers and Users*. </v>
      </c>
      <c r="G115" s="3">
        <f t="shared" ca="1" si="12"/>
        <v>31</v>
      </c>
      <c r="H115" s="2">
        <f t="shared" ca="1" si="13"/>
        <v>116</v>
      </c>
      <c r="I115" t="e">
        <f t="shared" ca="1" si="14"/>
        <v>#VALUE!</v>
      </c>
      <c r="J115" s="3" t="e">
        <f t="shared" ca="1" si="16"/>
        <v>#VALUE!</v>
      </c>
      <c r="K115" t="str">
        <f t="shared" ca="1" si="6"/>
        <v xml:space="preserve">Khan, S. ; Gouveia, L. </v>
      </c>
      <c r="L115" t="str">
        <f t="shared" ca="1" si="7"/>
        <v xml:space="preserve">Quental, C. </v>
      </c>
      <c r="M115" t="str">
        <f ca="1">IFERROR(__xludf.DUMMYFUNCTION("""COMPUTED_VALUE""")," Gouveia, L. ")</f>
        <v xml:space="preserve"> Gouveia, L. </v>
      </c>
    </row>
    <row r="116" spans="1:13" ht="15.75" customHeight="1">
      <c r="A116">
        <f ca="1">IFERROR(__xludf.DUMMYFUNCTION("""COMPUTED_VALUE"""),26)</f>
        <v>26</v>
      </c>
      <c r="B116" t="str">
        <f ca="1">IFERROR(__xludf.DUMMYFUNCTION("""COMPUTED_VALUE"""),"Nogueira, D. e Gouveia, L.  (2017). *Estudo Preliminar sobre a Rede 
Nacional de Escolas de Governo do Brasil*. Relatório Interno 04/2017. Grupo 
Tecnologia, Redes e Sociedade. Abril. Universidade Fernando Pessoa.
[ handle ]")</f>
        <v>Nogueira, D. e Gouveia, L.  (2017). *Estudo Preliminar sobre a Rede 
Nacional de Escolas de Governo do Brasil*. Relatório Interno 04/2017. Grupo 
Tecnologia, Redes e Sociedade. Abril. Universidade Fernando Pessoa.
[ handle ]</v>
      </c>
      <c r="C116" s="2">
        <f t="shared" ca="1" si="0"/>
        <v>29</v>
      </c>
      <c r="D116" t="str">
        <f t="shared" ca="1" si="15"/>
        <v xml:space="preserve">Nogueira, D. e Gouveia, L.  </v>
      </c>
      <c r="E116" t="str">
        <f t="shared" ca="1" si="10"/>
        <v>2017</v>
      </c>
      <c r="F116" t="str">
        <f t="shared" ca="1" si="11"/>
        <v xml:space="preserve"> *Estudo Preliminar sobre a Rede 
Nacional de Escolas de Governo do Brasil*. </v>
      </c>
      <c r="G116" s="3">
        <f t="shared" ca="1" si="12"/>
        <v>34</v>
      </c>
      <c r="H116" s="2">
        <f t="shared" ca="1" si="13"/>
        <v>111</v>
      </c>
      <c r="I116" t="e">
        <f t="shared" ca="1" si="14"/>
        <v>#VALUE!</v>
      </c>
      <c r="J116" s="3" t="e">
        <f t="shared" ca="1" si="16"/>
        <v>#VALUE!</v>
      </c>
      <c r="K116" t="str">
        <f t="shared" ca="1" si="6"/>
        <v xml:space="preserve">Nogueira, D. e Gouveia, L.  </v>
      </c>
      <c r="L116" t="str">
        <f t="shared" ca="1" si="7"/>
        <v xml:space="preserve">Quental, C. </v>
      </c>
    </row>
    <row r="117" spans="1:13" ht="15.75" customHeight="1">
      <c r="A117">
        <f ca="1">IFERROR(__xludf.DUMMYFUNCTION("""COMPUTED_VALUE"""),25)</f>
        <v>25</v>
      </c>
      <c r="B117" t="str">
        <f ca="1">IFERROR(__xludf.DUMMYFUNCTION("""COMPUTED_VALUE"""),"Gouveia, L. (2017). *Sobre o trabalho de mestrado: informação de contexto e 
estrutura tipo da dissertação.*Relatório Interno TRS 03/2017. Grupo 
Tecnologia, Redes e Sociedade. Março. Universidade Fernando Pessoa. 
[ handle ]")</f>
        <v>Gouveia, L. (2017). *Sobre o trabalho de mestrado: informação de contexto e 
estrutura tipo da dissertação.*Relatório Interno TRS 03/2017. Grupo 
Tecnologia, Redes e Sociedade. Março. Universidade Fernando Pessoa. 
[ handle ]</v>
      </c>
      <c r="C117" s="2">
        <f t="shared" ca="1" si="0"/>
        <v>13</v>
      </c>
      <c r="D117" t="str">
        <f t="shared" ca="1" si="15"/>
        <v xml:space="preserve">Gouveia, L. </v>
      </c>
      <c r="E117" t="str">
        <f t="shared" ca="1" si="10"/>
        <v>2017</v>
      </c>
      <c r="F117" t="str">
        <f t="shared" ca="1" si="11"/>
        <v xml:space="preserve"> *Sobre o trabalho de mestrado: informação de contexto e 
estrutura tipo da dissertação.*</v>
      </c>
      <c r="G117" s="3">
        <f t="shared" ca="1" si="12"/>
        <v>18</v>
      </c>
      <c r="H117" s="2">
        <f t="shared" ca="1" si="13"/>
        <v>107</v>
      </c>
      <c r="I117" t="e">
        <f t="shared" ca="1" si="14"/>
        <v>#VALUE!</v>
      </c>
      <c r="J117" s="3" t="e">
        <f t="shared" ca="1" si="16"/>
        <v>#VALUE!</v>
      </c>
      <c r="K117" t="str">
        <f t="shared" ca="1" si="6"/>
        <v xml:space="preserve">Gouveia, L. </v>
      </c>
      <c r="L117" t="str">
        <f t="shared" ca="1" si="7"/>
        <v xml:space="preserve">Quental, C. </v>
      </c>
    </row>
    <row r="118" spans="1:13" ht="15.75" customHeight="1">
      <c r="A118">
        <f ca="1">IFERROR(__xludf.DUMMYFUNCTION("""COMPUTED_VALUE"""),24)</f>
        <v>24</v>
      </c>
      <c r="B118" t="str">
        <f ca="1">IFERROR(__xludf.DUMMYFUNCTION("""COMPUTED_VALUE"""),"Salimo, G. e Gouveia, L. (2017). *Questionário sobre o nível de utilização 
e importância das TICs nas IES por Professores, Alunos e Funcionários. 
Teste piloto.*Relatório Interno TRS 02/2017. Grupo Tecnologia, Redes e 
Sociedade. Março. Universidade Fern"&amp;"ando Pessoa. 
[ handle ]")</f>
        <v>Salimo, G. e Gouveia, L. (2017). *Questionário sobre o nível de utilização 
e importância das TICs nas IES por Professores, Alunos e Funcionários. 
Teste piloto.*Relatório Interno TRS 02/2017. Grupo Tecnologia, Redes e 
Sociedade. Março. Universidade Fernando Pessoa. 
[ handle ]</v>
      </c>
      <c r="C118" s="2">
        <f t="shared" ca="1" si="0"/>
        <v>26</v>
      </c>
      <c r="D118" t="str">
        <f t="shared" ca="1" si="15"/>
        <v xml:space="preserve">Salimo, G. e Gouveia, L. </v>
      </c>
      <c r="E118" t="str">
        <f t="shared" ca="1" si="10"/>
        <v>2017</v>
      </c>
      <c r="F118" t="str">
        <f t="shared" ca="1" si="11"/>
        <v xml:space="preserve"> *Questionário sobre o nível de utilização 
e importância das TICs nas IES por Professores, Alunos e Funcionários. </v>
      </c>
      <c r="G118" s="3">
        <f t="shared" ca="1" si="12"/>
        <v>31</v>
      </c>
      <c r="H118" s="2">
        <f t="shared" ca="1" si="13"/>
        <v>146</v>
      </c>
      <c r="I118" t="e">
        <f t="shared" ca="1" si="14"/>
        <v>#VALUE!</v>
      </c>
      <c r="J118" s="3" t="e">
        <f t="shared" ca="1" si="16"/>
        <v>#VALUE!</v>
      </c>
      <c r="K118" t="str">
        <f t="shared" ca="1" si="6"/>
        <v xml:space="preserve">Salimo, G. e Gouveia, L. </v>
      </c>
      <c r="L118" t="str">
        <f t="shared" ca="1" si="7"/>
        <v xml:space="preserve">Quental, C. </v>
      </c>
    </row>
    <row r="119" spans="1:13" ht="15.75" customHeight="1">
      <c r="A119">
        <f ca="1">IFERROR(__xludf.DUMMYFUNCTION("""COMPUTED_VALUE"""),23)</f>
        <v>23</v>
      </c>
      <c r="B119" t="str">
        <f ca="1">IFERROR(__xludf.DUMMYFUNCTION("""COMPUTED_VALUE"""),"Marin, D. e Gouveia, L. (2017). *Contributos para a melhoria do serviço 
prestado pela Prefeitura Municipal de Paulo Bento. Análise de processos de 
compras e licitações.*Relatório Interno TRS 01/2017. Grupo Tecnologia, 
Redes e Sociedade. Fevereiro. Univ"&amp;"ersidade Fernando Pessoa. 
[ handle ]")</f>
        <v>Marin, D. e Gouveia, L. (2017). *Contributos para a melhoria do serviço 
prestado pela Prefeitura Municipal de Paulo Bento. Análise de processos de 
compras e licitações.*Relatório Interno TRS 01/2017. Grupo Tecnologia, 
Redes e Sociedade. Fevereiro. Universidade Fernando Pessoa. 
[ handle ]</v>
      </c>
      <c r="C119" s="2">
        <f t="shared" ca="1" si="0"/>
        <v>25</v>
      </c>
      <c r="D119" t="str">
        <f t="shared" ca="1" si="15"/>
        <v xml:space="preserve">Marin, D. e Gouveia, L. </v>
      </c>
      <c r="E119" t="str">
        <f t="shared" ca="1" si="10"/>
        <v>2017</v>
      </c>
      <c r="F119" t="str">
        <f t="shared" ca="1" si="11"/>
        <v xml:space="preserve"> *Contributos para a melhoria do serviço 
prestado pela Prefeitura Municipal de Paulo Bento. </v>
      </c>
      <c r="G119" s="3">
        <f t="shared" ca="1" si="12"/>
        <v>30</v>
      </c>
      <c r="H119" s="2">
        <f t="shared" ca="1" si="13"/>
        <v>123</v>
      </c>
      <c r="I119" t="e">
        <f t="shared" ca="1" si="14"/>
        <v>#VALUE!</v>
      </c>
      <c r="J119" s="3" t="e">
        <f t="shared" ca="1" si="16"/>
        <v>#VALUE!</v>
      </c>
      <c r="K119" t="str">
        <f t="shared" ca="1" si="6"/>
        <v xml:space="preserve">Marin, D. e Gouveia, L. </v>
      </c>
      <c r="L119" t="str">
        <f t="shared" ca="1" si="7"/>
        <v xml:space="preserve">Quental, C. </v>
      </c>
    </row>
    <row r="120" spans="1:13" ht="15.75" customHeight="1">
      <c r="A120">
        <f ca="1">IFERROR(__xludf.DUMMYFUNCTION("""COMPUTED_VALUE"""),22)</f>
        <v>22</v>
      </c>
      <c r="B120" t="str">
        <f ca="1">IFERROR(__xludf.DUMMYFUNCTION("""COMPUTED_VALUE"""),"Robalo, A. e Gouveia, L. (2016). *As competências em TIC para professores: 
estudo da proposta UNESCO de 2008*. Relatório Interno TRS 02/2016. Grupo 
tecnologia, Redes e Sociedade. Fevereiro. Universidade Fernando Pessoa.
[ handle ]")</f>
        <v>Robalo, A. e Gouveia, L. (2016). *As competências em TIC para professores: 
estudo da proposta UNESCO de 2008*. Relatório Interno TRS 02/2016. Grupo 
tecnologia, Redes e Sociedade. Fevereiro. Universidade Fernando Pessoa.
[ handle ]</v>
      </c>
      <c r="C120" s="2">
        <f t="shared" ca="1" si="0"/>
        <v>26</v>
      </c>
      <c r="D120" t="str">
        <f t="shared" ca="1" si="15"/>
        <v xml:space="preserve">Robalo, A. e Gouveia, L. </v>
      </c>
      <c r="E120" t="str">
        <f t="shared" ca="1" si="10"/>
        <v>2016</v>
      </c>
      <c r="F120" t="str">
        <f t="shared" ca="1" si="11"/>
        <v xml:space="preserve"> *As competências em TIC para professores: 
estudo da proposta UNESCO de 2008*. </v>
      </c>
      <c r="G120" s="3">
        <f t="shared" ca="1" si="12"/>
        <v>31</v>
      </c>
      <c r="H120" s="2">
        <f t="shared" ca="1" si="13"/>
        <v>111</v>
      </c>
      <c r="I120" t="e">
        <f t="shared" ca="1" si="14"/>
        <v>#VALUE!</v>
      </c>
      <c r="J120" s="3" t="e">
        <f t="shared" ca="1" si="16"/>
        <v>#VALUE!</v>
      </c>
      <c r="K120" t="str">
        <f t="shared" ca="1" si="6"/>
        <v xml:space="preserve">Robalo, A. e Gouveia, L. </v>
      </c>
      <c r="L120" t="str">
        <f t="shared" ca="1" si="7"/>
        <v xml:space="preserve">Quental, C. </v>
      </c>
    </row>
    <row r="121" spans="1:13" ht="15.75" customHeight="1">
      <c r="A121">
        <f ca="1">IFERROR(__xludf.DUMMYFUNCTION("""COMPUTED_VALUE"""),21)</f>
        <v>21</v>
      </c>
      <c r="B121" t="str">
        <f ca="1">IFERROR(__xludf.DUMMYFUNCTION("""COMPUTED_VALUE"""),"Salimo, G. e Gouveia, L.  (2016). *Ensino Superior em Moçambique. Os 
desafios da gestão na Era Digital*. Relatório Interno TRS 01/2016. Grupo 
Tecnologia, Redes e Sociedade. Fevereiro. Universidade Fernando Pessoa.
[ handle ]")</f>
        <v>Salimo, G. e Gouveia, L.  (2016). *Ensino Superior em Moçambique. Os 
desafios da gestão na Era Digital*. Relatório Interno TRS 01/2016. Grupo 
Tecnologia, Redes e Sociedade. Fevereiro. Universidade Fernando Pessoa.
[ handle ]</v>
      </c>
      <c r="C121" s="2">
        <f t="shared" ca="1" si="0"/>
        <v>27</v>
      </c>
      <c r="D121" t="str">
        <f t="shared" ca="1" si="15"/>
        <v xml:space="preserve">Salimo, G. e Gouveia, L.  </v>
      </c>
      <c r="E121" t="str">
        <f t="shared" ca="1" si="10"/>
        <v>2016</v>
      </c>
      <c r="F121" t="str">
        <f t="shared" ca="1" si="11"/>
        <v xml:space="preserve"> *Ensino Superior em Moçambique. </v>
      </c>
      <c r="G121" s="3">
        <f t="shared" ca="1" si="12"/>
        <v>32</v>
      </c>
      <c r="H121" s="2">
        <f t="shared" ca="1" si="13"/>
        <v>65</v>
      </c>
      <c r="I121" t="e">
        <f t="shared" ca="1" si="14"/>
        <v>#VALUE!</v>
      </c>
      <c r="J121" s="3" t="e">
        <f t="shared" ca="1" si="16"/>
        <v>#VALUE!</v>
      </c>
      <c r="K121" t="str">
        <f t="shared" ca="1" si="6"/>
        <v xml:space="preserve">Salimo, G. e Gouveia, L.  </v>
      </c>
      <c r="L121" t="str">
        <f t="shared" ca="1" si="7"/>
        <v xml:space="preserve">Quental, C. </v>
      </c>
    </row>
    <row r="122" spans="1:13" ht="15.75" customHeight="1">
      <c r="A122">
        <f ca="1">IFERROR(__xludf.DUMMYFUNCTION("""COMPUTED_VALUE"""),20)</f>
        <v>20</v>
      </c>
      <c r="B122" t="str">
        <f ca="1">IFERROR(__xludf.DUMMYFUNCTION("""COMPUTED_VALUE"""),"Robalo, A. e Gouveia, L.  (2015). *Aplicação do questionário a professores 
do Município do Huambo (Angola) sobre competências TIC para professores: 
Teste Piloto*. Relatório Interno TRS 04/2015. Grupo Tecnologia, Redes e 
Sociedade. Julho. Universidade F"&amp;"ernando Pessoa.
[ handle ]")</f>
        <v>Robalo, A. e Gouveia, L.  (2015). *Aplicação do questionário a professores 
do Município do Huambo (Angola) sobre competências TIC para professores: 
Teste Piloto*. Relatório Interno TRS 04/2015. Grupo Tecnologia, Redes e 
Sociedade. Julho. Universidade Fernando Pessoa.
[ handle ]</v>
      </c>
      <c r="C122" s="2">
        <f t="shared" ca="1" si="0"/>
        <v>27</v>
      </c>
      <c r="D122" t="str">
        <f t="shared" ca="1" si="15"/>
        <v xml:space="preserve">Robalo, A. e Gouveia, L.  </v>
      </c>
      <c r="E122" t="str">
        <f t="shared" ca="1" si="10"/>
        <v>2015</v>
      </c>
      <c r="F122" t="str">
        <f t="shared" ca="1" si="11"/>
        <v xml:space="preserve"> *Aplicação do questionário a professores 
do Município do Huambo (Angola) sobre competências TIC para professores: 
Teste Piloto*. </v>
      </c>
      <c r="G122" s="3">
        <f t="shared" ca="1" si="12"/>
        <v>32</v>
      </c>
      <c r="H122" s="2">
        <f t="shared" ca="1" si="13"/>
        <v>164</v>
      </c>
      <c r="I122" t="e">
        <f t="shared" ca="1" si="14"/>
        <v>#VALUE!</v>
      </c>
      <c r="J122" s="3" t="e">
        <f t="shared" ca="1" si="16"/>
        <v>#VALUE!</v>
      </c>
      <c r="K122" t="str">
        <f t="shared" ca="1" si="6"/>
        <v xml:space="preserve">Robalo, A. e Gouveia, L.  </v>
      </c>
      <c r="L122" t="str">
        <f t="shared" ca="1" si="7"/>
        <v xml:space="preserve">Quental, C. </v>
      </c>
    </row>
    <row r="123" spans="1:13" ht="15.75" customHeight="1">
      <c r="A123">
        <f ca="1">IFERROR(__xludf.DUMMYFUNCTION("""COMPUTED_VALUE"""),19)</f>
        <v>19</v>
      </c>
      <c r="B123" t="str">
        <f ca="1">IFERROR(__xludf.DUMMYFUNCTION("""COMPUTED_VALUE"""),"Robalo, A. e  Gouveia, L.  (2015). *Análise preliminar do questionário a 
professores do Município do Huambo (Angola) sobre competências TIC para 
professores.* Relatório Interno TRS 03/2015. Grupo Tecnologia, Redes e 
Sociedade. Julho. Universidade Ferna"&amp;"ndo Pessoa. 
[ handle ]")</f>
        <v>Robalo, A. e  Gouveia, L.  (2015). *Análise preliminar do questionário a 
professores do Município do Huambo (Angola) sobre competências TIC para 
professores.* Relatório Interno TRS 03/2015. Grupo Tecnologia, Redes e 
Sociedade. Julho. Universidade Fernando Pessoa. 
[ handle ]</v>
      </c>
      <c r="C123" s="2">
        <f t="shared" ca="1" si="0"/>
        <v>28</v>
      </c>
      <c r="D123" t="str">
        <f t="shared" ca="1" si="15"/>
        <v xml:space="preserve">Robalo, A. e  Gouveia, L.  </v>
      </c>
      <c r="E123" t="str">
        <f t="shared" ca="1" si="10"/>
        <v>2015</v>
      </c>
      <c r="F123" t="str">
        <f t="shared" ca="1" si="11"/>
        <v xml:space="preserve"> *Análise preliminar do questionário a 
professores do Município do Huambo (Angola) sobre competências TIC para 
professores.*</v>
      </c>
      <c r="G123" s="3">
        <f t="shared" ca="1" si="12"/>
        <v>33</v>
      </c>
      <c r="H123" s="2">
        <f t="shared" ca="1" si="13"/>
        <v>159</v>
      </c>
      <c r="I123" t="e">
        <f t="shared" ca="1" si="14"/>
        <v>#VALUE!</v>
      </c>
      <c r="J123" s="3" t="e">
        <f t="shared" ca="1" si="16"/>
        <v>#VALUE!</v>
      </c>
      <c r="K123" t="str">
        <f t="shared" ca="1" si="6"/>
        <v xml:space="preserve">Robalo, A. e  Gouveia, L.  </v>
      </c>
      <c r="L123" t="str">
        <f t="shared" ca="1" si="7"/>
        <v xml:space="preserve">Quental, C. </v>
      </c>
    </row>
    <row r="124" spans="1:13" ht="15.75" customHeight="1">
      <c r="A124">
        <f ca="1">IFERROR(__xludf.DUMMYFUNCTION("""COMPUTED_VALUE"""),18)</f>
        <v>18</v>
      </c>
      <c r="B124" t="str">
        <f ca="1">IFERROR(__xludf.DUMMYFUNCTION("""COMPUTED_VALUE"""),"Martins, O. e Gouveia, L. (2015).* As Bibliotecas e o Ensino Superior: uma 
reflexão preliminar*. Relatório Interno TRS 02/2015. Grupo Tecnologia, 
Redes e Sociedade. Julho. Universidade Fernando Pessoa. 
[ handle ]")</f>
        <v>Martins, O. e Gouveia, L. (2015).* As Bibliotecas e o Ensino Superior: uma 
reflexão preliminar*. Relatório Interno TRS 02/2015. Grupo Tecnologia, 
Redes e Sociedade. Julho. Universidade Fernando Pessoa. 
[ handle ]</v>
      </c>
      <c r="C124" s="2">
        <f t="shared" ca="1" si="0"/>
        <v>27</v>
      </c>
      <c r="D124" t="str">
        <f t="shared" ca="1" si="15"/>
        <v xml:space="preserve">Martins, O. e Gouveia, L. </v>
      </c>
      <c r="E124" t="str">
        <f t="shared" ca="1" si="10"/>
        <v>2015</v>
      </c>
      <c r="F124" t="str">
        <f t="shared" ca="1" si="11"/>
        <v xml:space="preserve">* As Bibliotecas e o Ensino Superior: uma 
reflexão preliminar*. </v>
      </c>
      <c r="G124" s="3">
        <f t="shared" ca="1" si="12"/>
        <v>32</v>
      </c>
      <c r="H124" s="2">
        <f t="shared" ca="1" si="13"/>
        <v>97</v>
      </c>
      <c r="I124" t="e">
        <f t="shared" ca="1" si="14"/>
        <v>#VALUE!</v>
      </c>
      <c r="J124" s="3" t="e">
        <f t="shared" ca="1" si="16"/>
        <v>#VALUE!</v>
      </c>
      <c r="K124" t="str">
        <f t="shared" ca="1" si="6"/>
        <v xml:space="preserve">Martins, O. e Gouveia, L. </v>
      </c>
      <c r="L124" t="str">
        <f t="shared" ca="1" si="7"/>
        <v xml:space="preserve">Quental, C. </v>
      </c>
    </row>
    <row r="125" spans="1:13" ht="15.75" customHeight="1">
      <c r="A125">
        <f ca="1">IFERROR(__xludf.DUMMYFUNCTION("""COMPUTED_VALUE"""),17)</f>
        <v>17</v>
      </c>
      <c r="B125" t="str">
        <f ca="1">IFERROR(__xludf.DUMMYFUNCTION("""COMPUTED_VALUE"""),"Alfredo, P. e Gouveia, L. (2015). *Aplicação do questionário aos cidadãos 
sobre o governo eletrónico local: teste piloto*. Relatório Interno TRS 
01/2015. Grupo Tecnologia, Redes e Sociedade. Junho. Universidade Fernando 
Pessoa.
[ handle ]")</f>
        <v>Alfredo, P. e Gouveia, L. (2015). *Aplicação do questionário aos cidadãos 
sobre o governo eletrónico local: teste piloto*. Relatório Interno TRS 
01/2015. Grupo Tecnologia, Redes e Sociedade. Junho. Universidade Fernando 
Pessoa.
[ handle ]</v>
      </c>
      <c r="C125" s="2">
        <f t="shared" ca="1" si="0"/>
        <v>27</v>
      </c>
      <c r="D125" t="str">
        <f t="shared" ca="1" si="15"/>
        <v xml:space="preserve">Alfredo, P. e Gouveia, L. </v>
      </c>
      <c r="E125" t="str">
        <f t="shared" ca="1" si="10"/>
        <v>2015</v>
      </c>
      <c r="F125" t="str">
        <f t="shared" ca="1" si="11"/>
        <v xml:space="preserve"> *Aplicação do questionário aos cidadãos 
sobre o governo eletrónico local: teste piloto*. </v>
      </c>
      <c r="G125" s="3">
        <f t="shared" ca="1" si="12"/>
        <v>32</v>
      </c>
      <c r="H125" s="2">
        <f t="shared" ca="1" si="13"/>
        <v>123</v>
      </c>
      <c r="I125" t="e">
        <f t="shared" ca="1" si="14"/>
        <v>#VALUE!</v>
      </c>
      <c r="J125" s="3" t="e">
        <f t="shared" ca="1" si="16"/>
        <v>#VALUE!</v>
      </c>
      <c r="K125" t="str">
        <f t="shared" ca="1" si="6"/>
        <v xml:space="preserve">Alfredo, P. e Gouveia, L. </v>
      </c>
      <c r="L125" t="str">
        <f t="shared" ca="1" si="7"/>
        <v xml:space="preserve">Quental, C. </v>
      </c>
    </row>
    <row r="126" spans="1:13" ht="15.75" customHeight="1">
      <c r="A126">
        <f ca="1">IFERROR(__xludf.DUMMYFUNCTION("""COMPUTED_VALUE"""),16)</f>
        <v>16</v>
      </c>
      <c r="B126" t="str">
        <f ca="1">IFERROR(__xludf.DUMMYFUNCTION("""COMPUTED_VALUE"""),"António, F. e Gouveia, L. (2014). *Análise de um sistema de backoffice de 
Ensino a Distância para a Universidade Católica de Angola*. Relatório 
Interno TRS 03/2014. Grupo Tecnologia, Redes e Sociedade. Junho. 
Universidade Fernando Pessoa.
[ handle ]")</f>
        <v>António, F. e Gouveia, L. (2014). *Análise de um sistema de backoffice de 
Ensino a Distância para a Universidade Católica de Angola*. Relatório 
Interno TRS 03/2014. Grupo Tecnologia, Redes e Sociedade. Junho. 
Universidade Fernando Pessoa.
[ handle ]</v>
      </c>
      <c r="C126" s="2">
        <f t="shared" ca="1" si="0"/>
        <v>27</v>
      </c>
      <c r="D126" t="str">
        <f t="shared" ca="1" si="15"/>
        <v xml:space="preserve">António, F. e Gouveia, L. </v>
      </c>
      <c r="E126" t="str">
        <f t="shared" ca="1" si="10"/>
        <v>2014</v>
      </c>
      <c r="F126" t="str">
        <f t="shared" ca="1" si="11"/>
        <v xml:space="preserve"> *Análise de um sistema de backoffice de 
Ensino a Distância para a Universidade Católica de Angola*. </v>
      </c>
      <c r="G126" s="3">
        <f t="shared" ca="1" si="12"/>
        <v>32</v>
      </c>
      <c r="H126" s="2">
        <f t="shared" ca="1" si="13"/>
        <v>134</v>
      </c>
      <c r="I126" t="e">
        <f t="shared" ca="1" si="14"/>
        <v>#VALUE!</v>
      </c>
      <c r="J126" s="3" t="e">
        <f t="shared" ca="1" si="16"/>
        <v>#VALUE!</v>
      </c>
      <c r="K126" t="str">
        <f t="shared" ca="1" si="6"/>
        <v xml:space="preserve">António, F. e Gouveia, L. </v>
      </c>
      <c r="L126" t="str">
        <f t="shared" ca="1" si="7"/>
        <v xml:space="preserve">Quental, C. </v>
      </c>
    </row>
    <row r="127" spans="1:13" ht="15.75" customHeight="1">
      <c r="A127">
        <f ca="1">IFERROR(__xludf.DUMMYFUNCTION("""COMPUTED_VALUE"""),15)</f>
        <v>15</v>
      </c>
      <c r="B127" t="str">
        <f ca="1">IFERROR(__xludf.DUMMYFUNCTION("""COMPUTED_VALUE"""),"António, F. e Gouveia, L. (2014). *Estudo preliminar de um Sistema de 
Acolhimento para Alunos da Universidade Católica de Angola*. Relatório 
Interno TRS 02/2014. Grupo Tecnologia, Redes e Sociedade. Junho. 
Universidade Fernando Pessoa.
[ handle ]")</f>
        <v>António, F. e Gouveia, L. (2014). *Estudo preliminar de um Sistema de 
Acolhimento para Alunos da Universidade Católica de Angola*. Relatório 
Interno TRS 02/2014. Grupo Tecnologia, Redes e Sociedade. Junho. 
Universidade Fernando Pessoa.
[ handle ]</v>
      </c>
      <c r="C127" s="2">
        <f t="shared" ca="1" si="0"/>
        <v>27</v>
      </c>
      <c r="D127" t="str">
        <f t="shared" ca="1" si="15"/>
        <v xml:space="preserve">António, F. e Gouveia, L. </v>
      </c>
      <c r="E127" t="str">
        <f t="shared" ca="1" si="10"/>
        <v>2014</v>
      </c>
      <c r="F127" t="str">
        <f t="shared" ca="1" si="11"/>
        <v xml:space="preserve"> *Estudo preliminar de um Sistema de 
Acolhimento para Alunos da Universidade Católica de Angola*. </v>
      </c>
      <c r="G127" s="3">
        <f t="shared" ca="1" si="12"/>
        <v>32</v>
      </c>
      <c r="H127" s="2">
        <f t="shared" ca="1" si="13"/>
        <v>131</v>
      </c>
      <c r="I127" t="e">
        <f t="shared" ca="1" si="14"/>
        <v>#VALUE!</v>
      </c>
      <c r="J127" s="3" t="e">
        <f t="shared" ca="1" si="16"/>
        <v>#VALUE!</v>
      </c>
      <c r="K127" t="str">
        <f t="shared" ca="1" si="6"/>
        <v xml:space="preserve">António, F. e Gouveia, L. </v>
      </c>
      <c r="L127" t="str">
        <f t="shared" ca="1" si="7"/>
        <v xml:space="preserve">Quental, C. </v>
      </c>
    </row>
    <row r="128" spans="1:13" ht="15.75" customHeight="1">
      <c r="A128">
        <f ca="1">IFERROR(__xludf.DUMMYFUNCTION("""COMPUTED_VALUE"""),14)</f>
        <v>14</v>
      </c>
      <c r="B128" t="str">
        <f ca="1">IFERROR(__xludf.DUMMYFUNCTION("""COMPUTED_VALUE"""),"Salimo, G. e Gouveia, L. (2014). *Estudo preliminar para a Adopção de 
Práticas de EAD na UniZambeze*. Relatório Interno TRS 01/2014. Grupo 
Tecnologia, Redes e Sociedade. Junho. Universidade Fernando Pessoa.
[ handle ]")</f>
        <v>Salimo, G. e Gouveia, L. (2014). *Estudo preliminar para a Adopção de 
Práticas de EAD na UniZambeze*. Relatório Interno TRS 01/2014. Grupo 
Tecnologia, Redes e Sociedade. Junho. Universidade Fernando Pessoa.
[ handle ]</v>
      </c>
      <c r="C128" s="2">
        <f t="shared" ca="1" si="0"/>
        <v>26</v>
      </c>
      <c r="D128" t="str">
        <f t="shared" ca="1" si="15"/>
        <v xml:space="preserve">Salimo, G. e Gouveia, L. </v>
      </c>
      <c r="E128" t="str">
        <f t="shared" ca="1" si="10"/>
        <v>2014</v>
      </c>
      <c r="F128" t="str">
        <f t="shared" ca="1" si="11"/>
        <v xml:space="preserve"> *Estudo preliminar para a Adopção de 
Práticas de EAD na UniZambeze*. </v>
      </c>
      <c r="G128" s="3">
        <f t="shared" ca="1" si="12"/>
        <v>31</v>
      </c>
      <c r="H128" s="2">
        <f t="shared" ca="1" si="13"/>
        <v>102</v>
      </c>
      <c r="I128" t="e">
        <f t="shared" ca="1" si="14"/>
        <v>#VALUE!</v>
      </c>
      <c r="J128" s="3" t="e">
        <f t="shared" ca="1" si="16"/>
        <v>#VALUE!</v>
      </c>
      <c r="K128" t="str">
        <f t="shared" ca="1" si="6"/>
        <v xml:space="preserve">Salimo, G. e Gouveia, L. </v>
      </c>
      <c r="L128" t="str">
        <f t="shared" ca="1" si="7"/>
        <v xml:space="preserve">Quental, C. </v>
      </c>
    </row>
    <row r="129" spans="1:15" ht="15.75" customHeight="1">
      <c r="A129">
        <f ca="1">IFERROR(__xludf.DUMMYFUNCTION("""COMPUTED_VALUE"""),13)</f>
        <v>13</v>
      </c>
      <c r="B129" t="str">
        <f ca="1">IFERROR(__xludf.DUMMYFUNCTION("""COMPUTED_VALUE"""),"Robalo, A. e Gouveia, L. (2013). *Aplicação das TICs no Instituto Superior 
de Ciências de Educação: uma nova metodologia para o currículo de 
Informática*. Relatório Interno TRS 02/2013. Grupo Tecnologia, Redes e 
Sociedade. Outubro. Universidade Fernand"&amp;"o Pessoa.
[ handle ]")</f>
        <v>Robalo, A. e Gouveia, L. (2013). *Aplicação das TICs no Instituto Superior 
de Ciências de Educação: uma nova metodologia para o currículo de 
Informática*. Relatório Interno TRS 02/2013. Grupo Tecnologia, Redes e 
Sociedade. Outubro. Universidade Fernando Pessoa.
[ handle ]</v>
      </c>
      <c r="C129" s="2">
        <f t="shared" ca="1" si="0"/>
        <v>26</v>
      </c>
      <c r="D129" t="str">
        <f t="shared" ca="1" si="15"/>
        <v xml:space="preserve">Robalo, A. e Gouveia, L. </v>
      </c>
      <c r="E129" t="str">
        <f t="shared" ca="1" si="10"/>
        <v>2013</v>
      </c>
      <c r="F129" t="str">
        <f t="shared" ca="1" si="11"/>
        <v xml:space="preserve"> *Aplicação das TICs no Instituto Superior 
de Ciências de Educação: uma nova metodologia para o currículo de 
Informática*. </v>
      </c>
      <c r="G129" s="3">
        <f t="shared" ca="1" si="12"/>
        <v>31</v>
      </c>
      <c r="H129" s="2">
        <f t="shared" ca="1" si="13"/>
        <v>156</v>
      </c>
      <c r="I129" t="e">
        <f t="shared" ca="1" si="14"/>
        <v>#VALUE!</v>
      </c>
      <c r="J129" s="3" t="e">
        <f t="shared" ca="1" si="16"/>
        <v>#VALUE!</v>
      </c>
      <c r="K129" t="str">
        <f t="shared" ca="1" si="6"/>
        <v xml:space="preserve">Robalo, A. e Gouveia, L. </v>
      </c>
      <c r="L129" t="str">
        <f t="shared" ca="1" si="7"/>
        <v xml:space="preserve">Quental, C. </v>
      </c>
    </row>
    <row r="130" spans="1:15" ht="15.75" customHeight="1">
      <c r="A130">
        <f ca="1">IFERROR(__xludf.DUMMYFUNCTION("""COMPUTED_VALUE"""),12)</f>
        <v>12</v>
      </c>
      <c r="B130" t="str">
        <f ca="1">IFERROR(__xludf.DUMMYFUNCTION("""COMPUTED_VALUE"""),"Simões, L. e Gouveia, L. (2013). *Estudo exploratório sobre a utilização de 
Web 2.0 por Docentes do Ensino Superior*. Relatório Interno TRS 01/2013. 
Grupo Tecnologia, Redes e Sociedade. Maio. Universidade Fernando Pessoa.
[ handle ]")</f>
        <v>Simões, L. e Gouveia, L. (2013). *Estudo exploratório sobre a utilização de 
Web 2.0 por Docentes do Ensino Superior*. Relatório Interno TRS 01/2013. 
Grupo Tecnologia, Redes e Sociedade. Maio. Universidade Fernando Pessoa.
[ handle ]</v>
      </c>
      <c r="C130" s="2">
        <f t="shared" ca="1" si="0"/>
        <v>26</v>
      </c>
      <c r="D130" t="str">
        <f t="shared" ca="1" si="15"/>
        <v xml:space="preserve">Simões, L. e Gouveia, L. </v>
      </c>
      <c r="E130" t="str">
        <f t="shared" ca="1" si="10"/>
        <v>2013</v>
      </c>
      <c r="F130" t="str">
        <f t="shared" ca="1" si="11"/>
        <v xml:space="preserve"> *Estudo exploratório sobre a utilização de 
Web 2.0</v>
      </c>
      <c r="G130" s="3">
        <f t="shared" ca="1" si="12"/>
        <v>31</v>
      </c>
      <c r="H130" s="2">
        <f t="shared" ca="1" si="13"/>
        <v>83</v>
      </c>
      <c r="I130" t="e">
        <f t="shared" ca="1" si="14"/>
        <v>#VALUE!</v>
      </c>
      <c r="J130" s="3" t="e">
        <f t="shared" ca="1" si="16"/>
        <v>#VALUE!</v>
      </c>
      <c r="K130" t="str">
        <f t="shared" ca="1" si="6"/>
        <v xml:space="preserve">Simões, L. e Gouveia, L. </v>
      </c>
      <c r="L130" t="str">
        <f t="shared" ca="1" si="7"/>
        <v xml:space="preserve">Quental, C. </v>
      </c>
    </row>
    <row r="131" spans="1:15" ht="15.75" customHeight="1">
      <c r="A131">
        <f ca="1">IFERROR(__xludf.DUMMYFUNCTION("""COMPUTED_VALUE"""),11)</f>
        <v>11</v>
      </c>
      <c r="B131" t="str">
        <f ca="1">IFERROR(__xludf.DUMMYFUNCTION("""COMPUTED_VALUE"""),"Fernandes, N.; Gouveia, L. and Gouveia, F. (2009) *UFP-UV: UFP in the Sakai 
Project*. Internal Report 04/2009. CEREM - UFP. Multimedia Resource Centre, 
University Fernando Pessoa. 
texto [ pdf (188KB) ] | handle")</f>
        <v>Fernandes, N.; Gouveia, L. and Gouveia, F. (2009) *UFP-UV: UFP in the Sakai 
Project*. Internal Report 04/2009. CEREM - UFP. Multimedia Resource Centre, 
University Fernando Pessoa. 
texto [ pdf (188KB) ] | handle</v>
      </c>
      <c r="C131" s="2">
        <f t="shared" ca="1" si="0"/>
        <v>44</v>
      </c>
      <c r="D131" t="str">
        <f t="shared" ca="1" si="15"/>
        <v xml:space="preserve">Fernandes, N.; Gouveia, L. and Gouveia, F. </v>
      </c>
      <c r="E131" t="str">
        <f t="shared" ref="E131:E194" ca="1" si="17">MID(B131,C131+1,4)</f>
        <v>2009</v>
      </c>
      <c r="F131" t="e">
        <f t="shared" ref="F131:F194" ca="1" si="18">MID(B131,G131+2,H131-G131)</f>
        <v>#VALUE!</v>
      </c>
      <c r="G131" s="3" t="e">
        <f t="shared" ref="G131:G194" ca="1" si="19">FIND(").",B131)</f>
        <v>#VALUE!</v>
      </c>
      <c r="H131" s="2" t="e">
        <f t="shared" ref="H131:H194" ca="1" si="20">FIND(".",B131,G131+2)</f>
        <v>#VALUE!</v>
      </c>
      <c r="I131" t="e">
        <f t="shared" ref="I131:I194" ca="1" si="21">MID(B131,H131+2,J131-H131)</f>
        <v>#VALUE!</v>
      </c>
      <c r="J131" s="3" t="e">
        <f t="shared" ca="1" si="16"/>
        <v>#VALUE!</v>
      </c>
      <c r="K131" t="str">
        <f t="shared" ca="1" si="6"/>
        <v xml:space="preserve">Fern;es, N.; Gouveia, L. ; Gouveia, F. </v>
      </c>
      <c r="L131" t="str">
        <f t="shared" ca="1" si="7"/>
        <v xml:space="preserve">Quental, C. </v>
      </c>
      <c r="M131" t="str">
        <f ca="1">IFERROR(__xludf.DUMMYFUNCTION("""COMPUTED_VALUE"""),"es, N.")</f>
        <v>es, N.</v>
      </c>
      <c r="N131" t="str">
        <f ca="1">IFERROR(__xludf.DUMMYFUNCTION("""COMPUTED_VALUE""")," Gouveia, L. ")</f>
        <v xml:space="preserve"> Gouveia, L. </v>
      </c>
      <c r="O131" t="str">
        <f ca="1">IFERROR(__xludf.DUMMYFUNCTION("""COMPUTED_VALUE""")," Gouveia, F. ")</f>
        <v xml:space="preserve"> Gouveia, F. </v>
      </c>
    </row>
    <row r="132" spans="1:15" ht="15.75" customHeight="1">
      <c r="A132">
        <f ca="1">IFERROR(__xludf.DUMMYFUNCTION("""COMPUTED_VALUE"""),10)</f>
        <v>10</v>
      </c>
      <c r="B132" t="str">
        <f ca="1">IFERROR(__xludf.DUMMYFUNCTION("""COMPUTED_VALUE"""),"Abrantes, S. e Gouveia, L. (2009) *Avaliação do uso do m-learning no 
contexto de sala de aula no Ensino Superior*. Relatório Interno 03/2009. 
CEREM - UFP. Centro de Estudos e Recursos Multimediáticos, Universidade 
Fernando Pessoa.
texto [ pdf (374KB) ]"&amp;" | handle")</f>
        <v>Abrantes, S. e Gouveia, L. (2009) *Avaliação do uso do m-learning no 
contexto de sala de aula no Ensino Superior*. Relatório Interno 03/2009. 
CEREM - UFP. Centro de Estudos e Recursos Multimediáticos, Universidade 
Fernando Pessoa.
texto [ pdf (374KB) ] | handle</v>
      </c>
      <c r="C132" s="2">
        <f t="shared" ca="1" si="0"/>
        <v>28</v>
      </c>
      <c r="D132" t="str">
        <f t="shared" ref="D132:D195" ca="1" si="22">LEFT(B132,FIND("(",B132)-1)</f>
        <v xml:space="preserve">Abrantes, S. e Gouveia, L. </v>
      </c>
      <c r="E132" t="str">
        <f t="shared" ca="1" si="17"/>
        <v>2009</v>
      </c>
      <c r="F132" t="e">
        <f t="shared" ca="1" si="18"/>
        <v>#VALUE!</v>
      </c>
      <c r="G132" s="3" t="e">
        <f t="shared" ca="1" si="19"/>
        <v>#VALUE!</v>
      </c>
      <c r="H132" s="2" t="e">
        <f t="shared" ca="1" si="20"/>
        <v>#VALUE!</v>
      </c>
      <c r="I132" t="e">
        <f t="shared" ca="1" si="21"/>
        <v>#VALUE!</v>
      </c>
      <c r="J132" s="3" t="e">
        <f t="shared" ref="J132:J195" ca="1" si="23">FIND(").",B132,H132+1)</f>
        <v>#VALUE!</v>
      </c>
      <c r="K132" t="str">
        <f t="shared" ca="1" si="6"/>
        <v xml:space="preserve">Abrantes, S. e Gouveia, L. </v>
      </c>
      <c r="L132" t="str">
        <f t="shared" ca="1" si="7"/>
        <v xml:space="preserve">Quental, C. </v>
      </c>
    </row>
    <row r="133" spans="1:15" ht="15.75" customHeight="1">
      <c r="A133">
        <f ca="1">IFERROR(__xludf.DUMMYFUNCTION("""COMPUTED_VALUE"""),9)</f>
        <v>9</v>
      </c>
      <c r="B133" t="str">
        <f ca="1">IFERROR(__xludf.DUMMYFUNCTION("""COMPUTED_VALUE"""),"Abrantes, S. e Gouveia, L. (2009) *Estudo da percepção e potencial do uso 
de aplicações móveis para ambientes colaborativos*. Relatório Interno 
02/2009. CEREM - UFP. Centro de Estudos e Recursos Multimediáticos, 
Universidade Fernando Pessoa.
texto [ pd"&amp;"f (533KB) ] | handle")</f>
        <v>Abrantes, S. e Gouveia, L. (2009) *Estudo da percepção e potencial do uso 
de aplicações móveis para ambientes colaborativos*. Relatório Interno 
02/2009. CEREM - UFP. Centro de Estudos e Recursos Multimediáticos, 
Universidade Fernando Pessoa.
texto [ pdf (533KB) ] | handle</v>
      </c>
      <c r="C133" s="2">
        <f t="shared" ca="1" si="0"/>
        <v>28</v>
      </c>
      <c r="D133" t="str">
        <f t="shared" ca="1" si="22"/>
        <v xml:space="preserve">Abrantes, S. e Gouveia, L. </v>
      </c>
      <c r="E133" t="str">
        <f t="shared" ca="1" si="17"/>
        <v>2009</v>
      </c>
      <c r="F133" t="e">
        <f t="shared" ca="1" si="18"/>
        <v>#VALUE!</v>
      </c>
      <c r="G133" s="3" t="e">
        <f t="shared" ca="1" si="19"/>
        <v>#VALUE!</v>
      </c>
      <c r="H133" s="2" t="e">
        <f t="shared" ca="1" si="20"/>
        <v>#VALUE!</v>
      </c>
      <c r="I133" t="e">
        <f t="shared" ca="1" si="21"/>
        <v>#VALUE!</v>
      </c>
      <c r="J133" s="3" t="e">
        <f t="shared" ca="1" si="23"/>
        <v>#VALUE!</v>
      </c>
      <c r="K133" t="str">
        <f t="shared" ca="1" si="6"/>
        <v xml:space="preserve">Abrantes, S. e Gouveia, L. </v>
      </c>
      <c r="L133" t="str">
        <f t="shared" ca="1" si="7"/>
        <v xml:space="preserve">Quental, C. </v>
      </c>
    </row>
    <row r="134" spans="1:15" ht="15.75" customHeight="1">
      <c r="A134">
        <f ca="1">IFERROR(__xludf.DUMMYFUNCTION("""COMPUTED_VALUE"""),8)</f>
        <v>8</v>
      </c>
      <c r="B134" t="str">
        <f ca="1">IFERROR(__xludf.DUMMYFUNCTION("""COMPUTED_VALUE"""),"Abrantes, S. e Gouveia, L. (2009) *Estudo de percepção do uso de 
dispositivos móveis no Ensino Superior*. Relatório Interno 01/2009. CEREM - 
UFP. Centro de Estudos e Recursos Multimediáticos, Maio. Universidade 
Fernando Pessoa.
texto [ pdf(512KB)] | ha"&amp;"ndle")</f>
        <v>Abrantes, S. e Gouveia, L. (2009) *Estudo de percepção do uso de 
dispositivos móveis no Ensino Superior*. Relatório Interno 01/2009. CEREM - 
UFP. Centro de Estudos e Recursos Multimediáticos, Maio. Universidade 
Fernando Pessoa.
texto [ pdf(512KB)] | handle</v>
      </c>
      <c r="C134" s="2">
        <f t="shared" ca="1" si="0"/>
        <v>28</v>
      </c>
      <c r="D134" t="str">
        <f t="shared" ca="1" si="22"/>
        <v xml:space="preserve">Abrantes, S. e Gouveia, L. </v>
      </c>
      <c r="E134" t="str">
        <f t="shared" ca="1" si="17"/>
        <v>2009</v>
      </c>
      <c r="F134" t="e">
        <f t="shared" ca="1" si="18"/>
        <v>#VALUE!</v>
      </c>
      <c r="G134" s="3" t="e">
        <f t="shared" ca="1" si="19"/>
        <v>#VALUE!</v>
      </c>
      <c r="H134" s="2" t="e">
        <f t="shared" ca="1" si="20"/>
        <v>#VALUE!</v>
      </c>
      <c r="I134" t="e">
        <f t="shared" ca="1" si="21"/>
        <v>#VALUE!</v>
      </c>
      <c r="J134" s="3" t="e">
        <f t="shared" ca="1" si="23"/>
        <v>#VALUE!</v>
      </c>
      <c r="K134" t="str">
        <f t="shared" ca="1" si="6"/>
        <v xml:space="preserve">Abrantes, S. e Gouveia, L. </v>
      </c>
      <c r="L134" t="str">
        <f t="shared" ca="1" si="7"/>
        <v xml:space="preserve">Quental, C. </v>
      </c>
    </row>
    <row r="135" spans="1:15" ht="15.75" customHeight="1">
      <c r="A135">
        <f ca="1">IFERROR(__xludf.DUMMYFUNCTION("""COMPUTED_VALUE"""),7)</f>
        <v>7</v>
      </c>
      <c r="B135" t="str">
        <f ca="1">IFERROR(__xludf.DUMMYFUNCTION("""COMPUTED_VALUE"""),"Rurato, P.; Gouveia, L. e Gouveia, J. (2005) *As Características dos 
Aprendentes na Educação a Distância: factores de motivação*. Relatório 
Interno 01/2005. CEREM, Centro de Estudos e Recursos Multimediáticos. 
Outubro. Universidade Fernando Pessoa.
tex"&amp;"to [ pdf (240KB) ] | handle")</f>
        <v>Rurato, P.; Gouveia, L. e Gouveia, J. (2005) *As Características dos 
Aprendentes na Educação a Distância: factores de motivação*. Relatório 
Interno 01/2005. CEREM, Centro de Estudos e Recursos Multimediáticos. 
Outubro. Universidade Fernando Pessoa.
texto [ pdf (240KB) ] | handle</v>
      </c>
      <c r="C135" s="2">
        <f t="shared" ca="1" si="0"/>
        <v>39</v>
      </c>
      <c r="D135" t="str">
        <f t="shared" ca="1" si="22"/>
        <v xml:space="preserve">Rurato, P.; Gouveia, L. e Gouveia, J. </v>
      </c>
      <c r="E135" t="str">
        <f t="shared" ca="1" si="17"/>
        <v>2005</v>
      </c>
      <c r="F135" t="e">
        <f t="shared" ca="1" si="18"/>
        <v>#VALUE!</v>
      </c>
      <c r="G135" s="3" t="e">
        <f t="shared" ca="1" si="19"/>
        <v>#VALUE!</v>
      </c>
      <c r="H135" s="2" t="e">
        <f t="shared" ca="1" si="20"/>
        <v>#VALUE!</v>
      </c>
      <c r="I135" t="e">
        <f t="shared" ca="1" si="21"/>
        <v>#VALUE!</v>
      </c>
      <c r="J135" s="3" t="e">
        <f t="shared" ca="1" si="23"/>
        <v>#VALUE!</v>
      </c>
      <c r="K135" t="str">
        <f t="shared" ca="1" si="6"/>
        <v xml:space="preserve">Rurato, P.; Gouveia, L. e Gouveia, J. </v>
      </c>
      <c r="L135" t="str">
        <f t="shared" ca="1" si="7"/>
        <v xml:space="preserve">Quental, C. </v>
      </c>
      <c r="M135" t="str">
        <f ca="1">IFERROR(__xludf.DUMMYFUNCTION("""COMPUTED_VALUE""")," Gouveia, L. e Gouveia, J. ")</f>
        <v xml:space="preserve"> Gouveia, L. e Gouveia, J. </v>
      </c>
    </row>
    <row r="136" spans="1:15" ht="15.75" customHeight="1">
      <c r="A136">
        <f ca="1">IFERROR(__xludf.DUMMYFUNCTION("""COMPUTED_VALUE"""),6)</f>
        <v>6</v>
      </c>
      <c r="B136" t="str">
        <f ca="1">IFERROR(__xludf.DUMMYFUNCTION("""COMPUTED_VALUE"""),"Rurato, P. e Gouveia, L. (2005). *Uma reflexão sobre o perfil dos 
Aprendentes Adultos no Ensino a Distância*. Relatório Interno 02/2005. 
CEREM Centro de Estudos e Recursos Multimediáticos. Abril, Porto. Universidade 
Fernando Pessoa. 
texto [ pdf(296KB)"&amp;" ] | handle")</f>
        <v>Rurato, P. e Gouveia, L. (2005). *Uma reflexão sobre o perfil dos 
Aprendentes Adultos no Ensino a Distância*. Relatório Interno 02/2005. 
CEREM Centro de Estudos e Recursos Multimediáticos. Abril, Porto. Universidade 
Fernando Pessoa. 
texto [ pdf(296KB) ] | handle</v>
      </c>
      <c r="C136" s="2">
        <f t="shared" ca="1" si="0"/>
        <v>26</v>
      </c>
      <c r="D136" t="str">
        <f t="shared" ca="1" si="22"/>
        <v xml:space="preserve">Rurato, P. e Gouveia, L. </v>
      </c>
      <c r="E136" t="str">
        <f t="shared" ca="1" si="17"/>
        <v>2005</v>
      </c>
      <c r="F136" t="str">
        <f t="shared" ca="1" si="18"/>
        <v xml:space="preserve"> *Uma reflexão sobre o perfil dos 
Aprendentes Adultos no Ensino a Distância*. </v>
      </c>
      <c r="G136" s="3">
        <f t="shared" ca="1" si="19"/>
        <v>31</v>
      </c>
      <c r="H136" s="2">
        <f t="shared" ca="1" si="20"/>
        <v>110</v>
      </c>
      <c r="I136" t="e">
        <f t="shared" ca="1" si="21"/>
        <v>#VALUE!</v>
      </c>
      <c r="J136" s="3" t="e">
        <f t="shared" ca="1" si="23"/>
        <v>#VALUE!</v>
      </c>
      <c r="K136" t="str">
        <f t="shared" ca="1" si="6"/>
        <v xml:space="preserve">Rurato, P. e Gouveia, L. </v>
      </c>
      <c r="L136" t="str">
        <f t="shared" ca="1" si="7"/>
        <v xml:space="preserve">Quental, C. </v>
      </c>
    </row>
    <row r="137" spans="1:15" ht="15.75" customHeight="1">
      <c r="A137">
        <f ca="1">IFERROR(__xludf.DUMMYFUNCTION("""COMPUTED_VALUE"""),5)</f>
        <v>5</v>
      </c>
      <c r="B137" t="str">
        <f ca="1">IFERROR(__xludf.DUMMYFUNCTION("""COMPUTED_VALUE"""),"Gouveia, F. and Gouveia, L. (2005). C*ollaborative open-source software: 
the case of e-learning at University Fernando Pessoa*. Working Paper 
01/2005. Multimedia Resource Centre. Porto. University Fernando Pessoa. 
texto [ pdf (121KB) ] | handle")</f>
        <v>Gouveia, F. and Gouveia, L. (2005). C*ollaborative open-source software: 
the case of e-learning at University Fernando Pessoa*. Working Paper 
01/2005. Multimedia Resource Centre. Porto. University Fernando Pessoa. 
texto [ pdf (121KB) ] | handle</v>
      </c>
      <c r="C137" s="2">
        <f t="shared" ca="1" si="0"/>
        <v>29</v>
      </c>
      <c r="D137" t="str">
        <f t="shared" ca="1" si="22"/>
        <v xml:space="preserve">Gouveia, F. and Gouveia, L. </v>
      </c>
      <c r="E137" t="str">
        <f t="shared" ca="1" si="17"/>
        <v>2005</v>
      </c>
      <c r="F137" t="str">
        <f t="shared" ca="1" si="18"/>
        <v xml:space="preserve"> C*ollaborative open-source software: 
the case of e-learning at University Fernando Pessoa*. </v>
      </c>
      <c r="G137" s="3">
        <f t="shared" ca="1" si="19"/>
        <v>34</v>
      </c>
      <c r="H137" s="2">
        <f t="shared" ca="1" si="20"/>
        <v>128</v>
      </c>
      <c r="I137" t="e">
        <f t="shared" ca="1" si="21"/>
        <v>#VALUE!</v>
      </c>
      <c r="J137" s="3" t="e">
        <f t="shared" ca="1" si="23"/>
        <v>#VALUE!</v>
      </c>
      <c r="K137" t="str">
        <f t="shared" ca="1" si="6"/>
        <v xml:space="preserve">Gouveia, F. ; Gouveia, L. </v>
      </c>
      <c r="L137" t="str">
        <f t="shared" ca="1" si="7"/>
        <v xml:space="preserve">Quental, C. </v>
      </c>
      <c r="M137" t="str">
        <f ca="1">IFERROR(__xludf.DUMMYFUNCTION("""COMPUTED_VALUE""")," Gouveia, L. ")</f>
        <v xml:space="preserve"> Gouveia, L. </v>
      </c>
    </row>
    <row r="138" spans="1:15" ht="15.75" customHeight="1">
      <c r="A138">
        <f ca="1">IFERROR(__xludf.DUMMYFUNCTION("""COMPUTED_VALUE"""),4)</f>
        <v>4</v>
      </c>
      <c r="B138" t="str">
        <f ca="1">IFERROR(__xludf.DUMMYFUNCTION("""COMPUTED_VALUE"""),"Gouveia, L. (2004). *A brief survey on Cognitive Maps as Humane 
Representations.* Internal report nº1/2004. Multimedia Resource Centre. 
Porto. University Fernando Pessoa. 
paper [ pdf(263KB) ] | handle")</f>
        <v>Gouveia, L. (2004). *A brief survey on Cognitive Maps as Humane 
Representations.* Internal report nº1/2004. Multimedia Resource Centre. 
Porto. University Fernando Pessoa. 
paper [ pdf(263KB) ] | handle</v>
      </c>
      <c r="C138" s="2">
        <f t="shared" ca="1" si="0"/>
        <v>13</v>
      </c>
      <c r="D138" t="str">
        <f t="shared" ca="1" si="22"/>
        <v xml:space="preserve">Gouveia, L. </v>
      </c>
      <c r="E138" t="str">
        <f t="shared" ca="1" si="17"/>
        <v>2004</v>
      </c>
      <c r="F138" t="str">
        <f t="shared" ca="1" si="18"/>
        <v xml:space="preserve"> *A brief survey on Cognitive Maps as Humane 
Representations.*</v>
      </c>
      <c r="G138" s="3">
        <f t="shared" ca="1" si="19"/>
        <v>18</v>
      </c>
      <c r="H138" s="2">
        <f t="shared" ca="1" si="20"/>
        <v>81</v>
      </c>
      <c r="I138" t="e">
        <f t="shared" ca="1" si="21"/>
        <v>#VALUE!</v>
      </c>
      <c r="J138" s="3" t="e">
        <f t="shared" ca="1" si="23"/>
        <v>#VALUE!</v>
      </c>
      <c r="K138" t="str">
        <f t="shared" ca="1" si="6"/>
        <v xml:space="preserve">Gouveia, L. </v>
      </c>
      <c r="L138" t="str">
        <f t="shared" ca="1" si="7"/>
        <v xml:space="preserve">Quental, C. </v>
      </c>
    </row>
    <row r="139" spans="1:15" ht="15.75" customHeight="1">
      <c r="A139">
        <f ca="1">IFERROR(__xludf.DUMMYFUNCTION("""COMPUTED_VALUE"""),3)</f>
        <v>3</v>
      </c>
      <c r="B139" t="str">
        <f ca="1">IFERROR(__xludf.DUMMYFUNCTION("""COMPUTED_VALUE"""),"Gouveia, L. and Gouveia, F. (2001). *An evaluation of the Well Path 
elearning platform.* RI CEREM 01/2001. Multimedia Resource Centre. 
Technical Report. July 2001. University Fernando Pessoa. 
paper [ pdf(226KB)] | handle")</f>
        <v>Gouveia, L. and Gouveia, F. (2001). *An evaluation of the Well Path 
elearning platform.* RI CEREM 01/2001. Multimedia Resource Centre. 
Technical Report. July 2001. University Fernando Pessoa. 
paper [ pdf(226KB)] | handle</v>
      </c>
      <c r="C139" s="2">
        <f t="shared" ca="1" si="0"/>
        <v>29</v>
      </c>
      <c r="D139" t="str">
        <f t="shared" ca="1" si="22"/>
        <v xml:space="preserve">Gouveia, L. and Gouveia, F. </v>
      </c>
      <c r="E139" t="str">
        <f t="shared" ca="1" si="17"/>
        <v>2001</v>
      </c>
      <c r="F139" t="str">
        <f t="shared" ca="1" si="18"/>
        <v xml:space="preserve"> *An evaluation of the Well Path 
elearning platform.*</v>
      </c>
      <c r="G139" s="3">
        <f t="shared" ca="1" si="19"/>
        <v>34</v>
      </c>
      <c r="H139" s="2">
        <f t="shared" ca="1" si="20"/>
        <v>88</v>
      </c>
      <c r="I139" t="e">
        <f t="shared" ca="1" si="21"/>
        <v>#VALUE!</v>
      </c>
      <c r="J139" s="3" t="e">
        <f t="shared" ca="1" si="23"/>
        <v>#VALUE!</v>
      </c>
      <c r="K139" t="str">
        <f t="shared" ca="1" si="6"/>
        <v xml:space="preserve">Gouveia, L. ; Gouveia, F. </v>
      </c>
      <c r="L139" t="str">
        <f t="shared" ca="1" si="7"/>
        <v xml:space="preserve">Quental, C. </v>
      </c>
      <c r="M139" t="str">
        <f ca="1">IFERROR(__xludf.DUMMYFUNCTION("""COMPUTED_VALUE""")," Gouveia, F. ")</f>
        <v xml:space="preserve"> Gouveia, F. </v>
      </c>
    </row>
    <row r="140" spans="1:15" ht="15.75" customHeight="1">
      <c r="A140">
        <f ca="1">IFERROR(__xludf.DUMMYFUNCTION("""COMPUTED_VALUE"""),2)</f>
        <v>2</v>
      </c>
      <c r="B140" t="str">
        <f ca="1">IFERROR(__xludf.DUMMYFUNCTION("""COMPUTED_VALUE"""),"Gouveia, L. et al. (2000). *Proposing a knowledge network to assist 
education, training and learning.* CSEG/2/00. Cooperative System 
Engineering Group. Technical Reports 2000. Lancaster University. 
paper [ pdf(425KB)]")</f>
        <v>Gouveia, L. et al. (2000). *Proposing a knowledge network to assist 
education, training and learning.* CSEG/2/00. Cooperative System 
Engineering Group. Technical Reports 2000. Lancaster University. 
paper [ pdf(425KB)]</v>
      </c>
      <c r="C140" s="2">
        <f t="shared" ca="1" si="0"/>
        <v>20</v>
      </c>
      <c r="D140" t="str">
        <f t="shared" ca="1" si="22"/>
        <v xml:space="preserve">Gouveia, L. et al. </v>
      </c>
      <c r="E140" t="str">
        <f t="shared" ca="1" si="17"/>
        <v>2000</v>
      </c>
      <c r="F140" t="str">
        <f t="shared" ca="1" si="18"/>
        <v xml:space="preserve"> *Proposing a knowledge network to assist 
education, training and learning.*</v>
      </c>
      <c r="G140" s="3">
        <f t="shared" ca="1" si="19"/>
        <v>25</v>
      </c>
      <c r="H140" s="2">
        <f t="shared" ca="1" si="20"/>
        <v>102</v>
      </c>
      <c r="I140" t="e">
        <f t="shared" ca="1" si="21"/>
        <v>#VALUE!</v>
      </c>
      <c r="J140" s="3" t="e">
        <f t="shared" ca="1" si="23"/>
        <v>#VALUE!</v>
      </c>
      <c r="K140" t="str">
        <f t="shared" ca="1" si="6"/>
        <v xml:space="preserve">Gouveia, L. et al. </v>
      </c>
      <c r="L140" t="str">
        <f t="shared" ca="1" si="7"/>
        <v xml:space="preserve">Quental, C. </v>
      </c>
    </row>
    <row r="141" spans="1:15" ht="15.75" customHeight="1">
      <c r="A141">
        <f ca="1">IFERROR(__xludf.DUMMYFUNCTION("""COMPUTED_VALUE"""),1)</f>
        <v>1</v>
      </c>
      <c r="B141" t="str">
        <f ca="1">IFERROR(__xludf.DUMMYFUNCTION("""COMPUTED_VALUE"""),"Gouveia, L. et al. (2000). *Informing an information discovery tool for 
using gesture*. CSEG/1/00. Cooperative System Engineering Group. Technical 
Reports 2000. Lancaster University. 
paper [ pdf(12KB)]")</f>
        <v>Gouveia, L. et al. (2000). *Informing an information discovery tool for 
using gesture*. CSEG/1/00. Cooperative System Engineering Group. Technical 
Reports 2000. Lancaster University. 
paper [ pdf(12KB)]</v>
      </c>
      <c r="C141" s="2">
        <f t="shared" ca="1" si="0"/>
        <v>20</v>
      </c>
      <c r="D141" t="str">
        <f t="shared" ca="1" si="22"/>
        <v xml:space="preserve">Gouveia, L. et al. </v>
      </c>
      <c r="E141" t="str">
        <f t="shared" ca="1" si="17"/>
        <v>2000</v>
      </c>
      <c r="F141" t="str">
        <f t="shared" ca="1" si="18"/>
        <v xml:space="preserve"> *Informing an information discovery tool for 
using gesture*. </v>
      </c>
      <c r="G141" s="3">
        <f t="shared" ca="1" si="19"/>
        <v>25</v>
      </c>
      <c r="H141" s="2">
        <f t="shared" ca="1" si="20"/>
        <v>88</v>
      </c>
      <c r="I141" t="e">
        <f t="shared" ca="1" si="21"/>
        <v>#VALUE!</v>
      </c>
      <c r="J141" s="3" t="e">
        <f t="shared" ca="1" si="23"/>
        <v>#VALUE!</v>
      </c>
      <c r="K141" t="str">
        <f t="shared" ca="1" si="6"/>
        <v xml:space="preserve">Gouveia, L. et al. </v>
      </c>
      <c r="L141" t="str">
        <f t="shared" ca="1" si="7"/>
        <v xml:space="preserve">Quental, C. </v>
      </c>
    </row>
    <row r="142" spans="1:15" ht="15.75" customHeight="1">
      <c r="A142" t="str">
        <f ca="1">IFERROR(__xludf.DUMMYFUNCTION("""COMPUTED_VALUE"""),"_________")</f>
        <v>_________</v>
      </c>
      <c r="B142" t="str">
        <f ca="1">IFERROR(__xludf.DUMMYFUNCTION("""COMPUTED_VALUE"""),"relatórios de trabalho e projectos / work amd project reports")</f>
        <v>relatórios de trabalho e projectos / work amd project reports</v>
      </c>
      <c r="C142" s="2" t="e">
        <f t="shared" ca="1" si="0"/>
        <v>#VALUE!</v>
      </c>
      <c r="D142" t="e">
        <f t="shared" ca="1" si="22"/>
        <v>#VALUE!</v>
      </c>
      <c r="E142" t="e">
        <f t="shared" ca="1" si="17"/>
        <v>#VALUE!</v>
      </c>
      <c r="F142" t="e">
        <f t="shared" ca="1" si="18"/>
        <v>#VALUE!</v>
      </c>
      <c r="G142" s="3" t="e">
        <f t="shared" ca="1" si="19"/>
        <v>#VALUE!</v>
      </c>
      <c r="H142" s="2" t="e">
        <f t="shared" ca="1" si="20"/>
        <v>#VALUE!</v>
      </c>
      <c r="I142" t="e">
        <f t="shared" ca="1" si="21"/>
        <v>#VALUE!</v>
      </c>
      <c r="J142" s="3" t="e">
        <f t="shared" ca="1" si="23"/>
        <v>#VALUE!</v>
      </c>
      <c r="K142" t="e">
        <f t="shared" ca="1" si="6"/>
        <v>#VALUE!</v>
      </c>
      <c r="L142" t="str">
        <f t="shared" ca="1" si="7"/>
        <v xml:space="preserve">Quental, C. </v>
      </c>
    </row>
    <row r="143" spans="1:15" ht="15.75" customHeight="1">
      <c r="A143">
        <f ca="1">IFERROR(__xludf.DUMMYFUNCTION("""COMPUTED_VALUE"""),5)</f>
        <v>5</v>
      </c>
      <c r="B143" t="str">
        <f ca="1">IFERROR(__xludf.DUMMYFUNCTION("""COMPUTED_VALUE"""),"Gouveia, L. (2018). Evento de apresentações e partilha de conhecimento PhD 
CC, SiTeGI. Dia do Doutoramento em Ciências da Informação, ramo Tecnologia, 
Sistemas e Gestão da Informação. 20 de Julho. Universidade Fernando Pessoa. 
[ handle ]")</f>
        <v>Gouveia, L. (2018). Evento de apresentações e partilha de conhecimento PhD 
CC, SiTeGI. Dia do Doutoramento em Ciências da Informação, ramo Tecnologia, 
Sistemas e Gestão da Informação. 20 de Julho. Universidade Fernando Pessoa. 
[ handle ]</v>
      </c>
      <c r="C143" s="2">
        <f t="shared" ca="1" si="0"/>
        <v>13</v>
      </c>
      <c r="D143" t="str">
        <f t="shared" ca="1" si="22"/>
        <v xml:space="preserve">Gouveia, L. </v>
      </c>
      <c r="E143" t="str">
        <f t="shared" ca="1" si="17"/>
        <v>2018</v>
      </c>
      <c r="F143" t="str">
        <f t="shared" ca="1" si="18"/>
        <v xml:space="preserve"> Evento de apresentações e partilha de conhecimento PhD 
CC, SiTeGI. </v>
      </c>
      <c r="G143" s="3">
        <f t="shared" ca="1" si="19"/>
        <v>18</v>
      </c>
      <c r="H143" s="2">
        <f t="shared" ca="1" si="20"/>
        <v>87</v>
      </c>
      <c r="I143" t="e">
        <f t="shared" ca="1" si="21"/>
        <v>#VALUE!</v>
      </c>
      <c r="J143" s="3" t="e">
        <f t="shared" ca="1" si="23"/>
        <v>#VALUE!</v>
      </c>
      <c r="K143" t="str">
        <f t="shared" ca="1" si="6"/>
        <v xml:space="preserve">Gouveia, L. </v>
      </c>
      <c r="L143" t="str">
        <f t="shared" ca="1" si="7"/>
        <v xml:space="preserve">Quental, C. </v>
      </c>
    </row>
    <row r="144" spans="1:15" ht="15.75" customHeight="1">
      <c r="A144">
        <f ca="1">IFERROR(__xludf.DUMMYFUNCTION("""COMPUTED_VALUE"""),4)</f>
        <v>4</v>
      </c>
      <c r="B144" t="str">
        <f ca="1">IFERROR(__xludf.DUMMYFUNCTION("""COMPUTED_VALUE"""),"Gouveia, L. (coord). (2009). *Modelos de Governação na Sociedade da 
Informação e do Conhecimento*. Apresentação de Estudo APDSI. Associação 
para a Promoção e Desenvolvimento da Sociedade da Informação. 
apresentação [ slideshare ]")</f>
        <v>Gouveia, L. (coord). (2009). *Modelos de Governação na Sociedade da 
Informação e do Conhecimento*. Apresentação de Estudo APDSI. Associação 
para a Promoção e Desenvolvimento da Sociedade da Informação. 
apresentação [ slideshare ]</v>
      </c>
      <c r="C144" s="2">
        <f t="shared" ca="1" si="0"/>
        <v>13</v>
      </c>
      <c r="D144" t="str">
        <f t="shared" ca="1" si="22"/>
        <v xml:space="preserve">Gouveia, L. </v>
      </c>
      <c r="E144" t="str">
        <f t="shared" ca="1" si="17"/>
        <v>coor</v>
      </c>
      <c r="F144" t="str">
        <f t="shared" ca="1" si="18"/>
        <v xml:space="preserve"> (2009). </v>
      </c>
      <c r="G144" s="3">
        <f t="shared" ca="1" si="19"/>
        <v>19</v>
      </c>
      <c r="H144" s="2">
        <f t="shared" ca="1" si="20"/>
        <v>28</v>
      </c>
      <c r="I144" t="e">
        <f t="shared" ca="1" si="21"/>
        <v>#VALUE!</v>
      </c>
      <c r="J144" s="3" t="e">
        <f t="shared" ca="1" si="23"/>
        <v>#VALUE!</v>
      </c>
      <c r="K144" t="str">
        <f t="shared" ca="1" si="6"/>
        <v xml:space="preserve">Gouveia, L. </v>
      </c>
      <c r="L144" t="str">
        <f t="shared" ca="1" si="7"/>
        <v xml:space="preserve">Quental, C. </v>
      </c>
    </row>
    <row r="145" spans="1:13" ht="15.75" customHeight="1">
      <c r="A145">
        <f ca="1">IFERROR(__xludf.DUMMYFUNCTION("""COMPUTED_VALUE"""),3)</f>
        <v>3</v>
      </c>
      <c r="B145" t="str">
        <f ca="1">IFERROR(__xludf.DUMMYFUNCTION("""COMPUTED_VALUE"""),"Serrano, A. (redator); Gonçalves, F.; Santos, L.; Amaral, L.; Gouveia, L.; 
Neto, P.; Anunciação, P.; Vidigal, R. e Quaresma, R. (2007). *O Papel da 
Sociedade da Informação no aproximar das Regiões*. Estudo da APDSI. 
Associação Portuguesa para o Desenvo"&amp;"lvimento da Sociedade da Informação. 
Setembro.
texto [ pdf (948KB) ]")</f>
        <v>Serrano, A. (redator); Gonçalves, F.; Santos, L.; Amaral, L.; Gouveia, L.; 
Neto, P.; Anunciação, P.; Vidigal, R. e Quaresma, R. (2007). *O Papel da 
Sociedade da Informação no aproximar das Regiões*. Estudo da APDSI. 
Associação Portuguesa para o Desenvolvimento da Sociedade da Informação. 
Setembro.
texto [ pdf (948KB) ]</v>
      </c>
      <c r="C145" s="2">
        <f t="shared" ca="1" si="0"/>
        <v>13</v>
      </c>
      <c r="D145" t="str">
        <f t="shared" ca="1" si="22"/>
        <v xml:space="preserve">Serrano, A. </v>
      </c>
      <c r="E145" t="str">
        <f t="shared" ca="1" si="17"/>
        <v>reda</v>
      </c>
      <c r="F145" t="str">
        <f t="shared" ca="1" si="18"/>
        <v xml:space="preserve"> *O Papel da 
Sociedade da Informação no aproximar das Regiões*. </v>
      </c>
      <c r="G145" s="3">
        <f t="shared" ca="1" si="19"/>
        <v>135</v>
      </c>
      <c r="H145" s="2">
        <f t="shared" ca="1" si="20"/>
        <v>200</v>
      </c>
      <c r="I145" t="e">
        <f t="shared" ca="1" si="21"/>
        <v>#VALUE!</v>
      </c>
      <c r="J145" s="3" t="e">
        <f t="shared" ca="1" si="23"/>
        <v>#VALUE!</v>
      </c>
      <c r="K145" t="str">
        <f t="shared" ca="1" si="6"/>
        <v xml:space="preserve">Serrano, A. </v>
      </c>
      <c r="L145" t="str">
        <f t="shared" ca="1" si="7"/>
        <v xml:space="preserve">Quental, C. </v>
      </c>
    </row>
    <row r="146" spans="1:13" ht="15.75" customHeight="1">
      <c r="A146">
        <f ca="1">IFERROR(__xludf.DUMMYFUNCTION("""COMPUTED_VALUE"""),2)</f>
        <v>2</v>
      </c>
      <c r="B146" t="str">
        <f ca="1">IFERROR(__xludf.DUMMYFUNCTION("""COMPUTED_VALUE"""),"Gouveia, L. (2006). *O Contributo das Cidades e Regiões Digitais para o 
aproximar das regiões*. Contribuição para o grupo de interesse da APDSI: O 
Papel da Sociedade da Informação no aproximar das Regiões. Associação 
Portuguesa para o Desenvolvimento d"&amp;"a Sociedade da Informação.
texto [ pdf (56KB) ]")</f>
        <v>Gouveia, L. (2006). *O Contributo das Cidades e Regiões Digitais para o 
aproximar das regiões*. Contribuição para o grupo de interesse da APDSI: O 
Papel da Sociedade da Informação no aproximar das Regiões. Associação 
Portuguesa para o Desenvolvimento da Sociedade da Informação.
texto [ pdf (56KB) ]</v>
      </c>
      <c r="C146" s="2">
        <f t="shared" ca="1" si="0"/>
        <v>13</v>
      </c>
      <c r="D146" t="str">
        <f t="shared" ca="1" si="22"/>
        <v xml:space="preserve">Gouveia, L. </v>
      </c>
      <c r="E146" t="str">
        <f t="shared" ca="1" si="17"/>
        <v>2006</v>
      </c>
      <c r="F146" t="str">
        <f t="shared" ca="1" si="18"/>
        <v xml:space="preserve"> *O Contributo das Cidades e Regiões Digitais para o 
aproximar das regiões*. </v>
      </c>
      <c r="G146" s="3">
        <f t="shared" ca="1" si="19"/>
        <v>18</v>
      </c>
      <c r="H146" s="2">
        <f t="shared" ca="1" si="20"/>
        <v>96</v>
      </c>
      <c r="I146" t="e">
        <f t="shared" ca="1" si="21"/>
        <v>#VALUE!</v>
      </c>
      <c r="J146" s="3" t="e">
        <f t="shared" ca="1" si="23"/>
        <v>#VALUE!</v>
      </c>
      <c r="K146" t="str">
        <f t="shared" ca="1" si="6"/>
        <v xml:space="preserve">Gouveia, L. </v>
      </c>
      <c r="L146" t="str">
        <f t="shared" ca="1" si="7"/>
        <v xml:space="preserve">Quental, C. </v>
      </c>
    </row>
    <row r="147" spans="1:13" ht="15.75" customHeight="1">
      <c r="A147">
        <f ca="1">IFERROR(__xludf.DUMMYFUNCTION("""COMPUTED_VALUE"""),1)</f>
        <v>1</v>
      </c>
      <c r="B147" t="str">
        <f ca="1">IFERROR(__xludf.DUMMYFUNCTION("""COMPUTED_VALUE"""),"Gouveia, L. e Gouveia, J. e Amaral, L. e Carvalho, J. (2003). *Workshop 
Cidades Digitais*. Integrado na 4ª Conferência da Associação Portuguesa de 
Sistemas de Informação. UPT, Porto. 15 de Outubro.
e-book [ pdf (108KB) ]")</f>
        <v>Gouveia, L. e Gouveia, J. e Amaral, L. e Carvalho, J. (2003). *Workshop 
Cidades Digitais*. Integrado na 4ª Conferência da Associação Portuguesa de 
Sistemas de Informação. UPT, Porto. 15 de Outubro.
e-book [ pdf (108KB) ]</v>
      </c>
      <c r="C147" s="2">
        <f t="shared" ca="1" si="0"/>
        <v>55</v>
      </c>
      <c r="D147" t="str">
        <f t="shared" ca="1" si="22"/>
        <v xml:space="preserve">Gouveia, L. e Gouveia, J. e Amaral, L. e Carvalho, J. </v>
      </c>
      <c r="E147" t="str">
        <f t="shared" ca="1" si="17"/>
        <v>2003</v>
      </c>
      <c r="F147" t="str">
        <f t="shared" ca="1" si="18"/>
        <v xml:space="preserve"> *Workshop 
Cidades Digitais*. </v>
      </c>
      <c r="G147" s="3">
        <f t="shared" ca="1" si="19"/>
        <v>60</v>
      </c>
      <c r="H147" s="2">
        <f t="shared" ca="1" si="20"/>
        <v>91</v>
      </c>
      <c r="I147" t="e">
        <f t="shared" ca="1" si="21"/>
        <v>#VALUE!</v>
      </c>
      <c r="J147" s="3" t="e">
        <f t="shared" ca="1" si="23"/>
        <v>#VALUE!</v>
      </c>
      <c r="K147" t="str">
        <f t="shared" ca="1" si="6"/>
        <v xml:space="preserve">Gouveia, L. e Gouveia, J. e Amaral, L. e Carvalho, J. </v>
      </c>
      <c r="L147" t="str">
        <f t="shared" ca="1" si="7"/>
        <v xml:space="preserve">Quental, C. </v>
      </c>
    </row>
    <row r="148" spans="1:13" ht="15.75" customHeight="1">
      <c r="A148" t="str">
        <f ca="1">IFERROR(__xludf.DUMMYFUNCTION("""COMPUTED_VALUE"""),"[ top ]")</f>
        <v>[ top ]</v>
      </c>
      <c r="B148" t="str">
        <f ca="1">IFERROR(__xludf.DUMMYFUNCTION("""COMPUTED_VALUE"""),"*Conferências Internacionais* / *International Conferences*")</f>
        <v>*Conferências Internacionais* / *International Conferences*</v>
      </c>
      <c r="C148" s="2" t="e">
        <f t="shared" ca="1" si="0"/>
        <v>#VALUE!</v>
      </c>
      <c r="D148" t="e">
        <f t="shared" ca="1" si="22"/>
        <v>#VALUE!</v>
      </c>
      <c r="E148" t="e">
        <f t="shared" ca="1" si="17"/>
        <v>#VALUE!</v>
      </c>
      <c r="F148" t="e">
        <f t="shared" ca="1" si="18"/>
        <v>#VALUE!</v>
      </c>
      <c r="G148" s="3" t="e">
        <f t="shared" ca="1" si="19"/>
        <v>#VALUE!</v>
      </c>
      <c r="H148" s="2" t="e">
        <f t="shared" ca="1" si="20"/>
        <v>#VALUE!</v>
      </c>
      <c r="I148" t="e">
        <f t="shared" ca="1" si="21"/>
        <v>#VALUE!</v>
      </c>
      <c r="J148" s="3" t="e">
        <f t="shared" ca="1" si="23"/>
        <v>#VALUE!</v>
      </c>
      <c r="K148" t="e">
        <f t="shared" ca="1" si="6"/>
        <v>#VALUE!</v>
      </c>
      <c r="L148" t="str">
        <f t="shared" ca="1" si="7"/>
        <v xml:space="preserve">Quental, C. </v>
      </c>
    </row>
    <row r="149" spans="1:13" ht="15.75" customHeight="1">
      <c r="A149" t="str">
        <f ca="1">IFERROR(__xludf.DUMMYFUNCTION("""COMPUTED_VALUE"""),"_________")</f>
        <v>_________</v>
      </c>
      <c r="B149" t="str">
        <f ca="1">IFERROR(__xludf.DUMMYFUNCTION("""COMPUTED_VALUE"""),"comunicações convidadas / invited talks, keynotes")</f>
        <v>comunicações convidadas / invited talks, keynotes</v>
      </c>
      <c r="C149" s="2" t="e">
        <f t="shared" ca="1" si="0"/>
        <v>#VALUE!</v>
      </c>
      <c r="D149" t="e">
        <f t="shared" ca="1" si="22"/>
        <v>#VALUE!</v>
      </c>
      <c r="E149" t="e">
        <f t="shared" ca="1" si="17"/>
        <v>#VALUE!</v>
      </c>
      <c r="F149" t="e">
        <f t="shared" ca="1" si="18"/>
        <v>#VALUE!</v>
      </c>
      <c r="G149" s="3" t="e">
        <f t="shared" ca="1" si="19"/>
        <v>#VALUE!</v>
      </c>
      <c r="H149" s="2" t="e">
        <f t="shared" ca="1" si="20"/>
        <v>#VALUE!</v>
      </c>
      <c r="I149" t="e">
        <f t="shared" ca="1" si="21"/>
        <v>#VALUE!</v>
      </c>
      <c r="J149" s="3" t="e">
        <f t="shared" ca="1" si="23"/>
        <v>#VALUE!</v>
      </c>
      <c r="K149" t="e">
        <f t="shared" ca="1" si="6"/>
        <v>#VALUE!</v>
      </c>
      <c r="L149" t="str">
        <f t="shared" ca="1" si="7"/>
        <v xml:space="preserve">Quental, C. </v>
      </c>
    </row>
    <row r="150" spans="1:13" ht="15.75" customHeight="1">
      <c r="A150">
        <f ca="1">IFERROR(__xludf.DUMMYFUNCTION("""COMPUTED_VALUE"""),4)</f>
        <v>4</v>
      </c>
      <c r="B150" t="str">
        <f ca="1">IFERROR(__xludf.DUMMYFUNCTION("""COMPUTED_VALUE"""),"Gouveia, L. (2015). *Where is the Wisdom we lost in knowledge: security 
issues and human relationships in social media*. Invited Keynote at ECSM 
2015. 2nd European Conference on Social Media. Porto, Portugal. 9th July 
2015. 
[ handle]")</f>
        <v>Gouveia, L. (2015). *Where is the Wisdom we lost in knowledge: security 
issues and human relationships in social media*. Invited Keynote at ECSM 
2015. 2nd European Conference on Social Media. Porto, Portugal. 9th July 
2015. 
[ handle]</v>
      </c>
      <c r="C150" s="2">
        <f t="shared" ca="1" si="0"/>
        <v>13</v>
      </c>
      <c r="D150" t="str">
        <f t="shared" ca="1" si="22"/>
        <v xml:space="preserve">Gouveia, L. </v>
      </c>
      <c r="E150" t="str">
        <f t="shared" ca="1" si="17"/>
        <v>2015</v>
      </c>
      <c r="F150" t="str">
        <f t="shared" ca="1" si="18"/>
        <v xml:space="preserve"> *Where is the Wisdom we lost in knowledge: security 
issues and human relationships in social media*. </v>
      </c>
      <c r="G150" s="3">
        <f t="shared" ca="1" si="19"/>
        <v>18</v>
      </c>
      <c r="H150" s="2">
        <f t="shared" ca="1" si="20"/>
        <v>121</v>
      </c>
      <c r="I150" t="e">
        <f t="shared" ca="1" si="21"/>
        <v>#VALUE!</v>
      </c>
      <c r="J150" s="3" t="e">
        <f t="shared" ca="1" si="23"/>
        <v>#VALUE!</v>
      </c>
      <c r="K150" t="str">
        <f t="shared" ca="1" si="6"/>
        <v xml:space="preserve">Gouveia, L. </v>
      </c>
      <c r="L150" t="str">
        <f t="shared" ca="1" si="7"/>
        <v xml:space="preserve">Quental, C. </v>
      </c>
    </row>
    <row r="151" spans="1:13" ht="15.75" customHeight="1">
      <c r="A151">
        <f ca="1">IFERROR(__xludf.DUMMYFUNCTION("""COMPUTED_VALUE"""),3)</f>
        <v>3</v>
      </c>
      <c r="B151" t="str">
        <f ca="1">IFERROR(__xludf.DUMMYFUNCTION("""COMPUTED_VALUE"""),"Gouveia, L. (2015). G*estão da Informação em Museus. Uma contribuição para 
o seu estudo*. As Artes e as Ciências em Diálogo. Congresso Internacional 
2015. 23 e 24 de Fevereiro. Ordem dos Médicos. Green Lines Instituto. 
Porto. Portugal. 
[ handle ]")</f>
        <v>Gouveia, L. (2015). G*estão da Informação em Museus. Uma contribuição para 
o seu estudo*. As Artes e as Ciências em Diálogo. Congresso Internacional 
2015. 23 e 24 de Fevereiro. Ordem dos Médicos. Green Lines Instituto. 
Porto. Portugal. 
[ handle ]</v>
      </c>
      <c r="C151" s="2">
        <f t="shared" ca="1" si="0"/>
        <v>13</v>
      </c>
      <c r="D151" t="str">
        <f t="shared" ca="1" si="22"/>
        <v xml:space="preserve">Gouveia, L. </v>
      </c>
      <c r="E151" t="str">
        <f t="shared" ca="1" si="17"/>
        <v>2015</v>
      </c>
      <c r="F151" t="str">
        <f t="shared" ca="1" si="18"/>
        <v xml:space="preserve"> G*estão da Informação em Museus. </v>
      </c>
      <c r="G151" s="3">
        <f t="shared" ca="1" si="19"/>
        <v>18</v>
      </c>
      <c r="H151" s="2">
        <f t="shared" ca="1" si="20"/>
        <v>52</v>
      </c>
      <c r="I151" t="e">
        <f t="shared" ca="1" si="21"/>
        <v>#VALUE!</v>
      </c>
      <c r="J151" s="3" t="e">
        <f t="shared" ca="1" si="23"/>
        <v>#VALUE!</v>
      </c>
      <c r="K151" t="str">
        <f t="shared" ca="1" si="6"/>
        <v xml:space="preserve">Gouveia, L. </v>
      </c>
      <c r="L151" t="str">
        <f t="shared" ca="1" si="7"/>
        <v xml:space="preserve">Quental, C. </v>
      </c>
    </row>
    <row r="152" spans="1:13" ht="15.75" customHeight="1">
      <c r="A152">
        <f ca="1">IFERROR(__xludf.DUMMYFUNCTION("""COMPUTED_VALUE"""),2)</f>
        <v>2</v>
      </c>
      <c r="B152" t="str">
        <f ca="1">IFERROR(__xludf.DUMMYFUNCTION("""COMPUTED_VALUE"""),"Gouveia, L. (2015). *Cidades Inteligentes: um novo espaço digital para a 
cidade*. Palestra Cidades Inteligentes. Apresentação convidada, keynote. X 
Congresso Mundial de Administração. Auditório da Universidade Fernando 
Pessoa. 19 de Janeiro. 
[ handle "&amp;"]")</f>
        <v>Gouveia, L. (2015). *Cidades Inteligentes: um novo espaço digital para a 
cidade*. Palestra Cidades Inteligentes. Apresentação convidada, keynote. X 
Congresso Mundial de Administração. Auditório da Universidade Fernando 
Pessoa. 19 de Janeiro. 
[ handle ]</v>
      </c>
      <c r="C152" s="2">
        <f t="shared" ca="1" si="0"/>
        <v>13</v>
      </c>
      <c r="D152" t="str">
        <f t="shared" ca="1" si="22"/>
        <v xml:space="preserve">Gouveia, L. </v>
      </c>
      <c r="E152" t="str">
        <f t="shared" ca="1" si="17"/>
        <v>2015</v>
      </c>
      <c r="F152" t="str">
        <f t="shared" ca="1" si="18"/>
        <v xml:space="preserve"> *Cidades Inteligentes: um novo espaço digital para a 
cidade*. </v>
      </c>
      <c r="G152" s="3">
        <f t="shared" ca="1" si="19"/>
        <v>18</v>
      </c>
      <c r="H152" s="2">
        <f t="shared" ca="1" si="20"/>
        <v>82</v>
      </c>
      <c r="I152" t="e">
        <f t="shared" ca="1" si="21"/>
        <v>#VALUE!</v>
      </c>
      <c r="J152" s="3" t="e">
        <f t="shared" ca="1" si="23"/>
        <v>#VALUE!</v>
      </c>
      <c r="K152" t="str">
        <f t="shared" ca="1" si="6"/>
        <v xml:space="preserve">Gouveia, L. </v>
      </c>
      <c r="L152" t="str">
        <f t="shared" ca="1" si="7"/>
        <v xml:space="preserve">Quental, C. </v>
      </c>
    </row>
    <row r="153" spans="1:13" ht="15.75" customHeight="1">
      <c r="A153">
        <f ca="1">IFERROR(__xludf.DUMMYFUNCTION("""COMPUTED_VALUE"""),1)</f>
        <v>1</v>
      </c>
      <c r="B153" t="str">
        <f ca="1">IFERROR(__xludf.DUMMYFUNCTION("""COMPUTED_VALUE"""),"Gouveia, L. (2013). *Informing at the new UFP Hospital playing with 
information and the digital challenge*. Plenary Session and Keynote 
presentation. InSITE 2013: Informing Science + IT Education Conferences. 
3rd July. 
[ keynote ]")</f>
        <v>Gouveia, L. (2013). *Informing at the new UFP Hospital playing with 
information and the digital challenge*. Plenary Session and Keynote 
presentation. InSITE 2013: Informing Science + IT Education Conferences. 
3rd July. 
[ keynote ]</v>
      </c>
      <c r="C153" s="2">
        <f t="shared" ca="1" si="0"/>
        <v>13</v>
      </c>
      <c r="D153" t="str">
        <f t="shared" ca="1" si="22"/>
        <v xml:space="preserve">Gouveia, L. </v>
      </c>
      <c r="E153" t="str">
        <f t="shared" ca="1" si="17"/>
        <v>2013</v>
      </c>
      <c r="F153" t="str">
        <f t="shared" ca="1" si="18"/>
        <v xml:space="preserve"> *Informing at the new UFP Hospital playing with 
information and the digital challenge*. </v>
      </c>
      <c r="G153" s="3">
        <f t="shared" ca="1" si="19"/>
        <v>18</v>
      </c>
      <c r="H153" s="2">
        <f t="shared" ca="1" si="20"/>
        <v>108</v>
      </c>
      <c r="I153" t="e">
        <f t="shared" ca="1" si="21"/>
        <v>#VALUE!</v>
      </c>
      <c r="J153" s="3" t="e">
        <f t="shared" ca="1" si="23"/>
        <v>#VALUE!</v>
      </c>
      <c r="K153" t="str">
        <f t="shared" ca="1" si="6"/>
        <v xml:space="preserve">Gouveia, L. </v>
      </c>
      <c r="L153" t="str">
        <f t="shared" ca="1" si="7"/>
        <v xml:space="preserve">Quental, C. </v>
      </c>
    </row>
    <row r="154" spans="1:13" ht="15.75" customHeight="1">
      <c r="A154" t="str">
        <f ca="1">IFERROR(__xludf.DUMMYFUNCTION("""COMPUTED_VALUE"""),"_________")</f>
        <v>_________</v>
      </c>
      <c r="B154" t="str">
        <f ca="1">IFERROR(__xludf.DUMMYFUNCTION("""COMPUTED_VALUE"""),"comunicações / papers track")</f>
        <v>comunicações / papers track</v>
      </c>
      <c r="C154" s="2" t="e">
        <f t="shared" ca="1" si="0"/>
        <v>#VALUE!</v>
      </c>
      <c r="D154" t="e">
        <f t="shared" ca="1" si="22"/>
        <v>#VALUE!</v>
      </c>
      <c r="E154" t="e">
        <f t="shared" ca="1" si="17"/>
        <v>#VALUE!</v>
      </c>
      <c r="F154" t="e">
        <f t="shared" ca="1" si="18"/>
        <v>#VALUE!</v>
      </c>
      <c r="G154" s="3" t="e">
        <f t="shared" ca="1" si="19"/>
        <v>#VALUE!</v>
      </c>
      <c r="H154" s="2" t="e">
        <f t="shared" ca="1" si="20"/>
        <v>#VALUE!</v>
      </c>
      <c r="I154" t="e">
        <f t="shared" ca="1" si="21"/>
        <v>#VALUE!</v>
      </c>
      <c r="J154" s="3" t="e">
        <f t="shared" ca="1" si="23"/>
        <v>#VALUE!</v>
      </c>
      <c r="K154" t="e">
        <f t="shared" ca="1" si="6"/>
        <v>#VALUE!</v>
      </c>
      <c r="L154" t="str">
        <f t="shared" ca="1" si="7"/>
        <v xml:space="preserve">Quental, C. </v>
      </c>
    </row>
    <row r="155" spans="1:13" ht="15.75" customHeight="1">
      <c r="A155">
        <f ca="1">IFERROR(__xludf.DUMMYFUNCTION("""COMPUTED_VALUE"""),139)</f>
        <v>139</v>
      </c>
      <c r="B155" t="str">
        <f ca="1">IFERROR(__xludf.DUMMYFUNCTION("""COMPUTED_VALUE"""),"Sargo, S.; Gouveia, L. e Reis, P. (2019). A Sala de Aula Invertida num 
Cenário Potencial de Integração com a Wikipédia. International Wiki 
Scientific Conference (IWSC). 12-15 March. Presentation, 12th March. 
Faculty of Arts and Humanities of the Univer"&amp;"sity of Porto.
[ handle ]")</f>
        <v>Sargo, S.; Gouveia, L. e Reis, P. (2019). A Sala de Aula Invertida num 
Cenário Potencial de Integração com a Wikipédia. International Wiki 
Scientific Conference (IWSC). 12-15 March. Presentation, 12th March. 
Faculty of Arts and Humanities of the University of Porto.
[ handle ]</v>
      </c>
      <c r="C155" s="2">
        <f t="shared" ca="1" si="0"/>
        <v>35</v>
      </c>
      <c r="D155" t="str">
        <f t="shared" ca="1" si="22"/>
        <v xml:space="preserve">Sargo, S.; Gouveia, L. e Reis, P. </v>
      </c>
      <c r="E155" t="str">
        <f t="shared" ca="1" si="17"/>
        <v>2019</v>
      </c>
      <c r="F155" t="str">
        <f t="shared" ca="1" si="18"/>
        <v xml:space="preserve"> A Sala de Aula Invertida num 
Cenário Potencial de Integração com a Wikipédia. </v>
      </c>
      <c r="G155" s="3">
        <f t="shared" ca="1" si="19"/>
        <v>40</v>
      </c>
      <c r="H155" s="2">
        <f t="shared" ca="1" si="20"/>
        <v>120</v>
      </c>
      <c r="I155" t="str">
        <f t="shared" ca="1" si="21"/>
        <v>International Wiki 
Scientific Conference (IWSC).</v>
      </c>
      <c r="J155" s="3">
        <f t="shared" ca="1" si="23"/>
        <v>169</v>
      </c>
      <c r="K155" t="str">
        <f t="shared" ca="1" si="6"/>
        <v xml:space="preserve">Sargo, S.; Gouveia, L. e Reis, P. </v>
      </c>
      <c r="L155" t="str">
        <f t="shared" ca="1" si="7"/>
        <v xml:space="preserve">Quental, C. </v>
      </c>
      <c r="M155" t="str">
        <f ca="1">IFERROR(__xludf.DUMMYFUNCTION("""COMPUTED_VALUE""")," Gouveia, L. e Reis, P. ")</f>
        <v xml:space="preserve"> Gouveia, L. e Reis, P. </v>
      </c>
    </row>
    <row r="156" spans="1:13" ht="15.75" customHeight="1">
      <c r="A156">
        <f ca="1">IFERROR(__xludf.DUMMYFUNCTION("""COMPUTED_VALUE"""),138)</f>
        <v>138</v>
      </c>
      <c r="B156" t="str">
        <f ca="1">IFERROR(__xludf.DUMMYFUNCTION("""COMPUTED_VALUE"""),"Gouveia, L. (2018). Uso e exploração das TIC para melhorar a condição 
humana, no contexto do ensino especial. Painel 2. A Dimensão Tecnológica na 
Educação Especial. VI Congresso Ibérico Educação Especial. Educação e 
Inclusão na Lusofonia. 16 de novembr"&amp;"o. Misericórdia do Porto. Porto.
[ handle ]")</f>
        <v>Gouveia, L. (2018). Uso e exploração das TIC para melhorar a condição 
humana, no contexto do ensino especial. Painel 2. A Dimensão Tecnológica na 
Educação Especial. VI Congresso Ibérico Educação Especial. Educação e 
Inclusão na Lusofonia. 16 de novembro. Misericórdia do Porto. Porto.
[ handle ]</v>
      </c>
      <c r="C156" s="2">
        <f t="shared" ca="1" si="0"/>
        <v>13</v>
      </c>
      <c r="D156" t="str">
        <f t="shared" ca="1" si="22"/>
        <v xml:space="preserve">Gouveia, L. </v>
      </c>
      <c r="E156" t="str">
        <f t="shared" ca="1" si="17"/>
        <v>2018</v>
      </c>
      <c r="F156" t="str">
        <f t="shared" ca="1" si="18"/>
        <v xml:space="preserve"> Uso e exploração das TIC para melhorar a condição 
humana, no contexto do ensino especial. </v>
      </c>
      <c r="G156" s="3">
        <f t="shared" ca="1" si="19"/>
        <v>18</v>
      </c>
      <c r="H156" s="2">
        <f t="shared" ca="1" si="20"/>
        <v>110</v>
      </c>
      <c r="I156" t="e">
        <f t="shared" ca="1" si="21"/>
        <v>#VALUE!</v>
      </c>
      <c r="J156" s="3" t="e">
        <f t="shared" ca="1" si="23"/>
        <v>#VALUE!</v>
      </c>
      <c r="K156" t="str">
        <f t="shared" ca="1" si="6"/>
        <v xml:space="preserve">Gouveia, L. </v>
      </c>
      <c r="L156" t="str">
        <f t="shared" ca="1" si="7"/>
        <v xml:space="preserve">Quental, C. </v>
      </c>
    </row>
    <row r="157" spans="1:13" ht="15.75" customHeight="1">
      <c r="A157">
        <f ca="1">IFERROR(__xludf.DUMMYFUNCTION("""COMPUTED_VALUE"""),137)</f>
        <v>137</v>
      </c>
      <c r="B157" t="str">
        <f ca="1">IFERROR(__xludf.DUMMYFUNCTION("""COMPUTED_VALUE"""),"Araújo, P. e Gouveia, L. (2018). Educação Especial e a Cultura Digital: 
passos de uma trajetória de desafios e de construção de uma Educação 
Inclusiva. VI Congresso Ibérico Educação Especial. Educação e Inclusão na 
Lusofonia. 16 de novembro. Misericórd"&amp;"ia do Porto. Porto.
[ handle ]")</f>
        <v>Araújo, P. e Gouveia, L. (2018). Educação Especial e a Cultura Digital: 
passos de uma trajetória de desafios e de construção de uma Educação 
Inclusiva. VI Congresso Ibérico Educação Especial. Educação e Inclusão na 
Lusofonia. 16 de novembro. Misericórdia do Porto. Porto.
[ handle ]</v>
      </c>
      <c r="C157" s="2">
        <f t="shared" ca="1" si="0"/>
        <v>26</v>
      </c>
      <c r="D157" t="str">
        <f t="shared" ca="1" si="22"/>
        <v xml:space="preserve">Araújo, P. e Gouveia, L. </v>
      </c>
      <c r="E157" t="str">
        <f t="shared" ca="1" si="17"/>
        <v>2018</v>
      </c>
      <c r="F157" t="str">
        <f t="shared" ca="1" si="18"/>
        <v xml:space="preserve"> Educação Especial e a Cultura Digital: 
passos de uma trajetória de desafios e de construção de uma Educação 
Inclusiva. </v>
      </c>
      <c r="G157" s="3">
        <f t="shared" ca="1" si="19"/>
        <v>31</v>
      </c>
      <c r="H157" s="2">
        <f t="shared" ca="1" si="20"/>
        <v>153</v>
      </c>
      <c r="I157" t="e">
        <f t="shared" ca="1" si="21"/>
        <v>#VALUE!</v>
      </c>
      <c r="J157" s="3" t="e">
        <f t="shared" ca="1" si="23"/>
        <v>#VALUE!</v>
      </c>
      <c r="K157" t="str">
        <f t="shared" ca="1" si="6"/>
        <v xml:space="preserve">Araújo, P. e Gouveia, L. </v>
      </c>
      <c r="L157" t="str">
        <f t="shared" ca="1" si="7"/>
        <v xml:space="preserve">Quental, C. </v>
      </c>
    </row>
    <row r="158" spans="1:13" ht="15.75" customHeight="1">
      <c r="A158">
        <f ca="1">IFERROR(__xludf.DUMMYFUNCTION("""COMPUTED_VALUE"""),136)</f>
        <v>136</v>
      </c>
      <c r="B158" t="str">
        <f ca="1">IFERROR(__xludf.DUMMYFUNCTION("""COMPUTED_VALUE"""),"Domingues, F. e Gouveia, L. (2018). Treinar o sono. É possível? VI 
Congresso Ibérico Educação Especial. Educação e Inclusão na Lusofonia. 16 
de novembro. Misericórdia do Porto. Porto.
[ handle ]")</f>
        <v>Domingues, F. e Gouveia, L. (2018). Treinar o sono. É possível? VI 
Congresso Ibérico Educação Especial. Educação e Inclusão na Lusofonia. 16 
de novembro. Misericórdia do Porto. Porto.
[ handle ]</v>
      </c>
      <c r="C158" s="2">
        <f t="shared" ca="1" si="0"/>
        <v>29</v>
      </c>
      <c r="D158" t="str">
        <f t="shared" ca="1" si="22"/>
        <v xml:space="preserve">Domingues, F. e Gouveia, L. </v>
      </c>
      <c r="E158" t="str">
        <f t="shared" ca="1" si="17"/>
        <v>2018</v>
      </c>
      <c r="F158" t="str">
        <f t="shared" ca="1" si="18"/>
        <v xml:space="preserve"> Treinar o sono. </v>
      </c>
      <c r="G158" s="3">
        <f t="shared" ca="1" si="19"/>
        <v>34</v>
      </c>
      <c r="H158" s="2">
        <f t="shared" ca="1" si="20"/>
        <v>51</v>
      </c>
      <c r="I158" t="e">
        <f t="shared" ca="1" si="21"/>
        <v>#VALUE!</v>
      </c>
      <c r="J158" s="3" t="e">
        <f t="shared" ca="1" si="23"/>
        <v>#VALUE!</v>
      </c>
      <c r="K158" t="str">
        <f t="shared" ca="1" si="6"/>
        <v xml:space="preserve">Domingues, F. e Gouveia, L. </v>
      </c>
      <c r="L158" t="str">
        <f t="shared" ca="1" si="7"/>
        <v xml:space="preserve">Quental, C. </v>
      </c>
    </row>
    <row r="159" spans="1:13" ht="15.75" customHeight="1">
      <c r="A159">
        <f ca="1">IFERROR(__xludf.DUMMYFUNCTION("""COMPUTED_VALUE"""),135)</f>
        <v>135</v>
      </c>
      <c r="B159" t="str">
        <f ca="1">IFERROR(__xludf.DUMMYFUNCTION("""COMPUTED_VALUE"""),"Araújo, P. e Gouveia, L. (2018). Educação Especial na Cidade de Betim – 
Minas Gerais. Poster. VI Congresso Ibérico Educação Especial. Educação e 
Inclusão na Lusofonia. 16 de novembro. Misericórdia do Porto. Porto.
[ handle ]")</f>
        <v>Araújo, P. e Gouveia, L. (2018). Educação Especial na Cidade de Betim – 
Minas Gerais. Poster. VI Congresso Ibérico Educação Especial. Educação e 
Inclusão na Lusofonia. 16 de novembro. Misericórdia do Porto. Porto.
[ handle ]</v>
      </c>
      <c r="C159" s="2">
        <f t="shared" ca="1" si="0"/>
        <v>26</v>
      </c>
      <c r="D159" t="str">
        <f t="shared" ca="1" si="22"/>
        <v xml:space="preserve">Araújo, P. e Gouveia, L. </v>
      </c>
      <c r="E159" t="str">
        <f t="shared" ca="1" si="17"/>
        <v>2018</v>
      </c>
      <c r="F159" t="str">
        <f t="shared" ca="1" si="18"/>
        <v xml:space="preserve"> Educação Especial na Cidade de Betim – 
Minas Gerais. </v>
      </c>
      <c r="G159" s="3">
        <f t="shared" ca="1" si="19"/>
        <v>31</v>
      </c>
      <c r="H159" s="2">
        <f t="shared" ca="1" si="20"/>
        <v>86</v>
      </c>
      <c r="I159" t="e">
        <f t="shared" ca="1" si="21"/>
        <v>#VALUE!</v>
      </c>
      <c r="J159" s="3" t="e">
        <f t="shared" ca="1" si="23"/>
        <v>#VALUE!</v>
      </c>
      <c r="K159" t="str">
        <f t="shared" ca="1" si="6"/>
        <v xml:space="preserve">Araújo, P. e Gouveia, L. </v>
      </c>
      <c r="L159" t="str">
        <f t="shared" ca="1" si="7"/>
        <v xml:space="preserve">Quental, C. </v>
      </c>
    </row>
    <row r="160" spans="1:13" ht="15.75" customHeight="1">
      <c r="A160">
        <f ca="1">IFERROR(__xludf.DUMMYFUNCTION("""COMPUTED_VALUE"""),134)</f>
        <v>134</v>
      </c>
      <c r="B160" t="str">
        <f ca="1">IFERROR(__xludf.DUMMYFUNCTION("""COMPUTED_VALUE"""),"Costa, O. e Gouveia, L. (2018). Dropout in distance learning: A reference 
model for an integrated alert system. 9th Euro American Conference on 
Telematics and Information Systems (EATIS 2018). 12-15th November. Poster. 
Fortaleza. Brasil.")</f>
        <v>Costa, O. e Gouveia, L. (2018). Dropout in distance learning: A reference 
model for an integrated alert system. 9th Euro American Conference on 
Telematics and Information Systems (EATIS 2018). 12-15th November. Poster. 
Fortaleza. Brasil.</v>
      </c>
      <c r="C160" s="2">
        <f t="shared" ca="1" si="0"/>
        <v>25</v>
      </c>
      <c r="D160" t="str">
        <f t="shared" ca="1" si="22"/>
        <v xml:space="preserve">Costa, O. e Gouveia, L. </v>
      </c>
      <c r="E160" t="str">
        <f t="shared" ca="1" si="17"/>
        <v>2018</v>
      </c>
      <c r="F160" t="str">
        <f t="shared" ca="1" si="18"/>
        <v xml:space="preserve"> Dropout in distance learning: A reference 
model for an integrated alert system. </v>
      </c>
      <c r="G160" s="3">
        <f t="shared" ca="1" si="19"/>
        <v>30</v>
      </c>
      <c r="H160" s="2">
        <f t="shared" ca="1" si="20"/>
        <v>112</v>
      </c>
      <c r="I160" t="str">
        <f t="shared" ca="1" si="21"/>
        <v>9th Euro American Conference on 
Telematics and Information Systems (EATIS 2018).</v>
      </c>
      <c r="J160" s="3">
        <f t="shared" ca="1" si="23"/>
        <v>193</v>
      </c>
      <c r="K160" t="str">
        <f t="shared" ca="1" si="6"/>
        <v xml:space="preserve">Costa, O. e Gouveia, L. </v>
      </c>
      <c r="L160" t="str">
        <f t="shared" ca="1" si="7"/>
        <v xml:space="preserve">Quental, C. </v>
      </c>
    </row>
    <row r="161" spans="1:15" ht="15.75" customHeight="1">
      <c r="A161">
        <f ca="1">IFERROR(__xludf.DUMMYFUNCTION("""COMPUTED_VALUE"""),133)</f>
        <v>133</v>
      </c>
      <c r="B161" t="str">
        <f ca="1">IFERROR(__xludf.DUMMYFUNCTION("""COMPUTED_VALUE"""),"Martins, E.; Geraldes, W.; Afonseca, U. e Gouveia, L. (2018). O Uso do 
WhatsApp na Aprendizagem: Uma Experiência no Ensino Superior. 18ª 
Conferência da Associação Portuguesa de Sistemas de Informação (CAPSI 
2018). 12-13 de Outubro. Santarém. Instituto "&amp;"Politécnico de Santarém.
[ handle ]")</f>
        <v>Martins, E.; Geraldes, W.; Afonseca, U. e Gouveia, L. (2018). O Uso do 
WhatsApp na Aprendizagem: Uma Experiência no Ensino Superior. 18ª 
Conferência da Associação Portuguesa de Sistemas de Informação (CAPSI 
2018). 12-13 de Outubro. Santarém. Instituto Politécnico de Santarém.
[ handle ]</v>
      </c>
      <c r="C161" s="2">
        <f t="shared" ca="1" si="0"/>
        <v>55</v>
      </c>
      <c r="D161" t="str">
        <f t="shared" ca="1" si="22"/>
        <v xml:space="preserve">Martins, E.; Geraldes, W.; Afonseca, U. e Gouveia, L. </v>
      </c>
      <c r="E161" t="str">
        <f t="shared" ca="1" si="17"/>
        <v>2018</v>
      </c>
      <c r="F161" t="str">
        <f t="shared" ca="1" si="18"/>
        <v xml:space="preserve"> O Uso do 
WhatsApp na Aprendizagem: Uma Experiência no Ensino Superior. </v>
      </c>
      <c r="G161" s="3">
        <f t="shared" ca="1" si="19"/>
        <v>60</v>
      </c>
      <c r="H161" s="2">
        <f t="shared" ca="1" si="20"/>
        <v>133</v>
      </c>
      <c r="I161" t="str">
        <f t="shared" ca="1" si="21"/>
        <v>18ª 
Conferência da Associação Portuguesa de Sistemas de Informação (CAPSI 
2018).</v>
      </c>
      <c r="J161" s="3">
        <f t="shared" ca="1" si="23"/>
        <v>215</v>
      </c>
      <c r="K161" t="str">
        <f t="shared" ca="1" si="6"/>
        <v xml:space="preserve">Martins, E.; Geraldes, W.; Afonseca, U. e Gouveia, L. </v>
      </c>
      <c r="L161" t="str">
        <f t="shared" ca="1" si="7"/>
        <v xml:space="preserve">Quental, C. </v>
      </c>
      <c r="M161" t="str">
        <f ca="1">IFERROR(__xludf.DUMMYFUNCTION("""COMPUTED_VALUE""")," Geraldes, W.")</f>
        <v xml:space="preserve"> Geraldes, W.</v>
      </c>
      <c r="N161" t="str">
        <f ca="1">IFERROR(__xludf.DUMMYFUNCTION("""COMPUTED_VALUE""")," Afonseca, U. e Gouveia, L. ")</f>
        <v xml:space="preserve"> Afonseca, U. e Gouveia, L. </v>
      </c>
    </row>
    <row r="162" spans="1:15" ht="15.75" customHeight="1">
      <c r="A162">
        <f ca="1">IFERROR(__xludf.DUMMYFUNCTION("""COMPUTED_VALUE"""),132)</f>
        <v>132</v>
      </c>
      <c r="B162" t="str">
        <f ca="1">IFERROR(__xludf.DUMMYFUNCTION("""COMPUTED_VALUE"""),"Martins, E.; Geraldes, W.; Afonseca, U. e Gouveia, L. (2018). Uso do kahoot 
como ferramenta de aprendizagem. 18ª Conferência da Associação Portuguesa 
de Sistemas de Informação (CAPSI 2018). 12-13 de Outubro. Santarém. 
Instituto Politécnico de Santarém."&amp;"
[ handle ]")</f>
        <v>Martins, E.; Geraldes, W.; Afonseca, U. e Gouveia, L. (2018). Uso do kahoot 
como ferramenta de aprendizagem. 18ª Conferência da Associação Portuguesa 
de Sistemas de Informação (CAPSI 2018). 12-13 de Outubro. Santarém. 
Instituto Politécnico de Santarém.
[ handle ]</v>
      </c>
      <c r="C162" s="2">
        <f t="shared" ca="1" si="0"/>
        <v>55</v>
      </c>
      <c r="D162" t="str">
        <f t="shared" ca="1" si="22"/>
        <v xml:space="preserve">Martins, E.; Geraldes, W.; Afonseca, U. e Gouveia, L. </v>
      </c>
      <c r="E162" t="str">
        <f t="shared" ca="1" si="17"/>
        <v>2018</v>
      </c>
      <c r="F162" t="str">
        <f t="shared" ca="1" si="18"/>
        <v xml:space="preserve"> Uso do kahoot 
como ferramenta de aprendizagem. </v>
      </c>
      <c r="G162" s="3">
        <f t="shared" ca="1" si="19"/>
        <v>60</v>
      </c>
      <c r="H162" s="2">
        <f t="shared" ca="1" si="20"/>
        <v>109</v>
      </c>
      <c r="I162" t="str">
        <f t="shared" ca="1" si="21"/>
        <v>18ª Conferência da Associação Portuguesa 
de Sistemas de Informação (CAPSI 2018).</v>
      </c>
      <c r="J162" s="3">
        <f t="shared" ca="1" si="23"/>
        <v>190</v>
      </c>
      <c r="K162" t="str">
        <f t="shared" ca="1" si="6"/>
        <v xml:space="preserve">Martins, E.; Geraldes, W.; Afonseca, U. e Gouveia, L. </v>
      </c>
      <c r="L162" t="str">
        <f t="shared" ca="1" si="7"/>
        <v xml:space="preserve">Quental, C. </v>
      </c>
      <c r="M162" t="str">
        <f ca="1">IFERROR(__xludf.DUMMYFUNCTION("""COMPUTED_VALUE""")," Geraldes, W.")</f>
        <v xml:space="preserve"> Geraldes, W.</v>
      </c>
      <c r="N162" t="str">
        <f ca="1">IFERROR(__xludf.DUMMYFUNCTION("""COMPUTED_VALUE""")," Afonseca, U. e Gouveia, L. ")</f>
        <v xml:space="preserve"> Afonseca, U. e Gouveia, L. </v>
      </c>
    </row>
    <row r="163" spans="1:15" ht="15.75" customHeight="1">
      <c r="A163">
        <f ca="1">IFERROR(__xludf.DUMMYFUNCTION("""COMPUTED_VALUE"""),131)</f>
        <v>131</v>
      </c>
      <c r="B163" t="str">
        <f ca="1">IFERROR(__xludf.DUMMYFUNCTION("""COMPUTED_VALUE"""),"Martins, E.; Trindade, G.; Geraldes, W.; Afonseca, U. e Gouveia, L. (2018). 
Desenvolvimento de Aplicativo Móvel para Carona Acadêmica. 18ª Conferência 
da Associação Portuguesa de Sistemas de Informação (CAPSI 2018). 12-13 de 
Outubro. Santarém. Institut"&amp;"o Politécnico de Santarém.
[ handle ]")</f>
        <v>Martins, E.; Trindade, G.; Geraldes, W.; Afonseca, U. e Gouveia, L. (2018). 
Desenvolvimento de Aplicativo Móvel para Carona Acadêmica. 18ª Conferência 
da Associação Portuguesa de Sistemas de Informação (CAPSI 2018). 12-13 de 
Outubro. Santarém. Instituto Politécnico de Santarém.
[ handle ]</v>
      </c>
      <c r="C163" s="2">
        <f t="shared" ca="1" si="0"/>
        <v>69</v>
      </c>
      <c r="D163" t="str">
        <f t="shared" ca="1" si="22"/>
        <v xml:space="preserve">Martins, E.; Trindade, G.; Geraldes, W.; Afonseca, U. e Gouveia, L. </v>
      </c>
      <c r="E163" t="str">
        <f t="shared" ca="1" si="17"/>
        <v>2018</v>
      </c>
      <c r="F163" t="str">
        <f t="shared" ca="1" si="18"/>
        <v xml:space="preserve"> 
Desenvolvimento de Aplicativo Móvel para Carona Acadêmica. </v>
      </c>
      <c r="G163" s="3">
        <f t="shared" ca="1" si="19"/>
        <v>74</v>
      </c>
      <c r="H163" s="2">
        <f t="shared" ca="1" si="20"/>
        <v>135</v>
      </c>
      <c r="I163" t="str">
        <f t="shared" ca="1" si="21"/>
        <v>18ª Conferência 
da Associação Portuguesa de Sistemas de Informação (CAPSI 2018).</v>
      </c>
      <c r="J163" s="3">
        <f t="shared" ca="1" si="23"/>
        <v>216</v>
      </c>
      <c r="K163" t="str">
        <f t="shared" ca="1" si="6"/>
        <v xml:space="preserve">Martins, E.; Trindade, G.; Geraldes, W.; Afonseca, U. e Gouveia, L. </v>
      </c>
      <c r="L163" t="str">
        <f t="shared" ca="1" si="7"/>
        <v xml:space="preserve">Quental, C. </v>
      </c>
      <c r="M163" t="str">
        <f ca="1">IFERROR(__xludf.DUMMYFUNCTION("""COMPUTED_VALUE""")," Trindade, G.")</f>
        <v xml:space="preserve"> Trindade, G.</v>
      </c>
      <c r="N163" t="str">
        <f ca="1">IFERROR(__xludf.DUMMYFUNCTION("""COMPUTED_VALUE""")," Geraldes, W.")</f>
        <v xml:space="preserve"> Geraldes, W.</v>
      </c>
      <c r="O163" t="str">
        <f ca="1">IFERROR(__xludf.DUMMYFUNCTION("""COMPUTED_VALUE""")," Afonseca, U. e Gouveia, L. ")</f>
        <v xml:space="preserve"> Afonseca, U. e Gouveia, L. </v>
      </c>
    </row>
    <row r="164" spans="1:15" ht="15.75" customHeight="1">
      <c r="A164">
        <f ca="1">IFERROR(__xludf.DUMMYFUNCTION("""COMPUTED_VALUE"""),130)</f>
        <v>130</v>
      </c>
      <c r="B164" t="str">
        <f ca="1">IFERROR(__xludf.DUMMYFUNCTION("""COMPUTED_VALUE"""),"Silva, P. and Gouveia, L. (2018). A Model for Construction of high Quality 
Learning Environments - The relevant facts. EDULEARN18, 10th annual 
International Conference on Education and New Learning Technologies. 
Virtual Presentation. International Acad"&amp;"emy of Technology, Education and 
Development (IATED). 2-4 July. Palma de Mallorca, Spain. 
[ handle ]")</f>
        <v>Silva, P. and Gouveia, L. (2018). A Model for Construction of high Quality 
Learning Environments - The relevant facts. EDULEARN18, 10th annual 
International Conference on Education and New Learning Technologies. 
Virtual Presentation. International Academy of Technology, Education and 
Development (IATED). 2-4 July. Palma de Mallorca, Spain. 
[ handle ]</v>
      </c>
      <c r="C164" s="2">
        <f t="shared" ca="1" si="0"/>
        <v>27</v>
      </c>
      <c r="D164" t="str">
        <f t="shared" ca="1" si="22"/>
        <v xml:space="preserve">Silva, P. and Gouveia, L. </v>
      </c>
      <c r="E164" t="str">
        <f t="shared" ca="1" si="17"/>
        <v>2018</v>
      </c>
      <c r="F164" t="str">
        <f t="shared" ca="1" si="18"/>
        <v xml:space="preserve"> A Model for Construction of high Quality 
Learning Environments - The relevant facts. </v>
      </c>
      <c r="G164" s="3">
        <f t="shared" ca="1" si="19"/>
        <v>32</v>
      </c>
      <c r="H164" s="2">
        <f t="shared" ca="1" si="20"/>
        <v>119</v>
      </c>
      <c r="I164" t="str">
        <f t="shared" ca="1" si="21"/>
        <v>EDULEARN18, 10th annual 
International Conference on Education and New Learning Technologies. 
Virtual Presentation. International Academy of Technology, Education and 
Development (IATED).</v>
      </c>
      <c r="J164" s="3">
        <f t="shared" ca="1" si="23"/>
        <v>308</v>
      </c>
      <c r="K164" t="str">
        <f t="shared" ca="1" si="6"/>
        <v xml:space="preserve">Silva, P. ; Gouveia, L. </v>
      </c>
      <c r="L164" t="str">
        <f t="shared" ca="1" si="7"/>
        <v xml:space="preserve">Quental, C. </v>
      </c>
      <c r="M164" t="str">
        <f ca="1">IFERROR(__xludf.DUMMYFUNCTION("""COMPUTED_VALUE""")," Gouveia, L. ")</f>
        <v xml:space="preserve"> Gouveia, L. </v>
      </c>
    </row>
    <row r="165" spans="1:15" ht="15.75" customHeight="1">
      <c r="A165">
        <f ca="1">IFERROR(__xludf.DUMMYFUNCTION("""COMPUTED_VALUE"""),129)</f>
        <v>129</v>
      </c>
      <c r="B165" t="str">
        <f ca="1">IFERROR(__xludf.DUMMYFUNCTION("""COMPUTED_VALUE"""),"Silva, P. and Gouveia, L. (2018). The key factors for a learning space - 
time, space and activity. EDULEARN18, 10th annual International Conference 
on Education and New Learning Technologies. Virtual Presentation. 
International Academy of Technology, E"&amp;"ducation and Development (IATED). 2-4 
July. Palma de Mallorca, Spain. 
[ handle ]")</f>
        <v>Silva, P. and Gouveia, L. (2018). The key factors for a learning space - 
time, space and activity. EDULEARN18, 10th annual International Conference 
on Education and New Learning Technologies. Virtual Presentation. 
International Academy of Technology, Education and Development (IATED). 2-4 
July. Palma de Mallorca, Spain. 
[ handle ]</v>
      </c>
      <c r="C165" s="2">
        <f t="shared" ca="1" si="0"/>
        <v>27</v>
      </c>
      <c r="D165" t="str">
        <f t="shared" ca="1" si="22"/>
        <v xml:space="preserve">Silva, P. and Gouveia, L. </v>
      </c>
      <c r="E165" t="str">
        <f t="shared" ca="1" si="17"/>
        <v>2018</v>
      </c>
      <c r="F165" t="str">
        <f t="shared" ca="1" si="18"/>
        <v xml:space="preserve"> The key factors for a learning space - 
time, space and activity. </v>
      </c>
      <c r="G165" s="3">
        <f t="shared" ca="1" si="19"/>
        <v>32</v>
      </c>
      <c r="H165" s="2">
        <f t="shared" ca="1" si="20"/>
        <v>99</v>
      </c>
      <c r="I165" t="str">
        <f t="shared" ca="1" si="21"/>
        <v>EDULEARN18, 10th annual International Conference 
on Education and New Learning Technologies. Virtual Presentation. 
International Academy of Technology, Education and Development (IATED).</v>
      </c>
      <c r="J165" s="3">
        <f t="shared" ca="1" si="23"/>
        <v>287</v>
      </c>
      <c r="K165" t="str">
        <f t="shared" ca="1" si="6"/>
        <v xml:space="preserve">Silva, P. ; Gouveia, L. </v>
      </c>
      <c r="L165" t="str">
        <f t="shared" ca="1" si="7"/>
        <v xml:space="preserve">Quental, C. </v>
      </c>
      <c r="M165" t="str">
        <f ca="1">IFERROR(__xludf.DUMMYFUNCTION("""COMPUTED_VALUE""")," Gouveia, L. ")</f>
        <v xml:space="preserve"> Gouveia, L. </v>
      </c>
    </row>
    <row r="166" spans="1:15" ht="15.75" customHeight="1">
      <c r="A166">
        <f ca="1">IFERROR(__xludf.DUMMYFUNCTION("""COMPUTED_VALUE"""),128)</f>
        <v>128</v>
      </c>
      <c r="B166" t="str">
        <f ca="1">IFERROR(__xludf.DUMMYFUNCTION("""COMPUTED_VALUE"""),"Araújo, A. e Gouveia, L. (2018). Tecnologia de Informação e Educação 
aplicada ao Ensino SuperiorPercepções em uma IES em Belém do Pará. 
Seminário de Pesquisa. IV Seminário ForTEC. tecnologias digitais, Redes e 
Educação: perspectivas contemporâneas. 29 "&amp;"e 30 de Mai. Teatro UNEB. 
Salvador. Brasil. Anais do Seminário do ForTEC. Salvador, UNEB, DEDCI, 
PPGEduC. Vol III Formação e Hipertexto, pp 1056-1066. ISSN 2525-7625.
[ handle ]")</f>
        <v>Araújo, A. e Gouveia, L. (2018). Tecnologia de Informação e Educação 
aplicada ao Ensino SuperiorPercepções em uma IES em Belém do Pará. 
Seminário de Pesquisa. IV Seminário ForTEC. tecnologias digitais, Redes e 
Educação: perspectivas contemporâneas. 29 e 30 de Mai. Teatro UNEB. 
Salvador. Brasil. Anais do Seminário do ForTEC. Salvador, UNEB, DEDCI, 
PPGEduC. Vol III Formação e Hipertexto, pp 1056-1066. ISSN 2525-7625.
[ handle ]</v>
      </c>
      <c r="C166" s="2">
        <f t="shared" ca="1" si="0"/>
        <v>26</v>
      </c>
      <c r="D166" t="str">
        <f t="shared" ca="1" si="22"/>
        <v xml:space="preserve">Araújo, A. e Gouveia, L. </v>
      </c>
      <c r="E166" t="str">
        <f t="shared" ca="1" si="17"/>
        <v>2018</v>
      </c>
      <c r="F166" t="str">
        <f t="shared" ca="1" si="18"/>
        <v xml:space="preserve"> Tecnologia de Informação e Educação 
aplicada ao Ensino SuperiorPercepções em uma IES em Belém do Pará. </v>
      </c>
      <c r="G166" s="3">
        <f t="shared" ca="1" si="19"/>
        <v>31</v>
      </c>
      <c r="H166" s="2">
        <f t="shared" ca="1" si="20"/>
        <v>136</v>
      </c>
      <c r="I166" t="e">
        <f t="shared" ca="1" si="21"/>
        <v>#VALUE!</v>
      </c>
      <c r="J166" s="3" t="e">
        <f t="shared" ca="1" si="23"/>
        <v>#VALUE!</v>
      </c>
      <c r="K166" t="str">
        <f t="shared" ca="1" si="6"/>
        <v xml:space="preserve">Araújo, A. e Gouveia, L. </v>
      </c>
      <c r="L166" t="str">
        <f t="shared" ca="1" si="7"/>
        <v xml:space="preserve">Quental, C. </v>
      </c>
    </row>
    <row r="167" spans="1:15" ht="15.75" customHeight="1">
      <c r="A167">
        <f ca="1">IFERROR(__xludf.DUMMYFUNCTION("""COMPUTED_VALUE"""),127)</f>
        <v>127</v>
      </c>
      <c r="B167" t="str">
        <f ca="1">IFERROR(__xludf.DUMMYFUNCTION("""COMPUTED_VALUE"""),"Gouveia, L. (2018). Geography and its digital dimensions: a cities related 
discussion to join European inheritage. Congresso Internacional da Primeira 
Guerra Mundial. Centenário da Batalha de La Lys. Universidade Fernando 
Pessoa. Porto, Portugal. 9 a 1"&amp;"1 de abril. 
[ handle ]")</f>
        <v>Gouveia, L. (2018). Geography and its digital dimensions: a cities related 
discussion to join European inheritage. Congresso Internacional da Primeira 
Guerra Mundial. Centenário da Batalha de La Lys. Universidade Fernando 
Pessoa. Porto, Portugal. 9 a 11 de abril. 
[ handle ]</v>
      </c>
      <c r="C167" s="2">
        <f t="shared" ca="1" si="0"/>
        <v>13</v>
      </c>
      <c r="D167" t="str">
        <f t="shared" ca="1" si="22"/>
        <v xml:space="preserve">Gouveia, L. </v>
      </c>
      <c r="E167" t="str">
        <f t="shared" ca="1" si="17"/>
        <v>2018</v>
      </c>
      <c r="F167" t="str">
        <f t="shared" ca="1" si="18"/>
        <v xml:space="preserve"> Geography and its digital dimensions: a cities related 
discussion to join European inheritage. </v>
      </c>
      <c r="G167" s="3">
        <f t="shared" ca="1" si="19"/>
        <v>18</v>
      </c>
      <c r="H167" s="2">
        <f t="shared" ca="1" si="20"/>
        <v>115</v>
      </c>
      <c r="I167" t="e">
        <f t="shared" ca="1" si="21"/>
        <v>#VALUE!</v>
      </c>
      <c r="J167" s="3" t="e">
        <f t="shared" ca="1" si="23"/>
        <v>#VALUE!</v>
      </c>
      <c r="K167" t="str">
        <f t="shared" ca="1" si="6"/>
        <v xml:space="preserve">Gouveia, L. </v>
      </c>
      <c r="L167" t="str">
        <f t="shared" ca="1" si="7"/>
        <v xml:space="preserve">Quental, C. </v>
      </c>
    </row>
    <row r="168" spans="1:15" ht="15.75" customHeight="1">
      <c r="A168">
        <f ca="1">IFERROR(__xludf.DUMMYFUNCTION("""COMPUTED_VALUE"""),126)</f>
        <v>126</v>
      </c>
      <c r="B168" t="str">
        <f ca="1">IFERROR(__xludf.DUMMYFUNCTION("""COMPUTED_VALUE"""),"Sousa, A.; Agante, P.; Abrantes, S. and Gouveia, L. (2018). LIBEROPINION – 
A Web Platform for Public Participation. Paper Session 5: Digital 
Participation, Engagement, and Empowerment. 4th April. 11th International 
Conference on Theory and Practice of "&amp;"Electronic Governance (ICEGOV2018). 
4-6 April. Galway. Ireland. 
[ presentation ]")</f>
        <v>Sousa, A.; Agante, P.; Abrantes, S. and Gouveia, L. (2018). LIBEROPINION – 
A Web Platform for Public Participation. Paper Session 5: Digital 
Participation, Engagement, and Empowerment. 4th April. 11th International 
Conference on Theory and Practice of Electronic Governance (ICEGOV2018). 
4-6 April. Galway. Ireland. 
[ presentation ]</v>
      </c>
      <c r="C168" s="2">
        <f t="shared" ca="1" si="0"/>
        <v>53</v>
      </c>
      <c r="D168" t="str">
        <f t="shared" ca="1" si="22"/>
        <v xml:space="preserve">Sousa, A.; Agante, P.; Abrantes, S. and Gouveia, L. </v>
      </c>
      <c r="E168" t="str">
        <f t="shared" ca="1" si="17"/>
        <v>2018</v>
      </c>
      <c r="F168" t="str">
        <f t="shared" ca="1" si="18"/>
        <v xml:space="preserve"> LIBEROPINION – 
A Web Platform for Public Participation. </v>
      </c>
      <c r="G168" s="3">
        <f t="shared" ca="1" si="19"/>
        <v>58</v>
      </c>
      <c r="H168" s="2">
        <f t="shared" ca="1" si="20"/>
        <v>116</v>
      </c>
      <c r="I168" t="str">
        <f t="shared" ca="1" si="21"/>
        <v>Paper Session 5: Digital 
Participation, Engagement, and Empowerment. 4th April. 11th International 
Conference on Theory and Practice of Electronic Governance (ICEGOV2018).</v>
      </c>
      <c r="J168" s="3">
        <f t="shared" ca="1" si="23"/>
        <v>289</v>
      </c>
      <c r="K168" t="str">
        <f t="shared" ca="1" si="6"/>
        <v xml:space="preserve">Sousa, A.; Agante, P.; Abrantes, S. ; Gouveia, L. </v>
      </c>
      <c r="L168" t="str">
        <f t="shared" ca="1" si="7"/>
        <v xml:space="preserve">Quental, C. </v>
      </c>
      <c r="M168" t="str">
        <f ca="1">IFERROR(__xludf.DUMMYFUNCTION("""COMPUTED_VALUE""")," Agante, P.")</f>
        <v xml:space="preserve"> Agante, P.</v>
      </c>
      <c r="N168" t="str">
        <f ca="1">IFERROR(__xludf.DUMMYFUNCTION("""COMPUTED_VALUE""")," Abrantes, S. ")</f>
        <v xml:space="preserve"> Abrantes, S. </v>
      </c>
      <c r="O168" t="str">
        <f ca="1">IFERROR(__xludf.DUMMYFUNCTION("""COMPUTED_VALUE""")," Gouveia, L. ")</f>
        <v xml:space="preserve"> Gouveia, L. </v>
      </c>
    </row>
    <row r="169" spans="1:15" ht="15.75" customHeight="1">
      <c r="A169">
        <f ca="1">IFERROR(__xludf.DUMMYFUNCTION("""COMPUTED_VALUE"""),125)</f>
        <v>125</v>
      </c>
      <c r="B169" t="str">
        <f ca="1">IFERROR(__xludf.DUMMYFUNCTION("""COMPUTED_VALUE"""),"Khan, S. and Gouveia, L. (2017). An Empirical Factors that Influences the 
Adoption and Selection of Internet Service. Fourth Information Technology 
Trends (ITT 2017). 25-26 October. Higher Colleges of Technology - Al Ain 
Women’s College (AAWC). United "&amp;"Arabe Emirates (UAE).  
[ handle ]")</f>
        <v>Khan, S. and Gouveia, L. (2017). An Empirical Factors that Influences the 
Adoption and Selection of Internet Service. Fourth Information Technology 
Trends (ITT 2017). 25-26 October. Higher Colleges of Technology - Al Ain 
Women’s College (AAWC). United Arabe Emirates (UAE).  
[ handle ]</v>
      </c>
      <c r="C169" s="2">
        <f t="shared" ca="1" si="0"/>
        <v>26</v>
      </c>
      <c r="D169" t="str">
        <f t="shared" ca="1" si="22"/>
        <v xml:space="preserve">Khan, S. and Gouveia, L. </v>
      </c>
      <c r="E169" t="str">
        <f t="shared" ca="1" si="17"/>
        <v>2017</v>
      </c>
      <c r="F169" t="str">
        <f t="shared" ca="1" si="18"/>
        <v xml:space="preserve"> An Empirical Factors that Influences the 
Adoption and Selection of Internet Service. </v>
      </c>
      <c r="G169" s="3">
        <f t="shared" ca="1" si="19"/>
        <v>31</v>
      </c>
      <c r="H169" s="2">
        <f t="shared" ca="1" si="20"/>
        <v>118</v>
      </c>
      <c r="I169" t="str">
        <f t="shared" ca="1" si="21"/>
        <v>Fourth Information Technology 
Trends (ITT 2017).</v>
      </c>
      <c r="J169" s="3">
        <f t="shared" ca="1" si="23"/>
        <v>167</v>
      </c>
      <c r="K169" t="str">
        <f t="shared" ca="1" si="6"/>
        <v xml:space="preserve">Khan, S. ; Gouveia, L. </v>
      </c>
      <c r="L169" t="str">
        <f t="shared" ca="1" si="7"/>
        <v xml:space="preserve">Quental, C. </v>
      </c>
      <c r="M169" t="str">
        <f ca="1">IFERROR(__xludf.DUMMYFUNCTION("""COMPUTED_VALUE""")," Gouveia, L. ")</f>
        <v xml:space="preserve"> Gouveia, L. </v>
      </c>
    </row>
    <row r="170" spans="1:15" ht="15.75" customHeight="1">
      <c r="A170">
        <f ca="1">IFERROR(__xludf.DUMMYFUNCTION("""COMPUTED_VALUE"""),124)</f>
        <v>124</v>
      </c>
      <c r="B170" t="str">
        <f ca="1">IFERROR(__xludf.DUMMYFUNCTION("""COMPUTED_VALUE"""),"Araújo, P. e Gouveia, L. (2017). Plataforma Digital: Gestão da Informação e 
do Conhecimento. Esfera Digital Educacional. Apresentação oral do Poster. 
Colóquio Internacional EUTIC 2017. 20 de Outubro. Recife. Brasil.
[ handle ]")</f>
        <v>Araújo, P. e Gouveia, L. (2017). Plataforma Digital: Gestão da Informação e 
do Conhecimento. Esfera Digital Educacional. Apresentação oral do Poster. 
Colóquio Internacional EUTIC 2017. 20 de Outubro. Recife. Brasil.
[ handle ]</v>
      </c>
      <c r="C170" s="2">
        <f t="shared" ca="1" si="0"/>
        <v>26</v>
      </c>
      <c r="D170" t="str">
        <f t="shared" ca="1" si="22"/>
        <v xml:space="preserve">Araújo, P. e Gouveia, L. </v>
      </c>
      <c r="E170" t="str">
        <f t="shared" ca="1" si="17"/>
        <v>2017</v>
      </c>
      <c r="F170" t="str">
        <f t="shared" ca="1" si="18"/>
        <v xml:space="preserve"> Plataforma Digital: Gestão da Informação e 
do Conhecimento. </v>
      </c>
      <c r="G170" s="3">
        <f t="shared" ca="1" si="19"/>
        <v>31</v>
      </c>
      <c r="H170" s="2">
        <f t="shared" ca="1" si="20"/>
        <v>93</v>
      </c>
      <c r="I170" t="e">
        <f t="shared" ca="1" si="21"/>
        <v>#VALUE!</v>
      </c>
      <c r="J170" s="3" t="e">
        <f t="shared" ca="1" si="23"/>
        <v>#VALUE!</v>
      </c>
      <c r="K170" t="str">
        <f t="shared" ca="1" si="6"/>
        <v xml:space="preserve">Araújo, P. e Gouveia, L. </v>
      </c>
      <c r="L170" t="str">
        <f t="shared" ca="1" si="7"/>
        <v xml:space="preserve">Quental, C. </v>
      </c>
    </row>
    <row r="171" spans="1:15" ht="15.75" customHeight="1">
      <c r="A171">
        <f ca="1">IFERROR(__xludf.DUMMYFUNCTION("""COMPUTED_VALUE"""),123)</f>
        <v>123</v>
      </c>
      <c r="B171" t="str">
        <f ca="1">IFERROR(__xludf.DUMMYFUNCTION("""COMPUTED_VALUE"""),"Araújo, P. e Gouveia, L. (2017). Cultura Digital: uma discussão para uso e 
transformação no acesso e exploração da informação. Poster. Colóquio 
Internacional EUTIC 2017. Recife. Brasil.
[ handle ]")</f>
        <v>Araújo, P. e Gouveia, L. (2017). Cultura Digital: uma discussão para uso e 
transformação no acesso e exploração da informação. Poster. Colóquio 
Internacional EUTIC 2017. Recife. Brasil.
[ handle ]</v>
      </c>
      <c r="C171" s="2">
        <f t="shared" ca="1" si="0"/>
        <v>26</v>
      </c>
      <c r="D171" t="str">
        <f t="shared" ca="1" si="22"/>
        <v xml:space="preserve">Araújo, P. e Gouveia, L. </v>
      </c>
      <c r="E171" t="str">
        <f t="shared" ca="1" si="17"/>
        <v>2017</v>
      </c>
      <c r="F171" t="str">
        <f t="shared" ca="1" si="18"/>
        <v xml:space="preserve"> Cultura Digital: uma discussão para uso e 
transformação no acesso e exploração da informação. </v>
      </c>
      <c r="G171" s="3">
        <f t="shared" ca="1" si="19"/>
        <v>31</v>
      </c>
      <c r="H171" s="2">
        <f t="shared" ca="1" si="20"/>
        <v>127</v>
      </c>
      <c r="I171" t="e">
        <f t="shared" ca="1" si="21"/>
        <v>#VALUE!</v>
      </c>
      <c r="J171" s="3" t="e">
        <f t="shared" ca="1" si="23"/>
        <v>#VALUE!</v>
      </c>
      <c r="K171" t="str">
        <f t="shared" ca="1" si="6"/>
        <v xml:space="preserve">Araújo, P. e Gouveia, L. </v>
      </c>
      <c r="L171" t="str">
        <f t="shared" ca="1" si="7"/>
        <v xml:space="preserve">Quental, C. </v>
      </c>
    </row>
    <row r="172" spans="1:15" ht="15.75" customHeight="1">
      <c r="A172">
        <f ca="1">IFERROR(__xludf.DUMMYFUNCTION("""COMPUTED_VALUE"""),122)</f>
        <v>122</v>
      </c>
      <c r="B172" t="str">
        <f ca="1">IFERROR(__xludf.DUMMYFUNCTION("""COMPUTED_VALUE"""),"Salimo, G. e Gouveia, L. (2017). Contributos para o Ensino Superior em 
Moçambique. Os Desafios da Era Digital. Artigo REF nº 6953. 8º Congresso 
Luso-Moçambicano de Engenharia / V Congresso de Engenharia de Moçambique. 
CLME 2017/VCEM. Maputo, Moçambique"&amp;". 4 a 8 de Setembro. Ed: J. F. Silva 
Gomes et al.; Publ: INEGI/FEUP. 
[ paper ]")</f>
        <v>Salimo, G. e Gouveia, L. (2017). Contributos para o Ensino Superior em 
Moçambique. Os Desafios da Era Digital. Artigo REF nº 6953. 8º Congresso 
Luso-Moçambicano de Engenharia / V Congresso de Engenharia de Moçambique. 
CLME 2017/VCEM. Maputo, Moçambique. 4 a 8 de Setembro. Ed: J. F. Silva 
Gomes et al.; Publ: INEGI/FEUP. 
[ paper ]</v>
      </c>
      <c r="C172" s="2">
        <f t="shared" ca="1" si="0"/>
        <v>26</v>
      </c>
      <c r="D172" t="str">
        <f t="shared" ca="1" si="22"/>
        <v xml:space="preserve">Salimo, G. e Gouveia, L. </v>
      </c>
      <c r="E172" t="str">
        <f t="shared" ca="1" si="17"/>
        <v>2017</v>
      </c>
      <c r="F172" t="str">
        <f t="shared" ca="1" si="18"/>
        <v xml:space="preserve"> Contributos para o Ensino Superior em 
Moçambique. </v>
      </c>
      <c r="G172" s="3">
        <f t="shared" ca="1" si="19"/>
        <v>31</v>
      </c>
      <c r="H172" s="2">
        <f t="shared" ca="1" si="20"/>
        <v>83</v>
      </c>
      <c r="I172" t="e">
        <f t="shared" ca="1" si="21"/>
        <v>#VALUE!</v>
      </c>
      <c r="J172" s="3" t="e">
        <f t="shared" ca="1" si="23"/>
        <v>#VALUE!</v>
      </c>
      <c r="K172" t="str">
        <f t="shared" ca="1" si="6"/>
        <v xml:space="preserve">Salimo, G. e Gouveia, L. </v>
      </c>
      <c r="L172" t="str">
        <f t="shared" ca="1" si="7"/>
        <v xml:space="preserve">Quental, C. </v>
      </c>
    </row>
    <row r="173" spans="1:15" ht="15.75" customHeight="1">
      <c r="A173">
        <f ca="1">IFERROR(__xludf.DUMMYFUNCTION("""COMPUTED_VALUE"""),121)</f>
        <v>121</v>
      </c>
      <c r="B173" t="str">
        <f ca="1">IFERROR(__xludf.DUMMYFUNCTION("""COMPUTED_VALUE"""),"Araújo, P. e Gouveia, L. (2017). Governança Digital com o recurso de uma 
plataforma para a gestão da informação do Centro de Referência e Apoio a 
Educação Inclusiva. 14th CONTECSI – International Conference On Information 
Systems and Technology Managem"&amp;"ent. Universidade de São Paulo (USP). Brasil. 
24 a 26 de Maio. pp 5258-5275. ISSN 2448-1041. DOI: 
10.5748/9788599693131-14CONTECSI/DOC-5099
[ paper ]")</f>
        <v>Araújo, P. e Gouveia, L. (2017). Governança Digital com o recurso de uma 
plataforma para a gestão da informação do Centro de Referência e Apoio a 
Educação Inclusiva. 14th CONTECSI – International Conference On Information 
Systems and Technology Management. Universidade de São Paulo (USP). Brasil. 
24 a 26 de Maio. pp 5258-5275. ISSN 2448-1041. DOI: 
10.5748/9788599693131-14CONTECSI/DOC-5099
[ paper ]</v>
      </c>
      <c r="C173" s="2">
        <f t="shared" ca="1" si="0"/>
        <v>26</v>
      </c>
      <c r="D173" t="str">
        <f t="shared" ca="1" si="22"/>
        <v xml:space="preserve">Araújo, P. e Gouveia, L. </v>
      </c>
      <c r="E173" t="str">
        <f t="shared" ca="1" si="17"/>
        <v>2017</v>
      </c>
      <c r="F173" t="str">
        <f t="shared" ca="1" si="18"/>
        <v xml:space="preserve"> Governança Digital com o recurso de uma 
plataforma para a gestão da informação do Centro de Referência e Apoio a 
Educação Inclusiva. </v>
      </c>
      <c r="G173" s="3">
        <f t="shared" ca="1" si="19"/>
        <v>31</v>
      </c>
      <c r="H173" s="2">
        <f t="shared" ca="1" si="20"/>
        <v>167</v>
      </c>
      <c r="I173" t="str">
        <f t="shared" ca="1" si="21"/>
        <v>14th CONTECSI – International Conference On Information 
Systems and Technology Management. Universidade de São Paulo (USP).</v>
      </c>
      <c r="J173" s="3">
        <f t="shared" ca="1" si="23"/>
        <v>291</v>
      </c>
      <c r="K173" t="str">
        <f t="shared" ca="1" si="6"/>
        <v xml:space="preserve">Araújo, P. e Gouveia, L. </v>
      </c>
      <c r="L173" t="str">
        <f t="shared" ca="1" si="7"/>
        <v xml:space="preserve">Quental, C. </v>
      </c>
    </row>
    <row r="174" spans="1:15" ht="15.75" customHeight="1">
      <c r="A174">
        <f ca="1">IFERROR(__xludf.DUMMYFUNCTION("""COMPUTED_VALUE"""),120)</f>
        <v>120</v>
      </c>
      <c r="B174" t="str">
        <f ca="1">IFERROR(__xludf.DUMMYFUNCTION("""COMPUTED_VALUE"""),"Daradkeh, Y. and Gouveia, L.  (2017). *Keep using day-to-day tools in the 
classroom.*Workshop Perspectives of modern education and use of innovative 
technologies in training. International Scientific and Methodological 
Workshop.  March, 14th. The Facul"&amp;"ty of Basic Training of Kazakh university 
of Economics, Finance and International trade. 
[ handle ]")</f>
        <v>Daradkeh, Y. and Gouveia, L.  (2017). *Keep using day-to-day tools in the 
classroom.*Workshop Perspectives of modern education and use of innovative 
technologies in training. International Scientific and Methodological 
Workshop.  March, 14th. The Faculty of Basic Training of Kazakh university 
of Economics, Finance and International trade. 
[ handle ]</v>
      </c>
      <c r="C174" s="2">
        <f t="shared" ca="1" si="0"/>
        <v>31</v>
      </c>
      <c r="D174" t="str">
        <f t="shared" ca="1" si="22"/>
        <v xml:space="preserve">Daradkeh, Y. and Gouveia, L.  </v>
      </c>
      <c r="E174" t="str">
        <f t="shared" ca="1" si="17"/>
        <v>2017</v>
      </c>
      <c r="F174" t="str">
        <f t="shared" ca="1" si="18"/>
        <v xml:space="preserve"> *Keep using day-to-day tools in the 
classroom.*</v>
      </c>
      <c r="G174" s="3">
        <f t="shared" ca="1" si="19"/>
        <v>36</v>
      </c>
      <c r="H174" s="2">
        <f t="shared" ca="1" si="20"/>
        <v>85</v>
      </c>
      <c r="I174" t="e">
        <f t="shared" ca="1" si="21"/>
        <v>#VALUE!</v>
      </c>
      <c r="J174" s="3" t="e">
        <f t="shared" ca="1" si="23"/>
        <v>#VALUE!</v>
      </c>
      <c r="K174" t="str">
        <f t="shared" ca="1" si="6"/>
        <v xml:space="preserve">Daradkeh, Y. ; Gouveia, L.  </v>
      </c>
      <c r="L174" t="str">
        <f t="shared" ca="1" si="7"/>
        <v xml:space="preserve">Quental, C. </v>
      </c>
      <c r="M174" t="str">
        <f ca="1">IFERROR(__xludf.DUMMYFUNCTION("""COMPUTED_VALUE""")," Gouveia, L.  ")</f>
        <v xml:space="preserve"> Gouveia, L.  </v>
      </c>
    </row>
    <row r="175" spans="1:15" ht="15.75" customHeight="1">
      <c r="A175">
        <f ca="1">IFERROR(__xludf.DUMMYFUNCTION("""COMPUTED_VALUE"""),119)</f>
        <v>119</v>
      </c>
      <c r="B175" t="str">
        <f ca="1">IFERROR(__xludf.DUMMYFUNCTION("""COMPUTED_VALUE"""),"Quental, C. and Gouveia, L. (2016). e-consultation as a tool for 
participation in teachers’ unions. The greater the focus, the greater the 
number of visits. Full Paper. 11ª Conferência Ibérica de Sistemas e 
Tecnologias de Informação. 15 a 18 de Junho. "&amp;"Gran Canaria. Canarias. 
Espanha. In Rocha, A. et al. (2016). CISTI Proceedings. Vol I, pp 502-508. 
ISBN 978-989-98434-6-2.")</f>
        <v>Quental, C. and Gouveia, L. (2016). e-consultation as a tool for 
participation in teachers’ unions. The greater the focus, the greater the 
number of visits. Full Paper. 11ª Conferência Ibérica de Sistemas e 
Tecnologias de Informação. 15 a 18 de Junho. Gran Canaria. Canarias. 
Espanha. In Rocha, A. et al. (2016). CISTI Proceedings. Vol I, pp 502-508. 
ISBN 978-989-98434-6-2.</v>
      </c>
      <c r="C175" s="2">
        <f t="shared" ca="1" si="0"/>
        <v>29</v>
      </c>
      <c r="D175" t="str">
        <f t="shared" ca="1" si="22"/>
        <v xml:space="preserve">Quental, C. and Gouveia, L. </v>
      </c>
      <c r="E175" t="str">
        <f t="shared" ca="1" si="17"/>
        <v>2016</v>
      </c>
      <c r="F175" t="str">
        <f t="shared" ca="1" si="18"/>
        <v xml:space="preserve"> e-consultation as a tool for 
participation in teachers’ unions. </v>
      </c>
      <c r="G175" s="3">
        <f t="shared" ca="1" si="19"/>
        <v>34</v>
      </c>
      <c r="H175" s="2">
        <f t="shared" ca="1" si="20"/>
        <v>100</v>
      </c>
      <c r="I175" t="str">
        <f t="shared" ca="1" si="21"/>
        <v>The greater the focus, the greater the 
number of visits. Full Paper. 11ª Conferência Ibérica de Sistemas e 
Tecnologias de Informação. 15 a 18 de Junho. Gran Canaria. Canarias. 
Espanha. In Rocha, A. et al. (2016).</v>
      </c>
      <c r="J175" s="3">
        <f t="shared" ca="1" si="23"/>
        <v>315</v>
      </c>
      <c r="K175" t="str">
        <f t="shared" ca="1" si="6"/>
        <v xml:space="preserve">Quental, C. ; Gouveia, L. </v>
      </c>
      <c r="L175" t="str">
        <f t="shared" ca="1" si="7"/>
        <v xml:space="preserve">Quental, C. </v>
      </c>
      <c r="M175" t="str">
        <f ca="1">IFERROR(__xludf.DUMMYFUNCTION("""COMPUTED_VALUE""")," Gouveia, L. ")</f>
        <v xml:space="preserve"> Gouveia, L. </v>
      </c>
    </row>
    <row r="176" spans="1:15" ht="15.75" customHeight="1">
      <c r="A176">
        <f ca="1">IFERROR(__xludf.DUMMYFUNCTION("""COMPUTED_VALUE"""),118)</f>
        <v>118</v>
      </c>
      <c r="B176" t="str">
        <f ca="1">IFERROR(__xludf.DUMMYFUNCTION("""COMPUTED_VALUE"""),"Oliveira, M.; Louzada, M. e Gouveia, L. (2016). Desenvolvimento de um 
algoritmo avançado para mensuração de densidade óssea baseado na 
densitometria radiográfica. Symposium Doctoral Paper. 11ª Conferência 
Ibérica de Sistemas e Tecnologias de Informação"&amp;". 15 a 18 de Junho. Gran 
Canaria. Canarias. Espanha. In Rocha, A. et al. (2016). CISTI Proceedings. 
Vol II, pp 25-29. ISBN 978-989-98434-6-2.")</f>
        <v>Oliveira, M.; Louzada, M. e Gouveia, L. (2016). Desenvolvimento de um 
algoritmo avançado para mensuração de densidade óssea baseado na 
densitometria radiográfica. Symposium Doctoral Paper. 11ª Conferência 
Ibérica de Sistemas e Tecnologias de Informação. 15 a 18 de Junho. Gran 
Canaria. Canarias. Espanha. In Rocha, A. et al. (2016). CISTI Proceedings. 
Vol II, pp 25-29. ISBN 978-989-98434-6-2.</v>
      </c>
      <c r="C176" s="2">
        <f t="shared" ca="1" si="0"/>
        <v>41</v>
      </c>
      <c r="D176" t="str">
        <f t="shared" ca="1" si="22"/>
        <v xml:space="preserve">Oliveira, M.; Louzada, M. e Gouveia, L. </v>
      </c>
      <c r="E176" t="str">
        <f t="shared" ca="1" si="17"/>
        <v>2016</v>
      </c>
      <c r="F176" t="str">
        <f t="shared" ca="1" si="18"/>
        <v xml:space="preserve"> Desenvolvimento de um 
algoritmo avançado para mensuração de densidade óssea baseado na 
densitometria radiográfica. </v>
      </c>
      <c r="G176" s="3">
        <f t="shared" ca="1" si="19"/>
        <v>46</v>
      </c>
      <c r="H176" s="2">
        <f t="shared" ca="1" si="20"/>
        <v>164</v>
      </c>
      <c r="I176" t="str">
        <f t="shared" ca="1" si="21"/>
        <v>Symposium Doctoral Paper. 11ª Conferência 
Ibérica de Sistemas e Tecnologias de Informação. 15 a 18 de Junho. Gran 
Canaria. Canarias. Espanha. In Rocha, A. et al. (2016).</v>
      </c>
      <c r="J176" s="3">
        <f t="shared" ca="1" si="23"/>
        <v>335</v>
      </c>
      <c r="K176" t="str">
        <f t="shared" ca="1" si="6"/>
        <v xml:space="preserve">Oliveira, M.; Louzada, M. e Gouveia, L. </v>
      </c>
      <c r="L176" t="str">
        <f t="shared" ca="1" si="7"/>
        <v xml:space="preserve">Quental, C. </v>
      </c>
      <c r="M176" t="str">
        <f ca="1">IFERROR(__xludf.DUMMYFUNCTION("""COMPUTED_VALUE""")," Louzada, M. e Gouveia, L. ")</f>
        <v xml:space="preserve"> Louzada, M. e Gouveia, L. </v>
      </c>
    </row>
    <row r="177" spans="1:15" ht="15.75" customHeight="1">
      <c r="A177">
        <f ca="1">IFERROR(__xludf.DUMMYFUNCTION("""COMPUTED_VALUE"""),117)</f>
        <v>117</v>
      </c>
      <c r="B177" t="str">
        <f ca="1">IFERROR(__xludf.DUMMYFUNCTION("""COMPUTED_VALUE"""),"Daradkeh, Y; Pascal, O. Gouveia, L. (2015). Information Overload: a 
preliminary discussion. III International Scientific and Practical 
Conference Information Technologies. Problems and Solutions. 20-22 May. 
Ufa. Republic of Bashkortostan. Russia.")</f>
        <v>Daradkeh, Y; Pascal, O. Gouveia, L. (2015). Information Overload: a 
preliminary discussion. III International Scientific and Practical 
Conference Information Technologies. Problems and Solutions. 20-22 May. 
Ufa. Republic of Bashkortostan. Russia.</v>
      </c>
      <c r="C177" s="2">
        <f t="shared" ca="1" si="0"/>
        <v>37</v>
      </c>
      <c r="D177" t="str">
        <f t="shared" ca="1" si="22"/>
        <v xml:space="preserve">Daradkeh, Y; Pascal, O. Gouveia, L. </v>
      </c>
      <c r="E177" t="str">
        <f t="shared" ca="1" si="17"/>
        <v>2015</v>
      </c>
      <c r="F177" t="str">
        <f t="shared" ca="1" si="18"/>
        <v xml:space="preserve"> Information Overload: a 
preliminary discussion. </v>
      </c>
      <c r="G177" s="3">
        <f t="shared" ca="1" si="19"/>
        <v>42</v>
      </c>
      <c r="H177" s="2">
        <f t="shared" ca="1" si="20"/>
        <v>92</v>
      </c>
      <c r="I177" t="e">
        <f t="shared" ca="1" si="21"/>
        <v>#VALUE!</v>
      </c>
      <c r="J177" s="3" t="e">
        <f t="shared" ca="1" si="23"/>
        <v>#VALUE!</v>
      </c>
      <c r="K177" t="str">
        <f t="shared" ca="1" si="6"/>
        <v xml:space="preserve">Daradkeh, Y; Pascal, O. Gouveia, L. </v>
      </c>
      <c r="L177" t="str">
        <f t="shared" ca="1" si="7"/>
        <v xml:space="preserve">Quental, C. </v>
      </c>
      <c r="M177" t="str">
        <f ca="1">IFERROR(__xludf.DUMMYFUNCTION("""COMPUTED_VALUE""")," Pascal, O. Gouveia, L. ")</f>
        <v xml:space="preserve"> Pascal, O. Gouveia, L. </v>
      </c>
    </row>
    <row r="178" spans="1:15" ht="15.75" customHeight="1">
      <c r="A178">
        <f ca="1">IFERROR(__xludf.DUMMYFUNCTION("""COMPUTED_VALUE"""),116)</f>
        <v>116</v>
      </c>
      <c r="B178" t="str">
        <f ca="1">IFERROR(__xludf.DUMMYFUNCTION("""COMPUTED_VALUE"""),"Oliveira, M.; Nakamura, E.; Gouveia, L.; Massunari, L. &amp; Louzada, M. 
(2015). *Computational solution ""ODR-ATA"" to mesurement of bone density 
from radiographic density*. 4th Joint Meeting of ECTS and IBMS. European 
Calcified Tissue Society Internation"&amp;"al Bone &amp; Mineral Society. The 
Netherlands, Rotterdam. 25-28 April. ECTS-IBMS Abstracts (2015), pp 77. 
Poster on proceedings: IBMS BoneKEy 13, Article number: 673 (2015) | 
doi:10.1038/bonekey.2015.40")</f>
        <v>Oliveira, M.; Nakamura, E.; Gouveia, L.; Massunari, L. &amp; Louzada, M. 
(2015). *Computational solution "ODR-ATA" to mesurement of bone density 
from radiographic density*. 4th Joint Meeting of ECTS and IBMS. European 
Calcified Tissue Society International Bone &amp; Mineral Society. The 
Netherlands, Rotterdam. 25-28 April. ECTS-IBMS Abstracts (2015), pp 77. 
Poster on proceedings: IBMS BoneKEy 13, Article number: 673 (2015) | 
doi:10.1038/bonekey.2015.40</v>
      </c>
      <c r="C178" s="2">
        <f t="shared" ca="1" si="0"/>
        <v>71</v>
      </c>
      <c r="D178" t="str">
        <f t="shared" ca="1" si="22"/>
        <v xml:space="preserve">Oliveira, M.; Nakamura, E.; Gouveia, L.; Massunari, L. &amp; Louzada, M. 
</v>
      </c>
      <c r="E178" t="str">
        <f t="shared" ca="1" si="17"/>
        <v>2015</v>
      </c>
      <c r="F178" t="str">
        <f t="shared" ca="1" si="18"/>
        <v xml:space="preserve"> *Computational solution "ODR-ATA" to mesurement of bone density 
from radiographic density*. </v>
      </c>
      <c r="G178" s="3">
        <f t="shared" ca="1" si="19"/>
        <v>76</v>
      </c>
      <c r="H178" s="2">
        <f t="shared" ca="1" si="20"/>
        <v>170</v>
      </c>
      <c r="I178" t="e">
        <f t="shared" ca="1" si="21"/>
        <v>#VALUE!</v>
      </c>
      <c r="J178" s="3" t="e">
        <f t="shared" ca="1" si="23"/>
        <v>#VALUE!</v>
      </c>
      <c r="K178" t="str">
        <f t="shared" ca="1" si="6"/>
        <v xml:space="preserve">Oliveira, M.; Nakamura, E.; Gouveia, L.; Massunari, L. &amp; Louzada, M. 
</v>
      </c>
      <c r="L178" t="str">
        <f t="shared" ca="1" si="7"/>
        <v xml:space="preserve">Quental, C. </v>
      </c>
      <c r="M178" t="str">
        <f ca="1">IFERROR(__xludf.DUMMYFUNCTION("""COMPUTED_VALUE""")," Nakamura, E.")</f>
        <v xml:space="preserve"> Nakamura, E.</v>
      </c>
      <c r="N178" t="str">
        <f ca="1">IFERROR(__xludf.DUMMYFUNCTION("""COMPUTED_VALUE""")," Gouveia, L.")</f>
        <v xml:space="preserve"> Gouveia, L.</v>
      </c>
      <c r="O178" t="str">
        <f ca="1">IFERROR(__xludf.DUMMYFUNCTION("""COMPUTED_VALUE""")," Massunari, L. &amp; Louzada, M. 
")</f>
        <v xml:space="preserve"> Massunari, L. &amp; Louzada, M. 
</v>
      </c>
    </row>
    <row r="179" spans="1:15" ht="15.75" customHeight="1">
      <c r="A179">
        <f ca="1">IFERROR(__xludf.DUMMYFUNCTION("""COMPUTED_VALUE"""),115)</f>
        <v>115</v>
      </c>
      <c r="B179" t="str">
        <f ca="1">IFERROR(__xludf.DUMMYFUNCTION("""COMPUTED_VALUE"""),"Leal, J. e Gouveia, L. (2015). MOOC: Towards a Discourse on Higher 
Education Change. SEMiME. International Conference on Digital Exclusion in 
the Information and Knowledge Society. January 30-31. Lisbon, 
Portugal.ISBN: 9789727352043, pp 60-61.")</f>
        <v>Leal, J. e Gouveia, L. (2015). MOOC: Towards a Discourse on Higher 
Education Change. SEMiME. International Conference on Digital Exclusion in 
the Information and Knowledge Society. January 30-31. Lisbon, 
Portugal.ISBN: 9789727352043, pp 60-61.</v>
      </c>
      <c r="C179" s="2">
        <f t="shared" ca="1" si="0"/>
        <v>24</v>
      </c>
      <c r="D179" t="str">
        <f t="shared" ca="1" si="22"/>
        <v xml:space="preserve">Leal, J. e Gouveia, L. </v>
      </c>
      <c r="E179" t="str">
        <f t="shared" ca="1" si="17"/>
        <v>2015</v>
      </c>
      <c r="F179" t="str">
        <f t="shared" ca="1" si="18"/>
        <v xml:space="preserve"> MOOC: Towards a Discourse on Higher 
Education Change. </v>
      </c>
      <c r="G179" s="3">
        <f t="shared" ca="1" si="19"/>
        <v>29</v>
      </c>
      <c r="H179" s="2">
        <f t="shared" ca="1" si="20"/>
        <v>85</v>
      </c>
      <c r="I179" t="e">
        <f t="shared" ca="1" si="21"/>
        <v>#VALUE!</v>
      </c>
      <c r="J179" s="3" t="e">
        <f t="shared" ca="1" si="23"/>
        <v>#VALUE!</v>
      </c>
      <c r="K179" t="str">
        <f t="shared" ca="1" si="6"/>
        <v xml:space="preserve">Leal, J. e Gouveia, L. </v>
      </c>
      <c r="L179" t="str">
        <f t="shared" ca="1" si="7"/>
        <v xml:space="preserve">Quental, C. </v>
      </c>
    </row>
    <row r="180" spans="1:15" ht="15.75" customHeight="1">
      <c r="A180">
        <f ca="1">IFERROR(__xludf.DUMMYFUNCTION("""COMPUTED_VALUE"""),114)</f>
        <v>114</v>
      </c>
      <c r="B180" t="str">
        <f ca="1">IFERROR(__xludf.DUMMYFUNCTION("""COMPUTED_VALUE"""),"Leal, J. e Gouveia, L. (2014). MOOC: qual o papel na reconceptualização da 
Universidade? X EUTIC, Papel das TIC no Design de Processos Informacionais 
e Cognitivos. 22-24 de Outubro. Universidade Nova de Lisboa. In Tomé, I. 
(2015). Actas da X Conferênci"&amp;"a Internacional EUTIC 2014, pp 387-394.  ISBN 
978-989-95846-2-4.
[ handle ]")</f>
        <v>Leal, J. e Gouveia, L. (2014). MOOC: qual o papel na reconceptualização da 
Universidade? X EUTIC, Papel das TIC no Design de Processos Informacionais 
e Cognitivos. 22-24 de Outubro. Universidade Nova de Lisboa. In Tomé, I. 
(2015). Actas da X Conferência Internacional EUTIC 2014, pp 387-394.  ISBN 
978-989-95846-2-4.
[ handle ]</v>
      </c>
      <c r="C180" s="2">
        <f t="shared" ca="1" si="0"/>
        <v>24</v>
      </c>
      <c r="D180" t="str">
        <f t="shared" ca="1" si="22"/>
        <v xml:space="preserve">Leal, J. e Gouveia, L. </v>
      </c>
      <c r="E180" t="str">
        <f t="shared" ca="1" si="17"/>
        <v>2014</v>
      </c>
      <c r="F180" t="str">
        <f t="shared" ca="1" si="18"/>
        <v xml:space="preserve"> MOOC: qual o papel na reconceptualização da 
Universidade? X EUTIC, Papel das TIC no Design de Processos Informacionais 
e Cognitivos. </v>
      </c>
      <c r="G180" s="3">
        <f t="shared" ca="1" si="19"/>
        <v>29</v>
      </c>
      <c r="H180" s="2">
        <f t="shared" ca="1" si="20"/>
        <v>165</v>
      </c>
      <c r="I180" t="str">
        <f t="shared" ca="1" si="21"/>
        <v>22-24 de Outubro. Universidade Nova de Lisboa. In Tomé, I. 
(2015).</v>
      </c>
      <c r="J180" s="3">
        <f t="shared" ca="1" si="23"/>
        <v>232</v>
      </c>
      <c r="K180" t="str">
        <f t="shared" ca="1" si="6"/>
        <v xml:space="preserve">Leal, J. e Gouveia, L. </v>
      </c>
      <c r="L180" t="str">
        <f t="shared" ca="1" si="7"/>
        <v xml:space="preserve">Quental, C. </v>
      </c>
    </row>
    <row r="181" spans="1:15" ht="15.75" customHeight="1">
      <c r="A181">
        <f ca="1">IFERROR(__xludf.DUMMYFUNCTION("""COMPUTED_VALUE"""),113)</f>
        <v>113</v>
      </c>
      <c r="B181" t="str">
        <f ca="1">IFERROR(__xludf.DUMMYFUNCTION("""COMPUTED_VALUE"""),"Gouveia, L. (2014). Uma reflexão sobre o digital e o impacte no trabalho. 
XVI Congresso Internacional de Formação para o Trabalho Norte de Portugal - 
Galiza. Porto. 16 de Outubro.
[ handle ]")</f>
        <v>Gouveia, L. (2014). Uma reflexão sobre o digital e o impacte no trabalho. 
XVI Congresso Internacional de Formação para o Trabalho Norte de Portugal - 
Galiza. Porto. 16 de Outubro.
[ handle ]</v>
      </c>
      <c r="C181" s="2">
        <f t="shared" ca="1" si="0"/>
        <v>13</v>
      </c>
      <c r="D181" t="str">
        <f t="shared" ca="1" si="22"/>
        <v xml:space="preserve">Gouveia, L. </v>
      </c>
      <c r="E181" t="str">
        <f t="shared" ca="1" si="17"/>
        <v>2014</v>
      </c>
      <c r="F181" t="str">
        <f t="shared" ca="1" si="18"/>
        <v xml:space="preserve"> Uma reflexão sobre o digital e o impacte no trabalho. </v>
      </c>
      <c r="G181" s="3">
        <f t="shared" ca="1" si="19"/>
        <v>18</v>
      </c>
      <c r="H181" s="2">
        <f t="shared" ca="1" si="20"/>
        <v>73</v>
      </c>
      <c r="I181" t="e">
        <f t="shared" ca="1" si="21"/>
        <v>#VALUE!</v>
      </c>
      <c r="J181" s="3" t="e">
        <f t="shared" ca="1" si="23"/>
        <v>#VALUE!</v>
      </c>
      <c r="K181" t="str">
        <f t="shared" ca="1" si="6"/>
        <v xml:space="preserve">Gouveia, L. </v>
      </c>
      <c r="L181" t="str">
        <f t="shared" ca="1" si="7"/>
        <v xml:space="preserve">Quental, C. </v>
      </c>
    </row>
    <row r="182" spans="1:15" ht="15.75" customHeight="1">
      <c r="A182">
        <f ca="1">IFERROR(__xludf.DUMMYFUNCTION("""COMPUTED_VALUE"""),112)</f>
        <v>112</v>
      </c>
      <c r="B182" t="str">
        <f ca="1">IFERROR(__xludf.DUMMYFUNCTION("""COMPUTED_VALUE"""),"Sousa, A.; Agante, P.; Quental, C; Gouveia, L. (2014). *Model of Digital 
Mediation to support Communication between Teachers Unions and the 
Education Community*. International Conference on Electronic Government and 
the Information Systems Perspective "&amp;"(EGOVIS 2014). September 1-3, 2014, 
Munich, Germany. 
[ presentation ]")</f>
        <v>Sousa, A.; Agante, P.; Quental, C; Gouveia, L. (2014). *Model of Digital 
Mediation to support Communication between Teachers Unions and the 
Education Community*. International Conference on Electronic Government and 
the Information Systems Perspective (EGOVIS 2014). September 1-3, 2014, 
Munich, Germany. 
[ presentation ]</v>
      </c>
      <c r="C182" s="2">
        <f t="shared" ca="1" si="0"/>
        <v>48</v>
      </c>
      <c r="D182" t="str">
        <f t="shared" ca="1" si="22"/>
        <v xml:space="preserve">Sousa, A.; Agante, P.; Quental, C; Gouveia, L. </v>
      </c>
      <c r="E182" t="str">
        <f t="shared" ca="1" si="17"/>
        <v>2014</v>
      </c>
      <c r="F182" t="str">
        <f t="shared" ca="1" si="18"/>
        <v xml:space="preserve"> *Model of Digital 
Mediation to support Communication between Teachers Unions and the 
Education Community*. </v>
      </c>
      <c r="G182" s="3">
        <f t="shared" ca="1" si="19"/>
        <v>53</v>
      </c>
      <c r="H182" s="2">
        <f t="shared" ca="1" si="20"/>
        <v>163</v>
      </c>
      <c r="I182" t="str">
        <f t="shared" ca="1" si="21"/>
        <v>International Conference on Electronic Government and 
the Information Systems Perspective (EGOVIS 2014).</v>
      </c>
      <c r="J182" s="3">
        <f t="shared" ca="1" si="23"/>
        <v>268</v>
      </c>
      <c r="K182" t="str">
        <f t="shared" ca="1" si="6"/>
        <v xml:space="preserve">Sousa, A.; Agante, P.; Quental, C; Gouveia, L. </v>
      </c>
      <c r="L182" t="str">
        <f t="shared" ca="1" si="7"/>
        <v xml:space="preserve">Quental, C. </v>
      </c>
      <c r="M182" t="str">
        <f ca="1">IFERROR(__xludf.DUMMYFUNCTION("""COMPUTED_VALUE""")," Agante, P.")</f>
        <v xml:space="preserve"> Agante, P.</v>
      </c>
      <c r="N182" t="str">
        <f ca="1">IFERROR(__xludf.DUMMYFUNCTION("""COMPUTED_VALUE""")," Quental, C")</f>
        <v xml:space="preserve"> Quental, C</v>
      </c>
      <c r="O182" t="str">
        <f ca="1">IFERROR(__xludf.DUMMYFUNCTION("""COMPUTED_VALUE""")," Gouveia, L. ")</f>
        <v xml:space="preserve"> Gouveia, L. </v>
      </c>
    </row>
    <row r="183" spans="1:15" ht="15.75" customHeight="1">
      <c r="A183">
        <f ca="1">IFERROR(__xludf.DUMMYFUNCTION("""COMPUTED_VALUE"""),111)</f>
        <v>111</v>
      </c>
      <c r="B183" t="str">
        <f ca="1">IFERROR(__xludf.DUMMYFUNCTION("""COMPUTED_VALUE"""),"Sousa, A.; Agante, P.; Gouveia, L. (2014). *Communication Model for 
Generalist News Media Websites*. International Conference on Future 
Information Engineering (FIE 2014), July 7-8, 2014, Beijing, China). 
[ paper ]")</f>
        <v>Sousa, A.; Agante, P.; Gouveia, L. (2014). *Communication Model for 
Generalist News Media Websites*. International Conference on Future 
Information Engineering (FIE 2014), July 7-8, 2014, Beijing, China). 
[ paper ]</v>
      </c>
      <c r="C183" s="2">
        <f t="shared" ca="1" si="0"/>
        <v>36</v>
      </c>
      <c r="D183" t="str">
        <f t="shared" ca="1" si="22"/>
        <v xml:space="preserve">Sousa, A.; Agante, P.; Gouveia, L. </v>
      </c>
      <c r="E183" t="str">
        <f t="shared" ca="1" si="17"/>
        <v>2014</v>
      </c>
      <c r="F183" t="str">
        <f t="shared" ca="1" si="18"/>
        <v xml:space="preserve"> *Communication Model for 
Generalist News Media Websites*. </v>
      </c>
      <c r="G183" s="3">
        <f t="shared" ca="1" si="19"/>
        <v>41</v>
      </c>
      <c r="H183" s="2">
        <f t="shared" ca="1" si="20"/>
        <v>101</v>
      </c>
      <c r="I183" t="str">
        <f t="shared" ca="1" si="21"/>
        <v>International Conference on Future 
Information Engineering (FIE 2014), July 7-8, 2014, Beijing, China).</v>
      </c>
      <c r="J183" s="3">
        <f t="shared" ca="1" si="23"/>
        <v>205</v>
      </c>
      <c r="K183" t="str">
        <f t="shared" ca="1" si="6"/>
        <v xml:space="preserve">Sousa, A.; Agante, P.; Gouveia, L. </v>
      </c>
      <c r="L183" t="str">
        <f t="shared" ca="1" si="7"/>
        <v xml:space="preserve">Quental, C. </v>
      </c>
      <c r="M183" t="str">
        <f ca="1">IFERROR(__xludf.DUMMYFUNCTION("""COMPUTED_VALUE""")," Agante, P.")</f>
        <v xml:space="preserve"> Agante, P.</v>
      </c>
      <c r="N183" t="str">
        <f ca="1">IFERROR(__xludf.DUMMYFUNCTION("""COMPUTED_VALUE""")," Gouveia, L. ")</f>
        <v xml:space="preserve"> Gouveia, L. </v>
      </c>
    </row>
    <row r="184" spans="1:15" ht="15.75" customHeight="1">
      <c r="A184">
        <f ca="1">IFERROR(__xludf.DUMMYFUNCTION("""COMPUTED_VALUE"""),110)</f>
        <v>110</v>
      </c>
      <c r="B184" t="str">
        <f ca="1">IFERROR(__xludf.DUMMYFUNCTION("""COMPUTED_VALUE"""),"Salimo, G. e Gouveia, L. (2014). *Estudo preliminar para a adopção de 
práticas de EAD na Unizambeze*. In Gomes; António, C.; Afonso, . e Matos, 
A. (eds). Proceedings CLME2014 - 7º Congresso Luso-Moçambicano de 
Engenharia e IVCEM - 4º Congresso de Engen"&amp;"haria de Moçambique. Livro de 
Atas de Conferência Internacional, pp 17-18. ISBN: 978-989-98832-0-8.
[ handle ]")</f>
        <v>Salimo, G. e Gouveia, L. (2014). *Estudo preliminar para a adopção de 
práticas de EAD na Unizambeze*. In Gomes; António, C.; Afonso, . e Matos, 
A. (eds). Proceedings CLME2014 - 7º Congresso Luso-Moçambicano de 
Engenharia e IVCEM - 4º Congresso de Engenharia de Moçambique. Livro de 
Atas de Conferência Internacional, pp 17-18. ISBN: 978-989-98832-0-8.
[ handle ]</v>
      </c>
      <c r="C184" s="2">
        <f t="shared" ca="1" si="0"/>
        <v>26</v>
      </c>
      <c r="D184" t="str">
        <f t="shared" ca="1" si="22"/>
        <v xml:space="preserve">Salimo, G. e Gouveia, L. </v>
      </c>
      <c r="E184" t="str">
        <f t="shared" ca="1" si="17"/>
        <v>2014</v>
      </c>
      <c r="F184" t="str">
        <f t="shared" ca="1" si="18"/>
        <v xml:space="preserve"> *Estudo preliminar para a adopção de 
práticas de EAD na Unizambeze*. </v>
      </c>
      <c r="G184" s="3">
        <f t="shared" ca="1" si="19"/>
        <v>31</v>
      </c>
      <c r="H184" s="2">
        <f t="shared" ca="1" si="20"/>
        <v>102</v>
      </c>
      <c r="I184" t="str">
        <f t="shared" ca="1" si="21"/>
        <v>In Gomes; António, C.; Afonso, . e Matos, 
A. (eds).</v>
      </c>
      <c r="J184" s="3">
        <f t="shared" ca="1" si="23"/>
        <v>154</v>
      </c>
      <c r="K184" t="str">
        <f t="shared" ca="1" si="6"/>
        <v xml:space="preserve">Salimo, G. e Gouveia, L. </v>
      </c>
      <c r="L184" t="str">
        <f t="shared" ca="1" si="7"/>
        <v xml:space="preserve">Quental, C. </v>
      </c>
    </row>
    <row r="185" spans="1:15" ht="15.75" customHeight="1">
      <c r="A185">
        <f ca="1">IFERROR(__xludf.DUMMYFUNCTION("""COMPUTED_VALUE"""),109)</f>
        <v>109</v>
      </c>
      <c r="B185" t="str">
        <f ca="1">IFERROR(__xludf.DUMMYFUNCTION("""COMPUTED_VALUE"""),"Sousa, A.; Agante, P.; Gouveia, L. (2014). *Proposta de um Modelo Funcional 
para iniciativas de mediação digital em campanhas eleitorais*. Alvaro, R. 
et al. (eds). (2014). Sistemas y Tecnologías de Información. Actas de la 9ª 
Conferencia Ibérica de Sis"&amp;"temas y Tecnologías de Información. Barcelona, 
España. 18 al 21 de Junio de 2014 AISTI | La Salle URL | UPM | UOLS. ISBN: 
978-989-98434-3-1, Vol 1. pp 725-730.")</f>
        <v>Sousa, A.; Agante, P.; Gouveia, L. (2014). *Proposta de um Modelo Funcional 
para iniciativas de mediação digital em campanhas eleitorais*. Alvaro, R. 
et al. (eds). (2014). Sistemas y Tecnologías de Información. Actas de la 9ª 
Conferencia Ibérica de Sistemas y Tecnologías de Información. Barcelona, 
España. 18 al 21 de Junio de 2014 AISTI | La Salle URL | UPM | UOLS. ISBN: 
978-989-98434-3-1, Vol 1. pp 725-730.</v>
      </c>
      <c r="C185" s="2">
        <f t="shared" ca="1" si="0"/>
        <v>36</v>
      </c>
      <c r="D185" t="str">
        <f t="shared" ca="1" si="22"/>
        <v xml:space="preserve">Sousa, A.; Agante, P.; Gouveia, L. </v>
      </c>
      <c r="E185" t="str">
        <f t="shared" ca="1" si="17"/>
        <v>2014</v>
      </c>
      <c r="F185" t="str">
        <f t="shared" ca="1" si="18"/>
        <v xml:space="preserve"> *Proposta de um Modelo Funcional 
para iniciativas de mediação digital em campanhas eleitorais*. </v>
      </c>
      <c r="G185" s="3">
        <f t="shared" ca="1" si="19"/>
        <v>41</v>
      </c>
      <c r="H185" s="2">
        <f t="shared" ca="1" si="20"/>
        <v>139</v>
      </c>
      <c r="I185" t="str">
        <f t="shared" ca="1" si="21"/>
        <v>Alvaro, R. 
et al. (eds).</v>
      </c>
      <c r="J185" s="3">
        <f t="shared" ca="1" si="23"/>
        <v>164</v>
      </c>
      <c r="K185" t="str">
        <f t="shared" ca="1" si="6"/>
        <v xml:space="preserve">Sousa, A.; Agante, P.; Gouveia, L. </v>
      </c>
      <c r="L185" t="str">
        <f t="shared" ca="1" si="7"/>
        <v xml:space="preserve">Quental, C. </v>
      </c>
      <c r="M185" t="str">
        <f ca="1">IFERROR(__xludf.DUMMYFUNCTION("""COMPUTED_VALUE""")," Agante, P.")</f>
        <v xml:space="preserve"> Agante, P.</v>
      </c>
      <c r="N185" t="str">
        <f ca="1">IFERROR(__xludf.DUMMYFUNCTION("""COMPUTED_VALUE""")," Gouveia, L. ")</f>
        <v xml:space="preserve"> Gouveia, L. </v>
      </c>
    </row>
    <row r="186" spans="1:15" ht="15.75" customHeight="1">
      <c r="A186">
        <f ca="1">IFERROR(__xludf.DUMMYFUNCTION("""COMPUTED_VALUE"""),108)</f>
        <v>108</v>
      </c>
      <c r="B186" t="str">
        <f ca="1">IFERROR(__xludf.DUMMYFUNCTION("""COMPUTED_VALUE"""),"Rurato, P.; Gouveia, L. (2014). *The importance of the learner’s 
characteristics in distance learning environments: a case study*. Alvaro, 
R. et al. (eds). (2014). Sistemas y Tecnologías de Información. Actas de la 
9ª Conferencia Ibérica de Sistemas y "&amp;"Tecnologías de Información. Barcelona, 
España. 18 al 21 de Junio de 2014 AISTI | La Salle URL | UPM | UOLS. ISBN: 
978-989-98434-3-1, Vol 2. pp 247-253. Vol 1. pp 856-861.")</f>
        <v>Rurato, P.; Gouveia, L. (2014). *The importance of the learner’s 
characteristics in distance learning environments: a case study*. Alvaro, 
R. et al. (eds). (2014). Sistemas y Tecnologías de Información. Actas de la 
9ª Conferencia Ibérica de Sistemas y Tecnologías de Información. Barcelona, 
España. 18 al 21 de Junio de 2014 AISTI | La Salle URL | UPM | UOLS. ISBN: 
978-989-98434-3-1, Vol 2. pp 247-253. Vol 1. pp 856-861.</v>
      </c>
      <c r="C186" s="2">
        <f t="shared" ca="1" si="0"/>
        <v>25</v>
      </c>
      <c r="D186" t="str">
        <f t="shared" ca="1" si="22"/>
        <v xml:space="preserve">Rurato, P.; Gouveia, L. </v>
      </c>
      <c r="E186" t="str">
        <f t="shared" ca="1" si="17"/>
        <v>2014</v>
      </c>
      <c r="F186" t="str">
        <f t="shared" ca="1" si="18"/>
        <v xml:space="preserve"> *The importance of the learner’s 
characteristics in distance learning environments: a case study*. </v>
      </c>
      <c r="G186" s="3">
        <f t="shared" ca="1" si="19"/>
        <v>30</v>
      </c>
      <c r="H186" s="2">
        <f t="shared" ca="1" si="20"/>
        <v>131</v>
      </c>
      <c r="I186" t="str">
        <f t="shared" ca="1" si="21"/>
        <v>Alvaro, 
R. et al. (eds).</v>
      </c>
      <c r="J186" s="3">
        <f t="shared" ca="1" si="23"/>
        <v>156</v>
      </c>
      <c r="K186" t="str">
        <f t="shared" ca="1" si="6"/>
        <v xml:space="preserve">Rurato, P.; Gouveia, L. </v>
      </c>
      <c r="L186" t="str">
        <f t="shared" ca="1" si="7"/>
        <v xml:space="preserve">Quental, C. </v>
      </c>
      <c r="M186" t="str">
        <f ca="1">IFERROR(__xludf.DUMMYFUNCTION("""COMPUTED_VALUE""")," Gouveia, L. ")</f>
        <v xml:space="preserve"> Gouveia, L. </v>
      </c>
    </row>
    <row r="187" spans="1:15" ht="15.75" customHeight="1">
      <c r="A187">
        <f ca="1">IFERROR(__xludf.DUMMYFUNCTION("""COMPUTED_VALUE"""),107)</f>
        <v>107</v>
      </c>
      <c r="B187" t="str">
        <f ca="1">IFERROR(__xludf.DUMMYFUNCTION("""COMPUTED_VALUE"""),"Quental, C.; Gouveia, L. (2014). *Participação pública com recurso a meios 
digitais: será que os políticos utilizam novos meios com estratégias 
antigas*. Alvaro, R. et al. (eds). (2014). Sistemas y Tecnologías de 
Información. Actas de la 9ª Conferencia"&amp;" Ibérica de Sistemas y Tecnologías 
de Información. Barcelona, España. 18 al 21 de Junio de 2014 AISTI | La 
Salle URL | UPM | UOLS. ISBN: 978-989-98434-3-1, Vol 2. pp 247-253.")</f>
        <v>Quental, C.; Gouveia, L. (2014). *Participação pública com recurso a meios 
digitais: será que os políticos utilizam novos meios com estratégias 
antigas*. Alvaro, R. et al. (eds). (2014). Sistemas y Tecnologías de 
Información. Actas de la 9ª Conferencia Ibérica de Sistemas y Tecnologías 
de Información. Barcelona, España. 18 al 21 de Junio de 2014 AISTI | La 
Salle URL | UPM | UOLS. ISBN: 978-989-98434-3-1, Vol 2. pp 247-253.</v>
      </c>
      <c r="C187" s="2">
        <f t="shared" ca="1" si="0"/>
        <v>26</v>
      </c>
      <c r="D187" t="str">
        <f t="shared" ca="1" si="22"/>
        <v xml:space="preserve">Quental, C.; Gouveia, L. </v>
      </c>
      <c r="E187" t="str">
        <f t="shared" ca="1" si="17"/>
        <v>2014</v>
      </c>
      <c r="F187" t="str">
        <f t="shared" ca="1" si="18"/>
        <v xml:space="preserve"> *Participação pública com recurso a meios 
digitais: será que os políticos utilizam novos meios com estratégias 
antigas*. </v>
      </c>
      <c r="G187" s="3">
        <f t="shared" ca="1" si="19"/>
        <v>31</v>
      </c>
      <c r="H187" s="2">
        <f t="shared" ca="1" si="20"/>
        <v>155</v>
      </c>
      <c r="I187" t="str">
        <f t="shared" ca="1" si="21"/>
        <v>Alvaro, R. et al. (eds).</v>
      </c>
      <c r="J187" s="3">
        <f t="shared" ca="1" si="23"/>
        <v>179</v>
      </c>
      <c r="K187" t="str">
        <f t="shared" ca="1" si="6"/>
        <v xml:space="preserve">Quental, C.; Gouveia, L. </v>
      </c>
      <c r="L187" t="str">
        <f t="shared" ca="1" si="7"/>
        <v xml:space="preserve">Quental, C. </v>
      </c>
      <c r="M187" t="str">
        <f ca="1">IFERROR(__xludf.DUMMYFUNCTION("""COMPUTED_VALUE""")," Gouveia, L. ")</f>
        <v xml:space="preserve"> Gouveia, L. </v>
      </c>
    </row>
    <row r="188" spans="1:15" ht="15.75" customHeight="1">
      <c r="A188">
        <f ca="1">IFERROR(__xludf.DUMMYFUNCTION("""COMPUTED_VALUE"""),106)</f>
        <v>106</v>
      </c>
      <c r="B188" t="str">
        <f ca="1">IFERROR(__xludf.DUMMYFUNCTION("""COMPUTED_VALUE"""),"Leal, J.; Gouveia, L. (2014). *MOOC e reconceptualização do Ensino na 
Universidade*. Alvaro, R. et al. (eds). (2014). Sistemas y Tecnologías de 
Información. Actas de la 9ª Conferencia Ibérica de Sistemas y Tecnologías 
de Información. Barcelona, España."&amp;" 18 al 21 de Junio de 2014 AISTI | La 
Salle URL | UPM | UOLS. ISBN: 978-989-98434-3-1, Vol 2. pp 226-228.")</f>
        <v>Leal, J.; Gouveia, L. (2014). *MOOC e reconceptualização do Ensino na 
Universidade*. Alvaro, R. et al. (eds). (2014). Sistemas y Tecnologías de 
Información. Actas de la 9ª Conferencia Ibérica de Sistemas y Tecnologías 
de Información. Barcelona, España. 18 al 21 de Junio de 2014 AISTI | La 
Salle URL | UPM | UOLS. ISBN: 978-989-98434-3-1, Vol 2. pp 226-228.</v>
      </c>
      <c r="C188" s="2">
        <f t="shared" ca="1" si="0"/>
        <v>23</v>
      </c>
      <c r="D188" t="str">
        <f t="shared" ca="1" si="22"/>
        <v xml:space="preserve">Leal, J.; Gouveia, L. </v>
      </c>
      <c r="E188" t="str">
        <f t="shared" ca="1" si="17"/>
        <v>2014</v>
      </c>
      <c r="F188" t="str">
        <f t="shared" ca="1" si="18"/>
        <v xml:space="preserve"> *MOOC e reconceptualização do Ensino na 
Universidade*. </v>
      </c>
      <c r="G188" s="3">
        <f t="shared" ca="1" si="19"/>
        <v>28</v>
      </c>
      <c r="H188" s="2">
        <f t="shared" ca="1" si="20"/>
        <v>85</v>
      </c>
      <c r="I188" t="str">
        <f t="shared" ca="1" si="21"/>
        <v>Alvaro, R. et al. (eds).</v>
      </c>
      <c r="J188" s="3">
        <f t="shared" ca="1" si="23"/>
        <v>109</v>
      </c>
      <c r="K188" t="str">
        <f t="shared" ca="1" si="6"/>
        <v xml:space="preserve">Leal, J.; Gouveia, L. </v>
      </c>
      <c r="L188" t="str">
        <f t="shared" ca="1" si="7"/>
        <v xml:space="preserve">Quental, C. </v>
      </c>
      <c r="M188" t="str">
        <f ca="1">IFERROR(__xludf.DUMMYFUNCTION("""COMPUTED_VALUE""")," Gouveia, L. ")</f>
        <v xml:space="preserve"> Gouveia, L. </v>
      </c>
    </row>
    <row r="189" spans="1:15" ht="15.75" customHeight="1">
      <c r="A189">
        <f ca="1">IFERROR(__xludf.DUMMYFUNCTION("""COMPUTED_VALUE"""),105)</f>
        <v>105</v>
      </c>
      <c r="B189" t="str">
        <f ca="1">IFERROR(__xludf.DUMMYFUNCTION("""COMPUTED_VALUE"""),"Sousa, A.; Agante, P.; Gouveia, L. (2014). *Communication Model for Sports 
Media Web Portals*. 2014 AASRI Conference on  Sports Engineering and 
Computer Science (SECS 2014). June 21-22, 2014, London, England. 
[ paper ]")</f>
        <v>Sousa, A.; Agante, P.; Gouveia, L. (2014). *Communication Model for Sports 
Media Web Portals*. 2014 AASRI Conference on  Sports Engineering and 
Computer Science (SECS 2014). June 21-22, 2014, London, England. 
[ paper ]</v>
      </c>
      <c r="C189" s="2">
        <f t="shared" ca="1" si="0"/>
        <v>36</v>
      </c>
      <c r="D189" t="str">
        <f t="shared" ca="1" si="22"/>
        <v xml:space="preserve">Sousa, A.; Agante, P.; Gouveia, L. </v>
      </c>
      <c r="E189" t="str">
        <f t="shared" ca="1" si="17"/>
        <v>2014</v>
      </c>
      <c r="F189" t="str">
        <f t="shared" ca="1" si="18"/>
        <v xml:space="preserve"> *Communication Model for Sports 
Media Web Portals*. </v>
      </c>
      <c r="G189" s="3">
        <f t="shared" ca="1" si="19"/>
        <v>41</v>
      </c>
      <c r="H189" s="2">
        <f t="shared" ca="1" si="20"/>
        <v>95</v>
      </c>
      <c r="I189" t="str">
        <f t="shared" ca="1" si="21"/>
        <v>2014 AASRI Conference on  Sports Engineering and 
Computer Science (SECS 2014).</v>
      </c>
      <c r="J189" s="3">
        <f t="shared" ca="1" si="23"/>
        <v>174</v>
      </c>
      <c r="K189" t="str">
        <f t="shared" ca="1" si="6"/>
        <v xml:space="preserve">Sousa, A.; Agante, P.; Gouveia, L. </v>
      </c>
      <c r="L189" t="str">
        <f t="shared" ca="1" si="7"/>
        <v xml:space="preserve">Quental, C. </v>
      </c>
      <c r="M189" t="str">
        <f ca="1">IFERROR(__xludf.DUMMYFUNCTION("""COMPUTED_VALUE""")," Agante, P.")</f>
        <v xml:space="preserve"> Agante, P.</v>
      </c>
      <c r="N189" t="str">
        <f ca="1">IFERROR(__xludf.DUMMYFUNCTION("""COMPUTED_VALUE""")," Gouveia, L. ")</f>
        <v xml:space="preserve"> Gouveia, L. </v>
      </c>
    </row>
    <row r="190" spans="1:15" ht="15.75" customHeight="1">
      <c r="A190">
        <f ca="1">IFERROR(__xludf.DUMMYFUNCTION("""COMPUTED_VALUE"""),104)</f>
        <v>104</v>
      </c>
      <c r="B190" t="str">
        <f ca="1">IFERROR(__xludf.DUMMYFUNCTION("""COMPUTED_VALUE"""),"Martins, S.; Lopes, A.; Gouveia, L. (2014). Issues and specifications on a 
prescription system for controlling patient takes and  drugs usage. 2nd 
IPLeiria International Health Congress: Challenges &amp; Innovation in Health 
(Health@IPLeiria 2014). Institu"&amp;"to Politécnico de Leiria, 9-10 Maio, Leiria, 
Portugal. 
[ presentation ]")</f>
        <v>Martins, S.; Lopes, A.; Gouveia, L. (2014). Issues and specifications on a 
prescription system for controlling patient takes and  drugs usage. 2nd 
IPLeiria International Health Congress: Challenges &amp; Innovation in Health 
(Health@IPLeiria 2014). Instituto Politécnico de Leiria, 9-10 Maio, Leiria, 
Portugal. 
[ presentation ]</v>
      </c>
      <c r="C190" s="2">
        <f t="shared" ca="1" si="0"/>
        <v>37</v>
      </c>
      <c r="D190" t="str">
        <f t="shared" ca="1" si="22"/>
        <v xml:space="preserve">Martins, S.; Lopes, A.; Gouveia, L. </v>
      </c>
      <c r="E190" t="str">
        <f t="shared" ca="1" si="17"/>
        <v>2014</v>
      </c>
      <c r="F190" t="str">
        <f t="shared" ca="1" si="18"/>
        <v xml:space="preserve"> Issues and specifications on a 
prescription system for controlling patient takes and  drugs usage. </v>
      </c>
      <c r="G190" s="3">
        <f t="shared" ca="1" si="19"/>
        <v>42</v>
      </c>
      <c r="H190" s="2">
        <f t="shared" ca="1" si="20"/>
        <v>143</v>
      </c>
      <c r="I190" t="str">
        <f t="shared" ca="1" si="21"/>
        <v>2nd 
IPLeiria International Health Congress: Challenges &amp; Innovation in Health 
(Health@IPLeiria 2014).</v>
      </c>
      <c r="J190" s="3">
        <f t="shared" ca="1" si="23"/>
        <v>246</v>
      </c>
      <c r="K190" t="str">
        <f t="shared" ca="1" si="6"/>
        <v xml:space="preserve">Martins, S.; Lopes, A.; Gouveia, L. </v>
      </c>
      <c r="L190" t="str">
        <f t="shared" ca="1" si="7"/>
        <v xml:space="preserve">Quental, C. </v>
      </c>
      <c r="M190" t="str">
        <f ca="1">IFERROR(__xludf.DUMMYFUNCTION("""COMPUTED_VALUE""")," Lopes, A.")</f>
        <v xml:space="preserve"> Lopes, A.</v>
      </c>
      <c r="N190" t="str">
        <f ca="1">IFERROR(__xludf.DUMMYFUNCTION("""COMPUTED_VALUE""")," Gouveia, L. ")</f>
        <v xml:space="preserve"> Gouveia, L. </v>
      </c>
    </row>
    <row r="191" spans="1:15" ht="15.75" customHeight="1">
      <c r="A191">
        <f ca="1">IFERROR(__xludf.DUMMYFUNCTION("""COMPUTED_VALUE"""),103)</f>
        <v>103</v>
      </c>
      <c r="B191" t="str">
        <f ca="1">IFERROR(__xludf.DUMMYFUNCTION("""COMPUTED_VALUE"""),"Sousa, A.; Agante, P. and Gouveia, L. (2013). Model of Digital Mediation 
for Direct Public Participation in electoral Periods. How important are the 
Media? ICEGOV. 7th International Conference on Theory and Practice of 
Electronic Governance. 22-25 Octo"&amp;"ber. Seoul. Korea, pp 303-312. ISBN 
78-1-4503-2456-4. 
[ presentation ]")</f>
        <v>Sousa, A.; Agante, P. and Gouveia, L. (2013). Model of Digital Mediation 
for Direct Public Participation in electoral Periods. How important are the 
Media? ICEGOV. 7th International Conference on Theory and Practice of 
Electronic Governance. 22-25 October. Seoul. Korea, pp 303-312. ISBN 
78-1-4503-2456-4. 
[ presentation ]</v>
      </c>
      <c r="C191" s="2">
        <f t="shared" ca="1" si="0"/>
        <v>39</v>
      </c>
      <c r="D191" t="str">
        <f t="shared" ca="1" si="22"/>
        <v xml:space="preserve">Sousa, A.; Agante, P. and Gouveia, L. </v>
      </c>
      <c r="E191" t="str">
        <f t="shared" ca="1" si="17"/>
        <v>2013</v>
      </c>
      <c r="F191" t="str">
        <f t="shared" ca="1" si="18"/>
        <v xml:space="preserve"> Model of Digital Mediation 
for Direct Public Participation in electoral Periods. </v>
      </c>
      <c r="G191" s="3">
        <f t="shared" ca="1" si="19"/>
        <v>44</v>
      </c>
      <c r="H191" s="2">
        <f t="shared" ca="1" si="20"/>
        <v>127</v>
      </c>
      <c r="I191" t="e">
        <f t="shared" ca="1" si="21"/>
        <v>#VALUE!</v>
      </c>
      <c r="J191" s="3" t="e">
        <f t="shared" ca="1" si="23"/>
        <v>#VALUE!</v>
      </c>
      <c r="K191" t="str">
        <f t="shared" ca="1" si="6"/>
        <v xml:space="preserve">Sousa, A.; Agante, P. ; Gouveia, L. </v>
      </c>
      <c r="L191" t="str">
        <f t="shared" ca="1" si="7"/>
        <v xml:space="preserve">Quental, C. </v>
      </c>
      <c r="M191" t="str">
        <f ca="1">IFERROR(__xludf.DUMMYFUNCTION("""COMPUTED_VALUE""")," Agante, P. ")</f>
        <v xml:space="preserve"> Agante, P. </v>
      </c>
      <c r="N191" t="str">
        <f ca="1">IFERROR(__xludf.DUMMYFUNCTION("""COMPUTED_VALUE""")," Gouveia, L. ")</f>
        <v xml:space="preserve"> Gouveia, L. </v>
      </c>
    </row>
    <row r="192" spans="1:15" ht="15.75" customHeight="1">
      <c r="A192">
        <f ca="1">IFERROR(__xludf.DUMMYFUNCTION("""COMPUTED_VALUE"""),102)</f>
        <v>102</v>
      </c>
      <c r="B192" t="str">
        <f ca="1">IFERROR(__xludf.DUMMYFUNCTION("""COMPUTED_VALUE"""),"Silva, P and Gouveia, L. (2013). The Impact of Digital in Learning Spaces: 
An Analysis on the Perspective of Teachers in Higher Education. Proceedings 
of Informing Science &amp; IT Education Conference (InSiITE). 2013, pp 521-529. 
ISBN 9781932886719. 
[ pa"&amp;"per | presentation ]")</f>
        <v>Silva, P and Gouveia, L. (2013). The Impact of Digital in Learning Spaces: 
An Analysis on the Perspective of Teachers in Higher Education. Proceedings 
of Informing Science &amp; IT Education Conference (InSiITE). 2013, pp 521-529. 
ISBN 9781932886719. 
[ paper | presentation ]</v>
      </c>
      <c r="C192" s="2">
        <f t="shared" ca="1" si="0"/>
        <v>26</v>
      </c>
      <c r="D192" t="str">
        <f t="shared" ca="1" si="22"/>
        <v xml:space="preserve">Silva, P and Gouveia, L. </v>
      </c>
      <c r="E192" t="str">
        <f t="shared" ca="1" si="17"/>
        <v>2013</v>
      </c>
      <c r="F192" t="str">
        <f t="shared" ca="1" si="18"/>
        <v xml:space="preserve"> The Impact of Digital in Learning Spaces: 
An Analysis on the Perspective of Teachers in Higher Education. </v>
      </c>
      <c r="G192" s="3">
        <f t="shared" ca="1" si="19"/>
        <v>31</v>
      </c>
      <c r="H192" s="2">
        <f t="shared" ca="1" si="20"/>
        <v>139</v>
      </c>
      <c r="I192" t="str">
        <f t="shared" ca="1" si="21"/>
        <v>Proceedings 
of Informing Science &amp; IT Education Conference (InSiITE).</v>
      </c>
      <c r="J192" s="3">
        <f t="shared" ca="1" si="23"/>
        <v>209</v>
      </c>
      <c r="K192" t="str">
        <f t="shared" ca="1" si="6"/>
        <v xml:space="preserve">Silva, P ; Gouveia, L. </v>
      </c>
      <c r="L192" t="str">
        <f t="shared" ca="1" si="7"/>
        <v xml:space="preserve">Quental, C. </v>
      </c>
      <c r="M192" t="str">
        <f ca="1">IFERROR(__xludf.DUMMYFUNCTION("""COMPUTED_VALUE""")," Gouveia, L. ")</f>
        <v xml:space="preserve"> Gouveia, L. </v>
      </c>
    </row>
    <row r="193" spans="1:17" ht="15.75" customHeight="1">
      <c r="A193">
        <f ca="1">IFERROR(__xludf.DUMMYFUNCTION("""COMPUTED_VALUE"""),101)</f>
        <v>101</v>
      </c>
      <c r="B193" t="str">
        <f ca="1">IFERROR(__xludf.DUMMYFUNCTION("""COMPUTED_VALUE"""),"Robalo, A. e Gouveia, L. (2013). As Tecnologias na Educação: um novo olhar 
pedagógico no ambiente virtual Edmodo. Encuentro por la unidad de los 
educadores. Pedagogia 2013. Palacio de Convenciones de La Habana, del 4 al 
8 de Febrero. Cuba. Actas em CD-"&amp;"ROM. ISBN 978-959-18-0870-3.
[ paper ]")</f>
        <v>Robalo, A. e Gouveia, L. (2013). As Tecnologias na Educação: um novo olhar 
pedagógico no ambiente virtual Edmodo. Encuentro por la unidad de los 
educadores. Pedagogia 2013. Palacio de Convenciones de La Habana, del 4 al 
8 de Febrero. Cuba. Actas em CD-ROM. ISBN 978-959-18-0870-3.
[ paper ]</v>
      </c>
      <c r="C193" s="2">
        <f t="shared" ca="1" si="0"/>
        <v>26</v>
      </c>
      <c r="D193" t="str">
        <f t="shared" ca="1" si="22"/>
        <v xml:space="preserve">Robalo, A. e Gouveia, L. </v>
      </c>
      <c r="E193" t="str">
        <f t="shared" ca="1" si="17"/>
        <v>2013</v>
      </c>
      <c r="F193" t="str">
        <f t="shared" ca="1" si="18"/>
        <v xml:space="preserve"> As Tecnologias na Educação: um novo olhar 
pedagógico no ambiente virtual Edmodo. </v>
      </c>
      <c r="G193" s="3">
        <f t="shared" ca="1" si="19"/>
        <v>31</v>
      </c>
      <c r="H193" s="2">
        <f t="shared" ca="1" si="20"/>
        <v>114</v>
      </c>
      <c r="I193" t="e">
        <f t="shared" ca="1" si="21"/>
        <v>#VALUE!</v>
      </c>
      <c r="J193" s="3" t="e">
        <f t="shared" ca="1" si="23"/>
        <v>#VALUE!</v>
      </c>
      <c r="K193" t="str">
        <f t="shared" ca="1" si="6"/>
        <v xml:space="preserve">Robalo, A. e Gouveia, L. </v>
      </c>
      <c r="L193" t="str">
        <f t="shared" ca="1" si="7"/>
        <v xml:space="preserve">Quental, C. </v>
      </c>
    </row>
    <row r="194" spans="1:17" ht="15.75" customHeight="1">
      <c r="A194">
        <f ca="1">IFERROR(__xludf.DUMMYFUNCTION("""COMPUTED_VALUE"""),100)</f>
        <v>100</v>
      </c>
      <c r="B194" t="str">
        <f ca="1">IFERROR(__xludf.DUMMYFUNCTION("""COMPUTED_VALUE"""),"Gouveia, L. (2012). The Information Warfare - how it can affect us. 
International Conference Rethinking Warfare. 9-10th November. Universidade 
Fernando Pessoa.
[ slideshare ]")</f>
        <v>Gouveia, L. (2012). The Information Warfare - how it can affect us. 
International Conference Rethinking Warfare. 9-10th November. Universidade 
Fernando Pessoa.
[ slideshare ]</v>
      </c>
      <c r="C194" s="2">
        <f t="shared" ca="1" si="0"/>
        <v>13</v>
      </c>
      <c r="D194" t="str">
        <f t="shared" ca="1" si="22"/>
        <v xml:space="preserve">Gouveia, L. </v>
      </c>
      <c r="E194" t="str">
        <f t="shared" ca="1" si="17"/>
        <v>2012</v>
      </c>
      <c r="F194" t="str">
        <f t="shared" ca="1" si="18"/>
        <v xml:space="preserve"> The Information Warfare - how it can affect us. </v>
      </c>
      <c r="G194" s="3">
        <f t="shared" ca="1" si="19"/>
        <v>18</v>
      </c>
      <c r="H194" s="2">
        <f t="shared" ca="1" si="20"/>
        <v>67</v>
      </c>
      <c r="I194" t="e">
        <f t="shared" ca="1" si="21"/>
        <v>#VALUE!</v>
      </c>
      <c r="J194" s="3" t="e">
        <f t="shared" ca="1" si="23"/>
        <v>#VALUE!</v>
      </c>
      <c r="K194" t="str">
        <f t="shared" ca="1" si="6"/>
        <v xml:space="preserve">Gouveia, L. </v>
      </c>
      <c r="L194" t="str">
        <f t="shared" ca="1" si="7"/>
        <v xml:space="preserve">Quental, C. </v>
      </c>
    </row>
    <row r="195" spans="1:17" ht="15.75" customHeight="1">
      <c r="A195">
        <f ca="1">IFERROR(__xludf.DUMMYFUNCTION("""COMPUTED_VALUE"""),99)</f>
        <v>99</v>
      </c>
      <c r="B195" t="str">
        <f ca="1">IFERROR(__xludf.DUMMYFUNCTION("""COMPUTED_VALUE"""),"Sousa, A. e Gouveia, L. (2012). Proposta de mediação digital para a 
participação pública directa em períodos eleitorais. In Rocha, A. et al. 
(2012). Sistemas y tecnologías de Información. Actas de la 7ª Conferencia 
Ibérica de Sistemas y Tecnologías de "&amp;"Información. Madrid, España. 20 al 23 
de Junio. AISTI, vol I - Artículo, tomo 1, pp 602-606. ISBN: 
978-989-96247-6-4.
[ paper: zip ]")</f>
        <v>Sousa, A. e Gouveia, L. (2012). Proposta de mediação digital para a 
participação pública directa em períodos eleitorais. In Rocha, A. et al. 
(2012). Sistemas y tecnologías de Información. Actas de la 7ª Conferencia 
Ibérica de Sistemas y Tecnologías de Información. Madrid, España. 20 al 23 
de Junio. AISTI, vol I - Artículo, tomo 1, pp 602-606. ISBN: 
978-989-96247-6-4.
[ paper: zip ]</v>
      </c>
      <c r="C195" s="2">
        <f t="shared" ca="1" si="0"/>
        <v>25</v>
      </c>
      <c r="D195" t="str">
        <f t="shared" ca="1" si="22"/>
        <v xml:space="preserve">Sousa, A. e Gouveia, L. </v>
      </c>
      <c r="E195" t="str">
        <f t="shared" ref="E195:E258" ca="1" si="24">MID(B195,C195+1,4)</f>
        <v>2012</v>
      </c>
      <c r="F195" t="str">
        <f t="shared" ref="F195:F258" ca="1" si="25">MID(B195,G195+2,H195-G195)</f>
        <v xml:space="preserve"> Proposta de mediação digital para a 
participação pública directa em períodos eleitorais. </v>
      </c>
      <c r="G195" s="3">
        <f t="shared" ref="G195:G258" ca="1" si="26">FIND(").",B195)</f>
        <v>30</v>
      </c>
      <c r="H195" s="2">
        <f t="shared" ref="H195:H258" ca="1" si="27">FIND(".",B195,G195+2)</f>
        <v>121</v>
      </c>
      <c r="I195" t="str">
        <f t="shared" ref="I195:I258" ca="1" si="28">MID(B195,H195+2,J195-H195)</f>
        <v>In Rocha, A. et al. 
(2012).</v>
      </c>
      <c r="J195" s="3">
        <f t="shared" ca="1" si="23"/>
        <v>149</v>
      </c>
      <c r="K195" t="str">
        <f t="shared" ca="1" si="6"/>
        <v xml:space="preserve">Sousa, A. e Gouveia, L. </v>
      </c>
      <c r="L195" t="str">
        <f t="shared" ca="1" si="7"/>
        <v xml:space="preserve">Quental, C. </v>
      </c>
    </row>
    <row r="196" spans="1:17" ht="15.75" customHeight="1">
      <c r="A196">
        <f ca="1">IFERROR(__xludf.DUMMYFUNCTION("""COMPUTED_VALUE"""),98)</f>
        <v>98</v>
      </c>
      <c r="B196" t="str">
        <f ca="1">IFERROR(__xludf.DUMMYFUNCTION("""COMPUTED_VALUE"""),"Fidalgo, F. and Gouveia, L. (2012). Turnover and ICT Contribution in 
Organizational Knowledge Management. The Fourth International Conference on 
Information, Process, and Knowledge Management. eKnow 2012. January 30 - 
February 4. Valencia, Spain. Proce"&amp;"eding of the eKnow 2012 conference. 
IARIA, pp 40-46. ISBN: 978-1-61208-181-6.")</f>
        <v>Fidalgo, F. and Gouveia, L. (2012). Turnover and ICT Contribution in 
Organizational Knowledge Management. The Fourth International Conference on 
Information, Process, and Knowledge Management. eKnow 2012. January 30 - 
February 4. Valencia, Spain. Proceeding of the eKnow 2012 conference. 
IARIA, pp 40-46. ISBN: 978-1-61208-181-6.</v>
      </c>
      <c r="C196" s="2">
        <f t="shared" ca="1" si="0"/>
        <v>29</v>
      </c>
      <c r="D196" t="str">
        <f t="shared" ref="D196:D259" ca="1" si="29">LEFT(B196,FIND("(",B196)-1)</f>
        <v xml:space="preserve">Fidalgo, F. and Gouveia, L. </v>
      </c>
      <c r="E196" t="str">
        <f t="shared" ca="1" si="24"/>
        <v>2012</v>
      </c>
      <c r="F196" t="str">
        <f t="shared" ca="1" si="25"/>
        <v xml:space="preserve"> Turnover and ICT Contribution in 
Organizational Knowledge Management. </v>
      </c>
      <c r="G196" s="3">
        <f t="shared" ca="1" si="26"/>
        <v>34</v>
      </c>
      <c r="H196" s="2">
        <f t="shared" ca="1" si="27"/>
        <v>106</v>
      </c>
      <c r="I196" t="e">
        <f t="shared" ca="1" si="28"/>
        <v>#VALUE!</v>
      </c>
      <c r="J196" s="3" t="e">
        <f t="shared" ref="J196:J259" ca="1" si="30">FIND(").",B196,H196+1)</f>
        <v>#VALUE!</v>
      </c>
      <c r="K196" t="str">
        <f t="shared" ca="1" si="6"/>
        <v xml:space="preserve">Fidalgo, F. ; Gouveia, L. </v>
      </c>
      <c r="L196" t="str">
        <f t="shared" ca="1" si="7"/>
        <v xml:space="preserve">Quental, C. </v>
      </c>
      <c r="M196" t="str">
        <f ca="1">IFERROR(__xludf.DUMMYFUNCTION("""COMPUTED_VALUE""")," Gouveia, L. ")</f>
        <v xml:space="preserve"> Gouveia, L. </v>
      </c>
    </row>
    <row r="197" spans="1:17" ht="15.75" customHeight="1">
      <c r="A197">
        <f ca="1">IFERROR(__xludf.DUMMYFUNCTION("""COMPUTED_VALUE"""),97)</f>
        <v>97</v>
      </c>
      <c r="B197" t="str">
        <f ca="1">IFERROR(__xludf.DUMMYFUNCTION("""COMPUTED_VALUE"""),"Abrantes, S. e Gouveia, L. (2011). Assessing the use of m-learning support 
in an higher education context - A study approach based in the innovation 
spreading. 6th European Conference on Innovation and Entrepreneurship (ECIE 
2011). 15-16 September. Abe"&amp;"rdeen, Scotland. Proceedings of ECIE 2011, pp 
13-23. ISBN: 978-908272.")</f>
        <v>Abrantes, S. e Gouveia, L. (2011). Assessing the use of m-learning support 
in an higher education context - A study approach based in the innovation 
spreading. 6th European Conference on Innovation and Entrepreneurship (ECIE 
2011). 15-16 September. Aberdeen, Scotland. Proceedings of ECIE 2011, pp 
13-23. ISBN: 978-908272.</v>
      </c>
      <c r="C197" s="2">
        <f t="shared" ca="1" si="0"/>
        <v>28</v>
      </c>
      <c r="D197" t="str">
        <f t="shared" ca="1" si="29"/>
        <v xml:space="preserve">Abrantes, S. e Gouveia, L. </v>
      </c>
      <c r="E197" t="str">
        <f t="shared" ca="1" si="24"/>
        <v>2011</v>
      </c>
      <c r="F197" t="str">
        <f t="shared" ca="1" si="25"/>
        <v xml:space="preserve"> Assessing the use of m-learning support 
in an higher education context - A study approach based in the innovation 
spreading. </v>
      </c>
      <c r="G197" s="3">
        <f t="shared" ca="1" si="26"/>
        <v>33</v>
      </c>
      <c r="H197" s="2">
        <f t="shared" ca="1" si="27"/>
        <v>161</v>
      </c>
      <c r="I197" t="str">
        <f t="shared" ca="1" si="28"/>
        <v>6th European Conference on Innovation and Entrepreneurship (ECIE 
2011).</v>
      </c>
      <c r="J197" s="3">
        <f t="shared" ca="1" si="30"/>
        <v>233</v>
      </c>
      <c r="K197" t="str">
        <f t="shared" ca="1" si="6"/>
        <v xml:space="preserve">Abrantes, S. e Gouveia, L. </v>
      </c>
      <c r="L197" t="str">
        <f t="shared" ca="1" si="7"/>
        <v xml:space="preserve">Quental, C. </v>
      </c>
    </row>
    <row r="198" spans="1:17" ht="15.75" customHeight="1">
      <c r="A198">
        <f ca="1">IFERROR(__xludf.DUMMYFUNCTION("""COMPUTED_VALUE"""),96)</f>
        <v>96</v>
      </c>
      <c r="B198" t="str">
        <f ca="1">IFERROR(__xludf.DUMMYFUNCTION("""COMPUTED_VALUE"""),"Peres, P.; Gouveia, L. and Pimenta, P. (2011). Blended-learning Strategies 
in Higher Education. The 3rd annual International Conference on Education 
and New Learning Technologies. EDULERN11. 4-6 July. Barcelon. Spain. 
Edulearn11 Proceedings, pp 1857-18"&amp;"66. ISBN 978-84-615-0441-1.")</f>
        <v>Peres, P.; Gouveia, L. and Pimenta, P. (2011). Blended-learning Strategies 
in Higher Education. The 3rd annual International Conference on Education 
and New Learning Technologies. EDULERN11. 4-6 July. Barcelon. Spain. 
Edulearn11 Proceedings, pp 1857-1866. ISBN 978-84-615-0441-1.</v>
      </c>
      <c r="C198" s="2">
        <f t="shared" ca="1" si="0"/>
        <v>40</v>
      </c>
      <c r="D198" t="str">
        <f t="shared" ca="1" si="29"/>
        <v xml:space="preserve">Peres, P.; Gouveia, L. and Pimenta, P. </v>
      </c>
      <c r="E198" t="str">
        <f t="shared" ca="1" si="24"/>
        <v>2011</v>
      </c>
      <c r="F198" t="str">
        <f t="shared" ca="1" si="25"/>
        <v xml:space="preserve"> Blended-learning Strategies 
in Higher Education. </v>
      </c>
      <c r="G198" s="3">
        <f t="shared" ca="1" si="26"/>
        <v>45</v>
      </c>
      <c r="H198" s="2">
        <f t="shared" ca="1" si="27"/>
        <v>96</v>
      </c>
      <c r="I198" t="e">
        <f t="shared" ca="1" si="28"/>
        <v>#VALUE!</v>
      </c>
      <c r="J198" s="3" t="e">
        <f t="shared" ca="1" si="30"/>
        <v>#VALUE!</v>
      </c>
      <c r="K198" t="str">
        <f t="shared" ca="1" si="6"/>
        <v xml:space="preserve">Peres, P.; Gouveia, L. ; Pimenta, P. </v>
      </c>
      <c r="L198" t="str">
        <f t="shared" ca="1" si="7"/>
        <v xml:space="preserve">Quental, C. </v>
      </c>
      <c r="M198" t="str">
        <f ca="1">IFERROR(__xludf.DUMMYFUNCTION("""COMPUTED_VALUE""")," Gouveia, L. ")</f>
        <v xml:space="preserve"> Gouveia, L. </v>
      </c>
      <c r="N198" t="str">
        <f ca="1">IFERROR(__xludf.DUMMYFUNCTION("""COMPUTED_VALUE""")," Pimenta, P. ")</f>
        <v xml:space="preserve"> Pimenta, P. </v>
      </c>
    </row>
    <row r="199" spans="1:17" ht="15.75" customHeight="1">
      <c r="A199">
        <f ca="1">IFERROR(__xludf.DUMMYFUNCTION("""COMPUTED_VALUE"""),95)</f>
        <v>95</v>
      </c>
      <c r="B199" t="str">
        <f ca="1">IFERROR(__xludf.DUMMYFUNCTION("""COMPUTED_VALUE"""),"Abrantes, S. e Gouveia, L. (2011). Assessing Messaging Activity In An 
Online Discussion Forum Using an Innovation Adoption Approach. Proceedings 
of ICTEL 2011 - International Conference on Technology-enhanced Learning. 
25-27 Julho. Sofia, Bulgária, pp6"&amp;"14-623. ISBN 978-3-89958-541-4.")</f>
        <v>Abrantes, S. e Gouveia, L. (2011). Assessing Messaging Activity In An 
Online Discussion Forum Using an Innovation Adoption Approach. Proceedings 
of ICTEL 2011 - International Conference on Technology-enhanced Learning. 
25-27 Julho. Sofia, Bulgária, pp614-623. ISBN 978-3-89958-541-4.</v>
      </c>
      <c r="C199" s="2">
        <f t="shared" ca="1" si="0"/>
        <v>28</v>
      </c>
      <c r="D199" t="str">
        <f t="shared" ca="1" si="29"/>
        <v xml:space="preserve">Abrantes, S. e Gouveia, L. </v>
      </c>
      <c r="E199" t="str">
        <f t="shared" ca="1" si="24"/>
        <v>2011</v>
      </c>
      <c r="F199" t="str">
        <f t="shared" ca="1" si="25"/>
        <v xml:space="preserve"> Assessing Messaging Activity In An 
Online Discussion Forum Using an Innovation Adoption Approach. </v>
      </c>
      <c r="G199" s="3">
        <f t="shared" ca="1" si="26"/>
        <v>33</v>
      </c>
      <c r="H199" s="2">
        <f t="shared" ca="1" si="27"/>
        <v>133</v>
      </c>
      <c r="I199" t="e">
        <f t="shared" ca="1" si="28"/>
        <v>#VALUE!</v>
      </c>
      <c r="J199" s="3" t="e">
        <f t="shared" ca="1" si="30"/>
        <v>#VALUE!</v>
      </c>
      <c r="K199" t="str">
        <f t="shared" ca="1" si="6"/>
        <v xml:space="preserve">Abrantes, S. e Gouveia, L. </v>
      </c>
      <c r="L199" t="str">
        <f t="shared" ca="1" si="7"/>
        <v xml:space="preserve">Quental, C. </v>
      </c>
    </row>
    <row r="200" spans="1:17" ht="15.75" customHeight="1">
      <c r="A200">
        <f ca="1">IFERROR(__xludf.DUMMYFUNCTION("""COMPUTED_VALUE"""),94)</f>
        <v>94</v>
      </c>
      <c r="B200" t="str">
        <f ca="1">IFERROR(__xludf.DUMMYFUNCTION("""COMPUTED_VALUE"""),"Silva, P. e Gouveia, L. (2011). On Learning Spaces in Higher Education: 
Space as an Agent of Change. Proceedings of Informing Science &amp; IT 
Education Conference (InSite) 2011. 18-23 Junho. Novi Sad, Serbia, 
pp537-543. ISSN 1535-07-03.")</f>
        <v>Silva, P. e Gouveia, L. (2011). On Learning Spaces in Higher Education: 
Space as an Agent of Change. Proceedings of Informing Science &amp; IT 
Education Conference (InSite) 2011. 18-23 Junho. Novi Sad, Serbia, 
pp537-543. ISSN 1535-07-03.</v>
      </c>
      <c r="C200" s="2">
        <f t="shared" ca="1" si="0"/>
        <v>25</v>
      </c>
      <c r="D200" t="str">
        <f t="shared" ca="1" si="29"/>
        <v xml:space="preserve">Silva, P. e Gouveia, L. </v>
      </c>
      <c r="E200" t="str">
        <f t="shared" ca="1" si="24"/>
        <v>2011</v>
      </c>
      <c r="F200" t="str">
        <f t="shared" ca="1" si="25"/>
        <v xml:space="preserve"> On Learning Spaces in Higher Education: 
Space as an Agent of Change. </v>
      </c>
      <c r="G200" s="3">
        <f t="shared" ca="1" si="26"/>
        <v>30</v>
      </c>
      <c r="H200" s="2">
        <f t="shared" ca="1" si="27"/>
        <v>101</v>
      </c>
      <c r="I200" t="e">
        <f t="shared" ca="1" si="28"/>
        <v>#VALUE!</v>
      </c>
      <c r="J200" s="3" t="e">
        <f t="shared" ca="1" si="30"/>
        <v>#VALUE!</v>
      </c>
      <c r="K200" t="str">
        <f t="shared" ca="1" si="6"/>
        <v xml:space="preserve">Silva, P. e Gouveia, L. </v>
      </c>
      <c r="L200" t="str">
        <f t="shared" ca="1" si="7"/>
        <v xml:space="preserve">Quental, C. </v>
      </c>
    </row>
    <row r="201" spans="1:17" ht="15.75" customHeight="1">
      <c r="A201">
        <f ca="1">IFERROR(__xludf.DUMMYFUNCTION("""COMPUTED_VALUE"""),93)</f>
        <v>93</v>
      </c>
      <c r="B201" t="str">
        <f ca="1">IFERROR(__xludf.DUMMYFUNCTION("""COMPUTED_VALUE"""),"Abrantes, S. e Gouveia, L. (2011). Comparing Google Groups use by 
evaluating flow experience and generated messages in laptop and desktop 
higher education students. Proceedings of Informing Science &amp; IT Education 
Conference (InSite) 2011. 18-23 Junho. "&amp;"Novi Sad, Serbia, pp1-20. ISSN 
1535-07-03.")</f>
        <v>Abrantes, S. e Gouveia, L. (2011). Comparing Google Groups use by 
evaluating flow experience and generated messages in laptop and desktop 
higher education students. Proceedings of Informing Science &amp; IT Education 
Conference (InSite) 2011. 18-23 Junho. Novi Sad, Serbia, pp1-20. ISSN 
1535-07-03.</v>
      </c>
      <c r="C201" s="2">
        <f t="shared" ca="1" si="0"/>
        <v>28</v>
      </c>
      <c r="D201" t="str">
        <f t="shared" ca="1" si="29"/>
        <v xml:space="preserve">Abrantes, S. e Gouveia, L. </v>
      </c>
      <c r="E201" t="str">
        <f t="shared" ca="1" si="24"/>
        <v>2011</v>
      </c>
      <c r="F201" t="str">
        <f t="shared" ca="1" si="25"/>
        <v xml:space="preserve"> Comparing Google Groups use by 
evaluating flow experience and generated messages in laptop and desktop 
higher education students. </v>
      </c>
      <c r="G201" s="3">
        <f t="shared" ca="1" si="26"/>
        <v>33</v>
      </c>
      <c r="H201" s="2">
        <f t="shared" ca="1" si="27"/>
        <v>166</v>
      </c>
      <c r="I201" t="e">
        <f t="shared" ca="1" si="28"/>
        <v>#VALUE!</v>
      </c>
      <c r="J201" s="3" t="e">
        <f t="shared" ca="1" si="30"/>
        <v>#VALUE!</v>
      </c>
      <c r="K201" t="str">
        <f t="shared" ca="1" si="6"/>
        <v xml:space="preserve">Abrantes, S. e Gouveia, L. </v>
      </c>
      <c r="L201" t="str">
        <f t="shared" ca="1" si="7"/>
        <v xml:space="preserve">Quental, C. </v>
      </c>
    </row>
    <row r="202" spans="1:17" ht="15.75" customHeight="1">
      <c r="A202">
        <f ca="1">IFERROR(__xludf.DUMMYFUNCTION("""COMPUTED_VALUE"""),92)</f>
        <v>92</v>
      </c>
      <c r="B202" t="str">
        <f ca="1">IFERROR(__xludf.DUMMYFUNCTION("""COMPUTED_VALUE"""),"Fidalgo, F. e Gouveia, L. (2011). O impacto da rotatividade na Gestão do 
Conhecimento Organizacional. A rotatividade nas actividades imobiliárias em 
Portugal. *Actas da CISTI  2011 - 6ª Conferência Ibérica de Sistemas e 
Tecnologias de Informação*. Vol "&amp;"1, pp 459-464. ISSN: 978-989-96247-4-0.")</f>
        <v>Fidalgo, F. e Gouveia, L. (2011). O impacto da rotatividade na Gestão do 
Conhecimento Organizacional. A rotatividade nas actividades imobiliárias em 
Portugal. *Actas da CISTI  2011 - 6ª Conferência Ibérica de Sistemas e 
Tecnologias de Informação*. Vol 1, pp 459-464. ISSN: 978-989-96247-4-0.</v>
      </c>
      <c r="C202" s="2">
        <f t="shared" ca="1" si="0"/>
        <v>27</v>
      </c>
      <c r="D202" t="str">
        <f t="shared" ca="1" si="29"/>
        <v xml:space="preserve">Fidalgo, F. e Gouveia, L. </v>
      </c>
      <c r="E202" t="str">
        <f t="shared" ca="1" si="24"/>
        <v>2011</v>
      </c>
      <c r="F202" t="str">
        <f t="shared" ca="1" si="25"/>
        <v xml:space="preserve"> O impacto da rotatividade na Gestão do 
Conhecimento Organizacional. </v>
      </c>
      <c r="G202" s="3">
        <f t="shared" ca="1" si="26"/>
        <v>32</v>
      </c>
      <c r="H202" s="2">
        <f t="shared" ca="1" si="27"/>
        <v>102</v>
      </c>
      <c r="I202" t="e">
        <f t="shared" ca="1" si="28"/>
        <v>#VALUE!</v>
      </c>
      <c r="J202" s="3" t="e">
        <f t="shared" ca="1" si="30"/>
        <v>#VALUE!</v>
      </c>
      <c r="K202" t="str">
        <f t="shared" ca="1" si="6"/>
        <v xml:space="preserve">Fidalgo, F. e Gouveia, L. </v>
      </c>
      <c r="L202" t="str">
        <f t="shared" ca="1" si="7"/>
        <v xml:space="preserve">Quental, C. </v>
      </c>
    </row>
    <row r="203" spans="1:17" ht="15.75" customHeight="1">
      <c r="A203">
        <f ca="1">IFERROR(__xludf.DUMMYFUNCTION("""COMPUTED_VALUE"""),91)</f>
        <v>91</v>
      </c>
      <c r="B203" t="str">
        <f ca="1">IFERROR(__xludf.DUMMYFUNCTION("""COMPUTED_VALUE"""),"Abrantes, S. e Gouveia, L. (2011). Avaliação do uso do Google Groups com 
desktops ou laptops enquanto ambiente colaborativo: o caso da qualidade das 
mensagens. *CISTI 2011. 15-18 Junho. Chaves, Portugal.* Actas da CISTI  
2011 - 6ª Conferência Ibérica d"&amp;"e Sistemas e Tecnologias de Informação. Vol 
2, pp 144-149. ISSN: 978-989-96247-5-7.")</f>
        <v>Abrantes, S. e Gouveia, L. (2011). Avaliação do uso do Google Groups com 
desktops ou laptops enquanto ambiente colaborativo: o caso da qualidade das 
mensagens. *CISTI 2011. 15-18 Junho. Chaves, Portugal.* Actas da CISTI  
2011 - 6ª Conferência Ibérica de Sistemas e Tecnologias de Informação. Vol 
2, pp 144-149. ISSN: 978-989-96247-5-7.</v>
      </c>
      <c r="C203" s="2">
        <f t="shared" ca="1" si="0"/>
        <v>28</v>
      </c>
      <c r="D203" t="str">
        <f t="shared" ca="1" si="29"/>
        <v xml:space="preserve">Abrantes, S. e Gouveia, L. </v>
      </c>
      <c r="E203" t="str">
        <f t="shared" ca="1" si="24"/>
        <v>2011</v>
      </c>
      <c r="F203" t="str">
        <f t="shared" ca="1" si="25"/>
        <v xml:space="preserve"> Avaliação do uso do Google Groups com 
desktops ou laptops enquanto ambiente colaborativo: o caso da qualidade das 
mensagens. </v>
      </c>
      <c r="G203" s="3">
        <f t="shared" ca="1" si="26"/>
        <v>33</v>
      </c>
      <c r="H203" s="2">
        <f t="shared" ca="1" si="27"/>
        <v>161</v>
      </c>
      <c r="I203" t="e">
        <f t="shared" ca="1" si="28"/>
        <v>#VALUE!</v>
      </c>
      <c r="J203" s="3" t="e">
        <f t="shared" ca="1" si="30"/>
        <v>#VALUE!</v>
      </c>
      <c r="K203" t="str">
        <f t="shared" ca="1" si="6"/>
        <v xml:space="preserve">Abrantes, S. e Gouveia, L. </v>
      </c>
      <c r="L203" t="str">
        <f t="shared" ca="1" si="7"/>
        <v xml:space="preserve">Quental, C. </v>
      </c>
    </row>
    <row r="204" spans="1:17" ht="15.75" customHeight="1">
      <c r="A204">
        <f ca="1">IFERROR(__xludf.DUMMYFUNCTION("""COMPUTED_VALUE"""),90)</f>
        <v>90</v>
      </c>
      <c r="B204" t="str">
        <f ca="1">IFERROR(__xludf.DUMMYFUNCTION("""COMPUTED_VALUE"""),"Sousa, A. e Gouveia, L. (2011). Governómetro: uma Aplicação Web para 
Monitorizar a Actividade Governativa. *CISTI 2011. 15-18 Junho. Chaves, 
Portugal.* Actas da CISTI  2011 - 6ª Conferência Ibérica de Sistemas e 
Tecnologias de Informação. Vol 2, pp 129"&amp;"-132. ISSN: 978-989-96247-5-7.")</f>
        <v>Sousa, A. e Gouveia, L. (2011). Governómetro: uma Aplicação Web para 
Monitorizar a Actividade Governativa. *CISTI 2011. 15-18 Junho. Chaves, 
Portugal.* Actas da CISTI  2011 - 6ª Conferência Ibérica de Sistemas e 
Tecnologias de Informação. Vol 2, pp 129-132. ISSN: 978-989-96247-5-7.</v>
      </c>
      <c r="C204" s="2">
        <f t="shared" ca="1" si="0"/>
        <v>25</v>
      </c>
      <c r="D204" t="str">
        <f t="shared" ca="1" si="29"/>
        <v xml:space="preserve">Sousa, A. e Gouveia, L. </v>
      </c>
      <c r="E204" t="str">
        <f t="shared" ca="1" si="24"/>
        <v>2011</v>
      </c>
      <c r="F204" t="str">
        <f t="shared" ca="1" si="25"/>
        <v xml:space="preserve"> Governómetro: uma Aplicação Web para 
Monitorizar a Actividade Governativa. </v>
      </c>
      <c r="G204" s="3">
        <f t="shared" ca="1" si="26"/>
        <v>30</v>
      </c>
      <c r="H204" s="2">
        <f t="shared" ca="1" si="27"/>
        <v>107</v>
      </c>
      <c r="I204" t="e">
        <f t="shared" ca="1" si="28"/>
        <v>#VALUE!</v>
      </c>
      <c r="J204" s="3" t="e">
        <f t="shared" ca="1" si="30"/>
        <v>#VALUE!</v>
      </c>
      <c r="K204" t="str">
        <f t="shared" ca="1" si="6"/>
        <v xml:space="preserve">Sousa, A. e Gouveia, L. </v>
      </c>
      <c r="L204" t="str">
        <f t="shared" ca="1" si="7"/>
        <v xml:space="preserve">Quental, C. </v>
      </c>
    </row>
    <row r="205" spans="1:17" ht="15.75" customHeight="1">
      <c r="A205">
        <f ca="1">IFERROR(__xludf.DUMMYFUNCTION("""COMPUTED_VALUE"""),89)</f>
        <v>89</v>
      </c>
      <c r="B205" t="str">
        <f ca="1">IFERROR(__xludf.DUMMYFUNCTION("""COMPUTED_VALUE"""),"Peres, P. e Pimenta, P. e Gouveia, L. (2011). Planeamento pedagógico: 
documentos, mobilidade e reutilização. Um protótipo para gerir a descrição 
de unidades curriculares no contexto do ensino superior. *CISTI 2011. 15-18 
Junho. Chaves, Portugal.* Actas"&amp;" da CISTI  2011 - 6ª Conferência Ibérica de 
Sistemas e Tecnologias de Informação. Vol 2, pp 45-49. ISSN: 
978-989-96247-5-7.")</f>
        <v>Peres, P. e Pimenta, P. e Gouveia, L. (2011). Planeamento pedagógico: 
documentos, mobilidade e reutilização. Um protótipo para gerir a descrição 
de unidades curriculares no contexto do ensino superior. *CISTI 2011. 15-18 
Junho. Chaves, Portugal.* Actas da CISTI  2011 - 6ª Conferência Ibérica de 
Sistemas e Tecnologias de Informação. Vol 2, pp 45-49. ISSN: 
978-989-96247-5-7.</v>
      </c>
      <c r="C205" s="2">
        <f t="shared" ca="1" si="0"/>
        <v>39</v>
      </c>
      <c r="D205" t="str">
        <f t="shared" ca="1" si="29"/>
        <v xml:space="preserve">Peres, P. e Pimenta, P. e Gouveia, L. </v>
      </c>
      <c r="E205" t="str">
        <f t="shared" ca="1" si="24"/>
        <v>2011</v>
      </c>
      <c r="F205" t="str">
        <f t="shared" ca="1" si="25"/>
        <v xml:space="preserve"> Planeamento pedagógico: 
documentos, mobilidade e reutilização. </v>
      </c>
      <c r="G205" s="3">
        <f t="shared" ca="1" si="26"/>
        <v>44</v>
      </c>
      <c r="H205" s="2">
        <f t="shared" ca="1" si="27"/>
        <v>109</v>
      </c>
      <c r="I205" t="e">
        <f t="shared" ca="1" si="28"/>
        <v>#VALUE!</v>
      </c>
      <c r="J205" s="3" t="e">
        <f t="shared" ca="1" si="30"/>
        <v>#VALUE!</v>
      </c>
      <c r="K205" t="str">
        <f t="shared" ca="1" si="6"/>
        <v xml:space="preserve">Peres, P. e Pimenta, P. e Gouveia, L. </v>
      </c>
      <c r="L205" t="str">
        <f t="shared" ca="1" si="7"/>
        <v xml:space="preserve">Quental, C. </v>
      </c>
    </row>
    <row r="206" spans="1:17" ht="15.75" customHeight="1">
      <c r="A206">
        <f ca="1">IFERROR(__xludf.DUMMYFUNCTION("""COMPUTED_VALUE"""),88)</f>
        <v>88</v>
      </c>
      <c r="B206" t="str">
        <f ca="1">IFERROR(__xludf.DUMMYFUNCTION("""COMPUTED_VALUE"""),"Peres, P. e Gouveia, L. (2011). The e-learning in the Portuguese Higher 
Education: past, present and future. INTE 2011. International Conference on 
New Horizons in Education. Instituto Politécnico da Guarda, Portugal, 8-10 
July. In Isman, A and Sousa, "&amp;"C. (2011). INTE 2011 Proceedings Book. pp 
703-712.")</f>
        <v>Peres, P. e Gouveia, L. (2011). The e-learning in the Portuguese Higher 
Education: past, present and future. INTE 2011. International Conference on 
New Horizons in Education. Instituto Politécnico da Guarda, Portugal, 8-10 
July. In Isman, A and Sousa, C. (2011). INTE 2011 Proceedings Book. pp 
703-712.</v>
      </c>
      <c r="C206" s="2">
        <f t="shared" ca="1" si="0"/>
        <v>25</v>
      </c>
      <c r="D206" t="str">
        <f t="shared" ca="1" si="29"/>
        <v xml:space="preserve">Peres, P. e Gouveia, L. </v>
      </c>
      <c r="E206" t="str">
        <f t="shared" ca="1" si="24"/>
        <v>2011</v>
      </c>
      <c r="F206" t="str">
        <f t="shared" ca="1" si="25"/>
        <v xml:space="preserve"> The e-learning in the Portuguese Higher 
Education: past, present and future. </v>
      </c>
      <c r="G206" s="3">
        <f t="shared" ca="1" si="26"/>
        <v>30</v>
      </c>
      <c r="H206" s="2">
        <f t="shared" ca="1" si="27"/>
        <v>109</v>
      </c>
      <c r="I206" t="str">
        <f t="shared" ca="1" si="28"/>
        <v>INTE 2011. International Conference on 
New Horizons in Education. Instituto Politécnico da Guarda, Portugal, 8-10 
July. In Isman, A and Sousa, C. (2011).</v>
      </c>
      <c r="J206" s="3">
        <f t="shared" ca="1" si="30"/>
        <v>264</v>
      </c>
      <c r="K206" t="str">
        <f t="shared" ca="1" si="6"/>
        <v xml:space="preserve">Peres, P. e Gouveia, L. </v>
      </c>
      <c r="L206" t="str">
        <f t="shared" ca="1" si="7"/>
        <v xml:space="preserve">Quental, C. </v>
      </c>
    </row>
    <row r="207" spans="1:17" ht="15.75" customHeight="1">
      <c r="A207">
        <f ca="1">IFERROR(__xludf.DUMMYFUNCTION("""COMPUTED_VALUE"""),87)</f>
        <v>87</v>
      </c>
      <c r="B207" t="str">
        <f ca="1">IFERROR(__xludf.DUMMYFUNCTION("""COMPUTED_VALUE"""),"Silva, P. and Gouveia, L. (2011). Learning Spaces Framework Qualitative 
findings. ED-MEDIA 2011, World Conference on Educational Multimedia, 
Hypermedia &amp; Telecommunications, Lisbon, Portugal, June 27-July 1. In 
Bastiaens, T. &amp; Ebner, M. (Eds). Proceedi"&amp;"ngs of World Conference on 
Educational Multimedia, Hypermedia and Telecommunications 2011. Chesapeake, 
VA: AACE, pp2439-2444. ISBN 1-880094-35-X.")</f>
        <v>Silva, P. and Gouveia, L. (2011). Learning Spaces Framework Qualitative 
findings. ED-MEDIA 2011, World Conference on Educational Multimedia, 
Hypermedia &amp; Telecommunications, Lisbon, Portugal, June 27-July 1. In 
Bastiaens, T. &amp; Ebner, M. (Eds). Proceedings of World Conference on 
Educational Multimedia, Hypermedia and Telecommunications 2011. Chesapeake, 
VA: AACE, pp2439-2444. ISBN 1-880094-35-X.</v>
      </c>
      <c r="C207" s="2">
        <f t="shared" ca="1" si="0"/>
        <v>27</v>
      </c>
      <c r="D207" t="str">
        <f t="shared" ca="1" si="29"/>
        <v xml:space="preserve">Silva, P. and Gouveia, L. </v>
      </c>
      <c r="E207" t="str">
        <f t="shared" ca="1" si="24"/>
        <v>2011</v>
      </c>
      <c r="F207" t="str">
        <f t="shared" ca="1" si="25"/>
        <v xml:space="preserve"> Learning Spaces Framework Qualitative 
findings. </v>
      </c>
      <c r="G207" s="3">
        <f t="shared" ca="1" si="26"/>
        <v>32</v>
      </c>
      <c r="H207" s="2">
        <f t="shared" ca="1" si="27"/>
        <v>82</v>
      </c>
      <c r="I207" t="str">
        <f t="shared" ca="1" si="28"/>
        <v>ED-MEDIA 2011, World Conference on Educational Multimedia, 
Hypermedia &amp; Telecommunications, Lisbon, Portugal, June 27-July 1. In 
Bastiaens, T. &amp; Ebner, M. (Eds).</v>
      </c>
      <c r="J207" s="3">
        <f t="shared" ca="1" si="30"/>
        <v>245</v>
      </c>
      <c r="K207" t="str">
        <f t="shared" ca="1" si="6"/>
        <v xml:space="preserve">Silva, P. ; Gouveia, L. </v>
      </c>
      <c r="L207" t="str">
        <f t="shared" ca="1" si="7"/>
        <v xml:space="preserve">Quental, C. </v>
      </c>
      <c r="M207" t="str">
        <f ca="1">IFERROR(__xludf.DUMMYFUNCTION("""COMPUTED_VALUE""")," Gouveia, L. ")</f>
        <v xml:space="preserve"> Gouveia, L. </v>
      </c>
    </row>
    <row r="208" spans="1:17" ht="15.75" customHeight="1">
      <c r="A208">
        <f ca="1">IFERROR(__xludf.DUMMYFUNCTION("""COMPUTED_VALUE"""),86)</f>
        <v>86</v>
      </c>
      <c r="B208" t="str">
        <f ca="1">IFERROR(__xludf.DUMMYFUNCTION("""COMPUTED_VALUE"""),"Dias, A.; Santos, C.; Costa, C.; Gouveia, L.; Peres, P.; Simões, P. e 
Torrão, S. (2010). Workshop sobre LMS vs PLE: fusão ou choque? TICEduca 
2010. Lisboa, 20 de Novembro.
paper [ slideshare ]")</f>
        <v>Dias, A.; Santos, C.; Costa, C.; Gouveia, L.; Peres, P.; Simões, P. e 
Torrão, S. (2010). Workshop sobre LMS vs PLE: fusão ou choque? TICEduca 
2010. Lisboa, 20 de Novembro.
paper [ slideshare ]</v>
      </c>
      <c r="C208" s="2">
        <f t="shared" ca="1" si="0"/>
        <v>83</v>
      </c>
      <c r="D208" t="str">
        <f t="shared" ca="1" si="29"/>
        <v xml:space="preserve">Dias, A.; Santos, C.; Costa, C.; Gouveia, L.; Peres, P.; Simões, P. e 
Torrão, S. </v>
      </c>
      <c r="E208" t="str">
        <f t="shared" ca="1" si="24"/>
        <v>2010</v>
      </c>
      <c r="F208" t="str">
        <f t="shared" ca="1" si="25"/>
        <v xml:space="preserve"> Workshop sobre LMS vs PLE: fusão ou choque? TICEduca 
2010. </v>
      </c>
      <c r="G208" s="3">
        <f t="shared" ca="1" si="26"/>
        <v>88</v>
      </c>
      <c r="H208" s="2">
        <f t="shared" ca="1" si="27"/>
        <v>149</v>
      </c>
      <c r="I208" t="e">
        <f t="shared" ca="1" si="28"/>
        <v>#VALUE!</v>
      </c>
      <c r="J208" s="3" t="e">
        <f t="shared" ca="1" si="30"/>
        <v>#VALUE!</v>
      </c>
      <c r="K208" t="str">
        <f t="shared" ca="1" si="6"/>
        <v xml:space="preserve">Dias, A.; Santos, C.; Costa, C.; Gouveia, L.; Peres, P.; Simões, P. e 
Torrão, S. </v>
      </c>
      <c r="L208" t="str">
        <f t="shared" ca="1" si="7"/>
        <v xml:space="preserve">Quental, C. </v>
      </c>
      <c r="M208" t="str">
        <f ca="1">IFERROR(__xludf.DUMMYFUNCTION("""COMPUTED_VALUE""")," Santos, C.")</f>
        <v xml:space="preserve"> Santos, C.</v>
      </c>
      <c r="N208" t="str">
        <f ca="1">IFERROR(__xludf.DUMMYFUNCTION("""COMPUTED_VALUE""")," Costa, C.")</f>
        <v xml:space="preserve"> Costa, C.</v>
      </c>
      <c r="O208" t="str">
        <f ca="1">IFERROR(__xludf.DUMMYFUNCTION("""COMPUTED_VALUE""")," Gouveia, L.")</f>
        <v xml:space="preserve"> Gouveia, L.</v>
      </c>
      <c r="P208" t="str">
        <f ca="1">IFERROR(__xludf.DUMMYFUNCTION("""COMPUTED_VALUE""")," Peres, P.")</f>
        <v xml:space="preserve"> Peres, P.</v>
      </c>
      <c r="Q208" t="str">
        <f ca="1">IFERROR(__xludf.DUMMYFUNCTION("""COMPUTED_VALUE""")," Simões, P. e 
Torrão, S. ")</f>
        <v xml:space="preserve"> Simões, P. e 
Torrão, S. </v>
      </c>
    </row>
    <row r="209" spans="1:14" ht="15.75" customHeight="1">
      <c r="A209">
        <f ca="1">IFERROR(__xludf.DUMMYFUNCTION("""COMPUTED_VALUE"""),85)</f>
        <v>85</v>
      </c>
      <c r="B209" t="str">
        <f ca="1">IFERROR(__xludf.DUMMYFUNCTION("""COMPUTED_VALUE"""),"Abrantes, S. e Gouveia, L. (2010). A comparison study on early adoption of 
mobile devices and desktops within collaborative environments in higher 
education. 15th IBIMA Conference in Cairo, Egypt 6-7 November 2010. 
Conference proceedings full paper. IS"&amp;"BN: 978-0-9821489-4-5.")</f>
        <v>Abrantes, S. e Gouveia, L. (2010). A comparison study on early adoption of 
mobile devices and desktops within collaborative environments in higher 
education. 15th IBIMA Conference in Cairo, Egypt 6-7 November 2010. 
Conference proceedings full paper. ISBN: 978-0-9821489-4-5.</v>
      </c>
      <c r="C209" s="2">
        <f t="shared" ca="1" si="0"/>
        <v>28</v>
      </c>
      <c r="D209" t="str">
        <f t="shared" ca="1" si="29"/>
        <v xml:space="preserve">Abrantes, S. e Gouveia, L. </v>
      </c>
      <c r="E209" t="str">
        <f t="shared" ca="1" si="24"/>
        <v>2010</v>
      </c>
      <c r="F209" t="str">
        <f t="shared" ca="1" si="25"/>
        <v xml:space="preserve"> A comparison study on early adoption of 
mobile devices and desktops within collaborative environments in higher 
education. </v>
      </c>
      <c r="G209" s="3">
        <f t="shared" ca="1" si="26"/>
        <v>33</v>
      </c>
      <c r="H209" s="2">
        <f t="shared" ca="1" si="27"/>
        <v>159</v>
      </c>
      <c r="I209" t="e">
        <f t="shared" ca="1" si="28"/>
        <v>#VALUE!</v>
      </c>
      <c r="J209" s="3" t="e">
        <f t="shared" ca="1" si="30"/>
        <v>#VALUE!</v>
      </c>
      <c r="K209" t="str">
        <f t="shared" ca="1" si="6"/>
        <v xml:space="preserve">Abrantes, S. e Gouveia, L. </v>
      </c>
      <c r="L209" t="str">
        <f t="shared" ca="1" si="7"/>
        <v xml:space="preserve">Quental, C. </v>
      </c>
    </row>
    <row r="210" spans="1:14" ht="15.75" customHeight="1">
      <c r="A210">
        <f ca="1">IFERROR(__xludf.DUMMYFUNCTION("""COMPUTED_VALUE"""),84)</f>
        <v>84</v>
      </c>
      <c r="B210" t="str">
        <f ca="1">IFERROR(__xludf.DUMMYFUNCTION("""COMPUTED_VALUE"""),"Sousa, A.; Agante, P. and Gouveia, L. (2010). *Liberopinion: a Web Platform 
for Enhancing e-Democracy*. Cunningham, P. and Cunningham, M. (eds) (2010). 
eChallenges e-2010 Conference Proceedings. IIMC International Information 
Management Corporation. IE"&amp;"EE Xplore Digital Library. ISBN: 
978-1-905824-21-2 
paper [ pdf (292KB)]")</f>
        <v>Sousa, A.; Agante, P. and Gouveia, L. (2010). *Liberopinion: a Web Platform 
for Enhancing e-Democracy*. Cunningham, P. and Cunningham, M. (eds) (2010). 
eChallenges e-2010 Conference Proceedings. IIMC International Information 
Management Corporation. IEEE Xplore Digital Library. ISBN: 
978-1-905824-21-2 
paper [ pdf (292KB)]</v>
      </c>
      <c r="C210" s="2">
        <f t="shared" ca="1" si="0"/>
        <v>39</v>
      </c>
      <c r="D210" t="str">
        <f t="shared" ca="1" si="29"/>
        <v xml:space="preserve">Sousa, A.; Agante, P. and Gouveia, L. </v>
      </c>
      <c r="E210" t="str">
        <f t="shared" ca="1" si="24"/>
        <v>2010</v>
      </c>
      <c r="F210" t="str">
        <f t="shared" ca="1" si="25"/>
        <v xml:space="preserve"> *Liberopinion: a Web Platform 
for Enhancing e-Democracy*. </v>
      </c>
      <c r="G210" s="3">
        <f t="shared" ca="1" si="26"/>
        <v>44</v>
      </c>
      <c r="H210" s="2">
        <f t="shared" ca="1" si="27"/>
        <v>104</v>
      </c>
      <c r="I210" t="str">
        <f t="shared" ca="1" si="28"/>
        <v>Cunningham, P. and Cunningham, M. (eds) (2010).</v>
      </c>
      <c r="J210" s="3">
        <f t="shared" ca="1" si="30"/>
        <v>151</v>
      </c>
      <c r="K210" t="str">
        <f t="shared" ca="1" si="6"/>
        <v xml:space="preserve">Sousa, A.; Agante, P. ; Gouveia, L. </v>
      </c>
      <c r="L210" t="str">
        <f t="shared" ca="1" si="7"/>
        <v xml:space="preserve">Quental, C. </v>
      </c>
      <c r="M210" t="str">
        <f ca="1">IFERROR(__xludf.DUMMYFUNCTION("""COMPUTED_VALUE""")," Agante, P. ")</f>
        <v xml:space="preserve"> Agante, P. </v>
      </c>
      <c r="N210" t="str">
        <f ca="1">IFERROR(__xludf.DUMMYFUNCTION("""COMPUTED_VALUE""")," Gouveia, L. ")</f>
        <v xml:space="preserve"> Gouveia, L. </v>
      </c>
    </row>
    <row r="211" spans="1:14" ht="15.75" customHeight="1">
      <c r="A211">
        <f ca="1">IFERROR(__xludf.DUMMYFUNCTION("""COMPUTED_VALUE"""),83)</f>
        <v>83</v>
      </c>
      <c r="B211" t="str">
        <f ca="1">IFERROR(__xludf.DUMMYFUNCTION("""COMPUTED_VALUE"""),"Sousa, A.; Agante, P. and Gouveia, L. (2010). Governmeter: monitoring 
government performance. A Web Based Application Proposal. Andersen, K. et 
al. (Eds.): EGOVIS 2010. *Lecture Notes on Computer Science*. 
Springer-Verlag Berlin Heidelberg. LNCS 6267, "&amp;"pp. 158–165.")</f>
        <v>Sousa, A.; Agante, P. and Gouveia, L. (2010). Governmeter: monitoring 
government performance. A Web Based Application Proposal. Andersen, K. et 
al. (Eds.): EGOVIS 2010. *Lecture Notes on Computer Science*. 
Springer-Verlag Berlin Heidelberg. LNCS 6267, pp. 158–165.</v>
      </c>
      <c r="C211" s="2">
        <f t="shared" ca="1" si="0"/>
        <v>39</v>
      </c>
      <c r="D211" t="str">
        <f t="shared" ca="1" si="29"/>
        <v xml:space="preserve">Sousa, A.; Agante, P. and Gouveia, L. </v>
      </c>
      <c r="E211" t="str">
        <f t="shared" ca="1" si="24"/>
        <v>2010</v>
      </c>
      <c r="F211" t="str">
        <f t="shared" ca="1" si="25"/>
        <v xml:space="preserve"> Governmeter: monitoring 
government performance. </v>
      </c>
      <c r="G211" s="3">
        <f t="shared" ca="1" si="26"/>
        <v>44</v>
      </c>
      <c r="H211" s="2">
        <f t="shared" ca="1" si="27"/>
        <v>94</v>
      </c>
      <c r="I211" t="e">
        <f t="shared" ca="1" si="28"/>
        <v>#VALUE!</v>
      </c>
      <c r="J211" s="3" t="e">
        <f t="shared" ca="1" si="30"/>
        <v>#VALUE!</v>
      </c>
      <c r="K211" t="str">
        <f t="shared" ca="1" si="6"/>
        <v xml:space="preserve">Sousa, A.; Agante, P. ; Gouveia, L. </v>
      </c>
      <c r="L211" t="str">
        <f t="shared" ca="1" si="7"/>
        <v xml:space="preserve">Quental, C. </v>
      </c>
      <c r="M211" t="str">
        <f ca="1">IFERROR(__xludf.DUMMYFUNCTION("""COMPUTED_VALUE""")," Agante, P. ")</f>
        <v xml:space="preserve"> Agante, P. </v>
      </c>
      <c r="N211" t="str">
        <f ca="1">IFERROR(__xludf.DUMMYFUNCTION("""COMPUTED_VALUE""")," Gouveia, L. ")</f>
        <v xml:space="preserve"> Gouveia, L. </v>
      </c>
    </row>
    <row r="212" spans="1:14" ht="15.75" customHeight="1">
      <c r="A212">
        <f ca="1">IFERROR(__xludf.DUMMYFUNCTION("""COMPUTED_VALUE"""),82)</f>
        <v>82</v>
      </c>
      <c r="B212" t="str">
        <f ca="1">IFERROR(__xludf.DUMMYFUNCTION("""COMPUTED_VALUE"""),"Sousa, A.; Agante, P. and Gouveia, L. (2010). *Liberopinion: a Web Platform 
for Enhancing e-Democracy*. Cunningham, P. and Cunningham, M. (eds) (2010). 
eChallenges e-2010 Conference Proceedings. IIMC International Information 
Management Corporation. IS"&amp;"BN: 978-1-905824-20 
presentation [ slideshare ]")</f>
        <v>Sousa, A.; Agante, P. and Gouveia, L. (2010). *Liberopinion: a Web Platform 
for Enhancing e-Democracy*. Cunningham, P. and Cunningham, M. (eds) (2010). 
eChallenges e-2010 Conference Proceedings. IIMC International Information 
Management Corporation. ISBN: 978-1-905824-20 
presentation [ slideshare ]</v>
      </c>
      <c r="C212" s="2">
        <f t="shared" ca="1" si="0"/>
        <v>39</v>
      </c>
      <c r="D212" t="str">
        <f t="shared" ca="1" si="29"/>
        <v xml:space="preserve">Sousa, A.; Agante, P. and Gouveia, L. </v>
      </c>
      <c r="E212" t="str">
        <f t="shared" ca="1" si="24"/>
        <v>2010</v>
      </c>
      <c r="F212" t="str">
        <f t="shared" ca="1" si="25"/>
        <v xml:space="preserve"> *Liberopinion: a Web Platform 
for Enhancing e-Democracy*. </v>
      </c>
      <c r="G212" s="3">
        <f t="shared" ca="1" si="26"/>
        <v>44</v>
      </c>
      <c r="H212" s="2">
        <f t="shared" ca="1" si="27"/>
        <v>104</v>
      </c>
      <c r="I212" t="str">
        <f t="shared" ca="1" si="28"/>
        <v>Cunningham, P. and Cunningham, M. (eds) (2010).</v>
      </c>
      <c r="J212" s="3">
        <f t="shared" ca="1" si="30"/>
        <v>151</v>
      </c>
      <c r="K212" t="str">
        <f t="shared" ca="1" si="6"/>
        <v xml:space="preserve">Sousa, A.; Agante, P. ; Gouveia, L. </v>
      </c>
      <c r="L212" t="str">
        <f t="shared" ca="1" si="7"/>
        <v xml:space="preserve">Quental, C. </v>
      </c>
      <c r="M212" t="str">
        <f ca="1">IFERROR(__xludf.DUMMYFUNCTION("""COMPUTED_VALUE""")," Agante, P. ")</f>
        <v xml:space="preserve"> Agante, P. </v>
      </c>
      <c r="N212" t="str">
        <f ca="1">IFERROR(__xludf.DUMMYFUNCTION("""COMPUTED_VALUE""")," Gouveia, L. ")</f>
        <v xml:space="preserve"> Gouveia, L. </v>
      </c>
    </row>
    <row r="213" spans="1:14" ht="15.75" customHeight="1">
      <c r="A213">
        <f ca="1">IFERROR(__xludf.DUMMYFUNCTION("""COMPUTED_VALUE"""),81)</f>
        <v>81</v>
      </c>
      <c r="B213" t="str">
        <f ca="1">IFERROR(__xludf.DUMMYFUNCTION("""COMPUTED_VALUE"""),"Abrantes, S. e Gouveia, L. (2010). Laptops vs Desktops in a Google Groups 
environment. 13th Interactive Computer Aided Learning (ICL) 2010. 15-17 
September. Hasselt, Belgium. ICL2010 Proceedings on CD ISBN: 978-3-89958 
paper [  pdf (KB)] | apresentação"&amp;" [ slideshare ]")</f>
        <v>Abrantes, S. e Gouveia, L. (2010). Laptops vs Desktops in a Google Groups 
environment. 13th Interactive Computer Aided Learning (ICL) 2010. 15-17 
September. Hasselt, Belgium. ICL2010 Proceedings on CD ISBN: 978-3-89958 
paper [  pdf (KB)] | apresentação [ slideshare ]</v>
      </c>
      <c r="C213" s="2">
        <f t="shared" ca="1" si="0"/>
        <v>28</v>
      </c>
      <c r="D213" t="str">
        <f t="shared" ca="1" si="29"/>
        <v xml:space="preserve">Abrantes, S. e Gouveia, L. </v>
      </c>
      <c r="E213" t="str">
        <f t="shared" ca="1" si="24"/>
        <v>2010</v>
      </c>
      <c r="F213" t="str">
        <f t="shared" ca="1" si="25"/>
        <v xml:space="preserve"> Laptops vs Desktops in a Google Groups 
environment. </v>
      </c>
      <c r="G213" s="3">
        <f t="shared" ca="1" si="26"/>
        <v>33</v>
      </c>
      <c r="H213" s="2">
        <f t="shared" ca="1" si="27"/>
        <v>87</v>
      </c>
      <c r="I213" t="e">
        <f t="shared" ca="1" si="28"/>
        <v>#VALUE!</v>
      </c>
      <c r="J213" s="3" t="e">
        <f t="shared" ca="1" si="30"/>
        <v>#VALUE!</v>
      </c>
      <c r="K213" t="str">
        <f t="shared" ca="1" si="6"/>
        <v xml:space="preserve">Abrantes, S. e Gouveia, L. </v>
      </c>
      <c r="L213" t="str">
        <f t="shared" ca="1" si="7"/>
        <v xml:space="preserve">Quental, C. </v>
      </c>
    </row>
    <row r="214" spans="1:14" ht="15.75" customHeight="1">
      <c r="A214">
        <f ca="1">IFERROR(__xludf.DUMMYFUNCTION("""COMPUTED_VALUE"""),80)</f>
        <v>80</v>
      </c>
      <c r="B214" t="str">
        <f ca="1">IFERROR(__xludf.DUMMYFUNCTION("""COMPUTED_VALUE"""),"Abrantes, S. e Gouveia, L. (2010). A study on the usage of mobile devices 
in collaborative environments vs desktops. International Conference on 
e-Business (ICE-B) 2010. 26-28 July. Athens, Greece. (poster) 
paper [ ieeeXplore ] | poster [ slideshare ]")</f>
        <v>Abrantes, S. e Gouveia, L. (2010). A study on the usage of mobile devices 
in collaborative environments vs desktops. International Conference on 
e-Business (ICE-B) 2010. 26-28 July. Athens, Greece. (poster) 
paper [ ieeeXplore ] | poster [ slideshare ]</v>
      </c>
      <c r="C214" s="2">
        <f t="shared" ca="1" si="0"/>
        <v>28</v>
      </c>
      <c r="D214" t="str">
        <f t="shared" ca="1" si="29"/>
        <v xml:space="preserve">Abrantes, S. e Gouveia, L. </v>
      </c>
      <c r="E214" t="str">
        <f t="shared" ca="1" si="24"/>
        <v>2010</v>
      </c>
      <c r="F214" t="str">
        <f t="shared" ca="1" si="25"/>
        <v xml:space="preserve"> A study on the usage of mobile devices 
in collaborative environments vs desktops. </v>
      </c>
      <c r="G214" s="3">
        <f t="shared" ca="1" si="26"/>
        <v>33</v>
      </c>
      <c r="H214" s="2">
        <f t="shared" ca="1" si="27"/>
        <v>117</v>
      </c>
      <c r="I214" t="e">
        <f t="shared" ca="1" si="28"/>
        <v>#VALUE!</v>
      </c>
      <c r="J214" s="3" t="e">
        <f t="shared" ca="1" si="30"/>
        <v>#VALUE!</v>
      </c>
      <c r="K214" t="str">
        <f t="shared" ca="1" si="6"/>
        <v xml:space="preserve">Abrantes, S. e Gouveia, L. </v>
      </c>
      <c r="L214" t="str">
        <f t="shared" ca="1" si="7"/>
        <v xml:space="preserve">Quental, C. </v>
      </c>
    </row>
    <row r="215" spans="1:14" ht="15.75" customHeight="1">
      <c r="A215">
        <f ca="1">IFERROR(__xludf.DUMMYFUNCTION("""COMPUTED_VALUE"""),79)</f>
        <v>79</v>
      </c>
      <c r="B215" t="str">
        <f ca="1">IFERROR(__xludf.DUMMYFUNCTION("""COMPUTED_VALUE"""),"Sousa, A. e Gouveia, L. (2010). *Liberopinion: uma plataforma para Eleições 
2.0*. Rocha, A. e tal. (2010). Actas da 5º CISTI – Sistemas y Tecnologías 
de Información. AISTI. Santiago de Compostela, Espanã. Vol I – Artículos, 
pp 468-472. ISBN: 978-989-96"&amp;"247-3-3.
paper [ ieeeXplore ] | presentation [ slideshare ]")</f>
        <v>Sousa, A. e Gouveia, L. (2010). *Liberopinion: uma plataforma para Eleições 
2.0*. Rocha, A. e tal. (2010). Actas da 5º CISTI – Sistemas y Tecnologías 
de Información. AISTI. Santiago de Compostela, Espanã. Vol I – Artículos, 
pp 468-472. ISBN: 978-989-96247-3-3.
paper [ ieeeXplore ] | presentation [ slideshare ]</v>
      </c>
      <c r="C215" s="2">
        <f t="shared" ca="1" si="0"/>
        <v>25</v>
      </c>
      <c r="D215" t="str">
        <f t="shared" ca="1" si="29"/>
        <v xml:space="preserve">Sousa, A. e Gouveia, L. </v>
      </c>
      <c r="E215" t="str">
        <f t="shared" ca="1" si="24"/>
        <v>2010</v>
      </c>
      <c r="F215" t="str">
        <f t="shared" ca="1" si="25"/>
        <v xml:space="preserve"> *Liberopinion: uma plataforma para Eleições 
2.0</v>
      </c>
      <c r="G215" s="3">
        <f t="shared" ca="1" si="26"/>
        <v>30</v>
      </c>
      <c r="H215" s="2">
        <f t="shared" ca="1" si="27"/>
        <v>79</v>
      </c>
      <c r="I215" t="str">
        <f t="shared" ca="1" si="28"/>
        <v>*. Rocha, A. e tal. (2010).</v>
      </c>
      <c r="J215" s="3">
        <f t="shared" ca="1" si="30"/>
        <v>106</v>
      </c>
      <c r="K215" t="str">
        <f t="shared" ca="1" si="6"/>
        <v xml:space="preserve">Sousa, A. e Gouveia, L. </v>
      </c>
      <c r="L215" t="str">
        <f t="shared" ca="1" si="7"/>
        <v xml:space="preserve">Quental, C. </v>
      </c>
    </row>
    <row r="216" spans="1:14" ht="15.75" customHeight="1">
      <c r="A216">
        <f ca="1">IFERROR(__xludf.DUMMYFUNCTION("""COMPUTED_VALUE"""),78)</f>
        <v>78</v>
      </c>
      <c r="B216" t="str">
        <f ca="1">IFERROR(__xludf.DUMMYFUNCTION("""COMPUTED_VALUE"""),"Abrantes, S. e Gouveia, L. (2010). Using Google Groups in an m-learning 
environment. International Conference on Education and New Learning 
Technologies EDULEARN10. 5-7 July. Barcelona, Spain. EDULEARN10 Proceedings 
on CD.
ISBN: 978-84-613-9386-2 
pape"&amp;"r [ pdf (KB)] | apresentação [ slideshare ]")</f>
        <v>Abrantes, S. e Gouveia, L. (2010). Using Google Groups in an m-learning 
environment. International Conference on Education and New Learning 
Technologies EDULEARN10. 5-7 July. Barcelona, Spain. EDULEARN10 Proceedings 
on CD.
ISBN: 978-84-613-9386-2 
paper [ pdf (KB)] | apresentação [ slideshare ]</v>
      </c>
      <c r="C216" s="2">
        <f t="shared" ca="1" si="0"/>
        <v>28</v>
      </c>
      <c r="D216" t="str">
        <f t="shared" ca="1" si="29"/>
        <v xml:space="preserve">Abrantes, S. e Gouveia, L. </v>
      </c>
      <c r="E216" t="str">
        <f t="shared" ca="1" si="24"/>
        <v>2010</v>
      </c>
      <c r="F216" t="str">
        <f t="shared" ca="1" si="25"/>
        <v xml:space="preserve"> Using Google Groups in an m-learning 
environment. </v>
      </c>
      <c r="G216" s="3">
        <f t="shared" ca="1" si="26"/>
        <v>33</v>
      </c>
      <c r="H216" s="2">
        <f t="shared" ca="1" si="27"/>
        <v>85</v>
      </c>
      <c r="I216" t="e">
        <f t="shared" ca="1" si="28"/>
        <v>#VALUE!</v>
      </c>
      <c r="J216" s="3" t="e">
        <f t="shared" ca="1" si="30"/>
        <v>#VALUE!</v>
      </c>
      <c r="K216" t="str">
        <f t="shared" ca="1" si="6"/>
        <v xml:space="preserve">Abrantes, S. e Gouveia, L. </v>
      </c>
      <c r="L216" t="str">
        <f t="shared" ca="1" si="7"/>
        <v xml:space="preserve">Quental, C. </v>
      </c>
    </row>
    <row r="217" spans="1:14" ht="15.75" customHeight="1">
      <c r="A217">
        <f ca="1">IFERROR(__xludf.DUMMYFUNCTION("""COMPUTED_VALUE"""),77)</f>
        <v>77</v>
      </c>
      <c r="B217" t="str">
        <f ca="1">IFERROR(__xludf.DUMMYFUNCTION("""COMPUTED_VALUE"""),"Abrantes, S. e Gouveia, L. (2010). Learning Environments. InSite 2010. 
19-24 Junho. Cassino, Italy. Proceedings of Informing Science &amp; IT 
Education Conference (InSITE) 2010, pp 449-466. ISSN: 1535-07-03. 
paper [  pdf ] | apresentação [ slideshare ]")</f>
        <v>Abrantes, S. e Gouveia, L. (2010). Learning Environments. InSite 2010. 
19-24 Junho. Cassino, Italy. Proceedings of Informing Science &amp; IT 
Education Conference (InSITE) 2010, pp 449-466. ISSN: 1535-07-03. 
paper [  pdf ] | apresentação [ slideshare ]</v>
      </c>
      <c r="C217" s="2">
        <f t="shared" ca="1" si="0"/>
        <v>28</v>
      </c>
      <c r="D217" t="str">
        <f t="shared" ca="1" si="29"/>
        <v xml:space="preserve">Abrantes, S. e Gouveia, L. </v>
      </c>
      <c r="E217" t="str">
        <f t="shared" ca="1" si="24"/>
        <v>2010</v>
      </c>
      <c r="F217" t="str">
        <f t="shared" ca="1" si="25"/>
        <v xml:space="preserve"> Learning Environments. </v>
      </c>
      <c r="G217" s="3">
        <f t="shared" ca="1" si="26"/>
        <v>33</v>
      </c>
      <c r="H217" s="2">
        <f t="shared" ca="1" si="27"/>
        <v>57</v>
      </c>
      <c r="I217" t="e">
        <f t="shared" ca="1" si="28"/>
        <v>#VALUE!</v>
      </c>
      <c r="J217" s="3" t="e">
        <f t="shared" ca="1" si="30"/>
        <v>#VALUE!</v>
      </c>
      <c r="K217" t="str">
        <f t="shared" ca="1" si="6"/>
        <v xml:space="preserve">Abrantes, S. e Gouveia, L. </v>
      </c>
      <c r="L217" t="str">
        <f t="shared" ca="1" si="7"/>
        <v xml:space="preserve">Quental, C. </v>
      </c>
    </row>
    <row r="218" spans="1:14" ht="15.75" customHeight="1">
      <c r="A218">
        <f ca="1">IFERROR(__xludf.DUMMYFUNCTION("""COMPUTED_VALUE"""),76)</f>
        <v>76</v>
      </c>
      <c r="B218" t="str">
        <f ca="1">IFERROR(__xludf.DUMMYFUNCTION("""COMPUTED_VALUE"""),"Sousa, A.; Agante, P. and Gouveia, L. (2010). *Liberopinion as an enabling 
platform for elections 2.0: a case study*. EPMA – European Projects &amp; 
Management. Praha. Czech Republic, 21-23 April. 
Presentation [ slideshare ]")</f>
        <v>Sousa, A.; Agante, P. and Gouveia, L. (2010). *Liberopinion as an enabling 
platform for elections 2.0: a case study*. EPMA – European Projects &amp; 
Management. Praha. Czech Republic, 21-23 April. 
Presentation [ slideshare ]</v>
      </c>
      <c r="C218" s="2">
        <f t="shared" ca="1" si="0"/>
        <v>39</v>
      </c>
      <c r="D218" t="str">
        <f t="shared" ca="1" si="29"/>
        <v xml:space="preserve">Sousa, A.; Agante, P. and Gouveia, L. </v>
      </c>
      <c r="E218" t="str">
        <f t="shared" ca="1" si="24"/>
        <v>2010</v>
      </c>
      <c r="F218" t="str">
        <f t="shared" ca="1" si="25"/>
        <v xml:space="preserve"> *Liberopinion as an enabling 
platform for elections 2.0</v>
      </c>
      <c r="G218" s="3">
        <f t="shared" ca="1" si="26"/>
        <v>44</v>
      </c>
      <c r="H218" s="2">
        <f t="shared" ca="1" si="27"/>
        <v>101</v>
      </c>
      <c r="I218" t="e">
        <f t="shared" ca="1" si="28"/>
        <v>#VALUE!</v>
      </c>
      <c r="J218" s="3" t="e">
        <f t="shared" ca="1" si="30"/>
        <v>#VALUE!</v>
      </c>
      <c r="K218" t="str">
        <f t="shared" ca="1" si="6"/>
        <v xml:space="preserve">Sousa, A.; Agante, P. ; Gouveia, L. </v>
      </c>
      <c r="L218" t="str">
        <f t="shared" ca="1" si="7"/>
        <v xml:space="preserve">Quental, C. </v>
      </c>
      <c r="M218" t="str">
        <f ca="1">IFERROR(__xludf.DUMMYFUNCTION("""COMPUTED_VALUE""")," Agante, P. ")</f>
        <v xml:space="preserve"> Agante, P. </v>
      </c>
      <c r="N218" t="str">
        <f ca="1">IFERROR(__xludf.DUMMYFUNCTION("""COMPUTED_VALUE""")," Gouveia, L. ")</f>
        <v xml:space="preserve"> Gouveia, L. </v>
      </c>
    </row>
    <row r="219" spans="1:14" ht="15.75" customHeight="1">
      <c r="A219">
        <f ca="1">IFERROR(__xludf.DUMMYFUNCTION("""COMPUTED_VALUE"""),75)</f>
        <v>75</v>
      </c>
      <c r="B219" t="str">
        <f ca="1">IFERROR(__xludf.DUMMYFUNCTION("""COMPUTED_VALUE"""),"Silva, P. e Gouveia, L. (2010). A geração digital no novo mundo 
empresarial. XI Conferência Internacional de Educação em Engenharia e 
Tecnologia INTERTECH’ 2010. Ilhéus. Baia. Brasil, 7-10 de Março. ISBN: 
978858912075-3.
apresentação [ slideshare ]")</f>
        <v>Silva, P. e Gouveia, L. (2010). A geração digital no novo mundo 
empresarial. XI Conferência Internacional de Educação em Engenharia e 
Tecnologia INTERTECH’ 2010. Ilhéus. Baia. Brasil, 7-10 de Março. ISBN: 
978858912075-3.
apresentação [ slideshare ]</v>
      </c>
      <c r="C219" s="2">
        <f t="shared" ca="1" si="0"/>
        <v>25</v>
      </c>
      <c r="D219" t="str">
        <f t="shared" ca="1" si="29"/>
        <v xml:space="preserve">Silva, P. e Gouveia, L. </v>
      </c>
      <c r="E219" t="str">
        <f t="shared" ca="1" si="24"/>
        <v>2010</v>
      </c>
      <c r="F219" t="str">
        <f t="shared" ca="1" si="25"/>
        <v xml:space="preserve"> A geração digital no novo mundo 
empresarial. </v>
      </c>
      <c r="G219" s="3">
        <f t="shared" ca="1" si="26"/>
        <v>30</v>
      </c>
      <c r="H219" s="2">
        <f t="shared" ca="1" si="27"/>
        <v>77</v>
      </c>
      <c r="I219" t="e">
        <f t="shared" ca="1" si="28"/>
        <v>#VALUE!</v>
      </c>
      <c r="J219" s="3" t="e">
        <f t="shared" ca="1" si="30"/>
        <v>#VALUE!</v>
      </c>
      <c r="K219" t="str">
        <f t="shared" ca="1" si="6"/>
        <v xml:space="preserve">Silva, P. e Gouveia, L. </v>
      </c>
      <c r="L219" t="str">
        <f t="shared" ca="1" si="7"/>
        <v xml:space="preserve">Quental, C. </v>
      </c>
    </row>
    <row r="220" spans="1:14" ht="15.75" customHeight="1">
      <c r="A220">
        <f ca="1">IFERROR(__xludf.DUMMYFUNCTION("""COMPUTED_VALUE"""),74)</f>
        <v>74</v>
      </c>
      <c r="B220" t="str">
        <f ca="1">IFERROR(__xludf.DUMMYFUNCTION("""COMPUTED_VALUE"""),"Gouveia, L. (2009). *O Conceito de Rede no Digital face aos Media Sociais.* 
XI Forum «Communiquer et Entreprendre». 26/27 Novembre. RCMFM et Université 
Fernando Pessoa. Porto, Portugal.
paper [ pdf (496KB)] | apresentação [ slideshare ]")</f>
        <v>Gouveia, L. (2009). *O Conceito de Rede no Digital face aos Media Sociais.* 
XI Forum «Communiquer et Entreprendre». 26/27 Novembre. RCMFM et Université 
Fernando Pessoa. Porto, Portugal.
paper [ pdf (496KB)] | apresentação [ slideshare ]</v>
      </c>
      <c r="C220" s="2">
        <f t="shared" ca="1" si="0"/>
        <v>13</v>
      </c>
      <c r="D220" t="str">
        <f t="shared" ca="1" si="29"/>
        <v xml:space="preserve">Gouveia, L. </v>
      </c>
      <c r="E220" t="str">
        <f t="shared" ca="1" si="24"/>
        <v>2009</v>
      </c>
      <c r="F220" t="str">
        <f t="shared" ca="1" si="25"/>
        <v xml:space="preserve"> *O Conceito de Rede no Digital face aos Media Sociais.*</v>
      </c>
      <c r="G220" s="3">
        <f t="shared" ca="1" si="26"/>
        <v>18</v>
      </c>
      <c r="H220" s="2">
        <f t="shared" ca="1" si="27"/>
        <v>74</v>
      </c>
      <c r="I220" t="e">
        <f t="shared" ca="1" si="28"/>
        <v>#VALUE!</v>
      </c>
      <c r="J220" s="3" t="e">
        <f t="shared" ca="1" si="30"/>
        <v>#VALUE!</v>
      </c>
      <c r="K220" t="str">
        <f t="shared" ca="1" si="6"/>
        <v xml:space="preserve">Gouveia, L. </v>
      </c>
      <c r="L220" t="str">
        <f t="shared" ca="1" si="7"/>
        <v xml:space="preserve">Quental, C. </v>
      </c>
    </row>
    <row r="221" spans="1:14" ht="15.75" customHeight="1">
      <c r="A221">
        <f ca="1">IFERROR(__xludf.DUMMYFUNCTION("""COMPUTED_VALUE"""),73)</f>
        <v>73</v>
      </c>
      <c r="B221" t="str">
        <f ca="1">IFERROR(__xludf.DUMMYFUNCTION("""COMPUTED_VALUE"""),"Gouveia, L. e Gouveia, F. (2009). *Sakai as a Collaborative Open-source 
learning platform for use at University Fernando Pessoa.* IBIMA Conference. 
13th IBIMA Conference on Knowledge Management and Innovation in Advancing 
Economies. 9-10 November 2009."&amp;" Marrakech, Morocco. 
paper [ pdf (48KB)]")</f>
        <v>Gouveia, L. e Gouveia, F. (2009). *Sakai as a Collaborative Open-source 
learning platform for use at University Fernando Pessoa.* IBIMA Conference. 
13th IBIMA Conference on Knowledge Management and Innovation in Advancing 
Economies. 9-10 November 2009. Marrakech, Morocco. 
paper [ pdf (48KB)]</v>
      </c>
      <c r="C221" s="2">
        <f t="shared" ca="1" si="0"/>
        <v>27</v>
      </c>
      <c r="D221" t="str">
        <f t="shared" ca="1" si="29"/>
        <v xml:space="preserve">Gouveia, L. e Gouveia, F. </v>
      </c>
      <c r="E221" t="str">
        <f t="shared" ca="1" si="24"/>
        <v>2009</v>
      </c>
      <c r="F221" t="str">
        <f t="shared" ca="1" si="25"/>
        <v xml:space="preserve"> *Sakai as a Collaborative Open-source 
learning platform for use at University Fernando Pessoa.*</v>
      </c>
      <c r="G221" s="3">
        <f t="shared" ca="1" si="26"/>
        <v>32</v>
      </c>
      <c r="H221" s="2">
        <f t="shared" ca="1" si="27"/>
        <v>129</v>
      </c>
      <c r="I221" t="e">
        <f t="shared" ca="1" si="28"/>
        <v>#VALUE!</v>
      </c>
      <c r="J221" s="3" t="e">
        <f t="shared" ca="1" si="30"/>
        <v>#VALUE!</v>
      </c>
      <c r="K221" t="str">
        <f t="shared" ca="1" si="6"/>
        <v xml:space="preserve">Gouveia, L. e Gouveia, F. </v>
      </c>
      <c r="L221" t="str">
        <f t="shared" ca="1" si="7"/>
        <v xml:space="preserve">Quental, C. </v>
      </c>
    </row>
    <row r="222" spans="1:14" ht="15.75" customHeight="1">
      <c r="A222">
        <f ca="1">IFERROR(__xludf.DUMMYFUNCTION("""COMPUTED_VALUE"""),72)</f>
        <v>72</v>
      </c>
      <c r="B222" t="str">
        <f ca="1">IFERROR(__xludf.DUMMYFUNCTION("""COMPUTED_VALUE"""),"Gouveia, L. e Gouveia, F. (2009). *Sakai experience from a real setting. 
(Our) Current ideas on how to explore the Digital Opportunity.* EDEN 
Conference. The Seventh Open Classroom Conference Incubating Creativity and 
the Capacity for Innovation: open "&amp;"content, social networking tools and 
creative learning for all. 15-17 October 2009. Porto, Portugal. 
presentation [ slideshare ]")</f>
        <v>Gouveia, L. e Gouveia, F. (2009). *Sakai experience from a real setting. 
(Our) Current ideas on how to explore the Digital Opportunity.* EDEN 
Conference. The Seventh Open Classroom Conference Incubating Creativity and 
the Capacity for Innovation: open content, social networking tools and 
creative learning for all. 15-17 October 2009. Porto, Portugal. 
presentation [ slideshare ]</v>
      </c>
      <c r="C222" s="2">
        <f t="shared" ca="1" si="0"/>
        <v>27</v>
      </c>
      <c r="D222" t="str">
        <f t="shared" ca="1" si="29"/>
        <v xml:space="preserve">Gouveia, L. e Gouveia, F. </v>
      </c>
      <c r="E222" t="str">
        <f t="shared" ca="1" si="24"/>
        <v>2009</v>
      </c>
      <c r="F222" t="str">
        <f t="shared" ca="1" si="25"/>
        <v xml:space="preserve"> *Sakai experience from a real setting. </v>
      </c>
      <c r="G222" s="3">
        <f t="shared" ca="1" si="26"/>
        <v>32</v>
      </c>
      <c r="H222" s="2">
        <f t="shared" ca="1" si="27"/>
        <v>72</v>
      </c>
      <c r="I222" t="e">
        <f t="shared" ca="1" si="28"/>
        <v>#VALUE!</v>
      </c>
      <c r="J222" s="3" t="e">
        <f t="shared" ca="1" si="30"/>
        <v>#VALUE!</v>
      </c>
      <c r="K222" t="str">
        <f t="shared" ca="1" si="6"/>
        <v xml:space="preserve">Gouveia, L. e Gouveia, F. </v>
      </c>
      <c r="L222" t="str">
        <f t="shared" ca="1" si="7"/>
        <v xml:space="preserve">Quental, C. </v>
      </c>
    </row>
    <row r="223" spans="1:14" ht="15.75" customHeight="1">
      <c r="A223">
        <f ca="1">IFERROR(__xludf.DUMMYFUNCTION("""COMPUTED_VALUE"""),71)</f>
        <v>71</v>
      </c>
      <c r="B223" t="str">
        <f ca="1">IFERROR(__xludf.DUMMYFUNCTION("""COMPUTED_VALUE"""),"*Simões, L. e Gouveia, L . (2009)* Schools and Social Software Appropriation. 
VI Conferência Internacional de TIC na Educação - Challenges 2009. Universidade 
do Minho. 14 e 15 de Maio, Braga. 
presentation [ pdf(88KB) ]")</f>
        <v>*Simões, L. e Gouveia, L . (2009)* Schools and Social Software Appropriation. 
VI Conferência Internacional de TIC na Educação - Challenges 2009. Universidade 
do Minho. 14 e 15 de Maio, Braga. 
presentation [ pdf(88KB) ]</v>
      </c>
      <c r="C223" s="2">
        <f t="shared" ca="1" si="0"/>
        <v>28</v>
      </c>
      <c r="D223" t="str">
        <f t="shared" ca="1" si="29"/>
        <v xml:space="preserve">*Simões, L. e Gouveia, L . </v>
      </c>
      <c r="E223" t="str">
        <f t="shared" ca="1" si="24"/>
        <v>2009</v>
      </c>
      <c r="F223" t="e">
        <f t="shared" ca="1" si="25"/>
        <v>#VALUE!</v>
      </c>
      <c r="G223" s="3" t="e">
        <f t="shared" ca="1" si="26"/>
        <v>#VALUE!</v>
      </c>
      <c r="H223" s="2" t="e">
        <f t="shared" ca="1" si="27"/>
        <v>#VALUE!</v>
      </c>
      <c r="I223" t="e">
        <f t="shared" ca="1" si="28"/>
        <v>#VALUE!</v>
      </c>
      <c r="J223" s="3" t="e">
        <f t="shared" ca="1" si="30"/>
        <v>#VALUE!</v>
      </c>
      <c r="K223" t="str">
        <f t="shared" ca="1" si="6"/>
        <v xml:space="preserve">*Simões, L. e Gouveia, L . </v>
      </c>
      <c r="L223" t="str">
        <f t="shared" ca="1" si="7"/>
        <v xml:space="preserve">Quental, C. </v>
      </c>
    </row>
    <row r="224" spans="1:14" ht="15.75" customHeight="1">
      <c r="A224">
        <f ca="1">IFERROR(__xludf.DUMMYFUNCTION("""COMPUTED_VALUE"""),70)</f>
        <v>70</v>
      </c>
      <c r="B224" t="str">
        <f ca="1">IFERROR(__xludf.DUMMYFUNCTION("""COMPUTED_VALUE"""),"Gaio, S.; Gouveia, L. and Gouveia, J. (2008). *Netorwork Based Branding: a 
collaborative model for the development of place brands*. International 
Conference Marketing Cities: Place Branding in Perspective. 4-6th December. 
Berlin, City Hall. 
presentat"&amp;"ion [ pdf(209KB) ]")</f>
        <v>Gaio, S.; Gouveia, L. and Gouveia, J. (2008). *Netorwork Based Branding: a 
collaborative model for the development of place brands*. International 
Conference Marketing Cities: Place Branding in Perspective. 4-6th December. 
Berlin, City Hall. 
presentation [ pdf(209KB) ]</v>
      </c>
      <c r="C224" s="2">
        <f t="shared" ca="1" si="0"/>
        <v>39</v>
      </c>
      <c r="D224" t="str">
        <f t="shared" ca="1" si="29"/>
        <v xml:space="preserve">Gaio, S.; Gouveia, L. and Gouveia, J. </v>
      </c>
      <c r="E224" t="str">
        <f t="shared" ca="1" si="24"/>
        <v>2008</v>
      </c>
      <c r="F224" t="str">
        <f t="shared" ca="1" si="25"/>
        <v xml:space="preserve"> *Netorwork Based Branding: a 
collaborative model for the development of place brands*. </v>
      </c>
      <c r="G224" s="3">
        <f t="shared" ca="1" si="26"/>
        <v>44</v>
      </c>
      <c r="H224" s="2">
        <f t="shared" ca="1" si="27"/>
        <v>133</v>
      </c>
      <c r="I224" t="e">
        <f t="shared" ca="1" si="28"/>
        <v>#VALUE!</v>
      </c>
      <c r="J224" s="3" t="e">
        <f t="shared" ca="1" si="30"/>
        <v>#VALUE!</v>
      </c>
      <c r="K224" t="str">
        <f t="shared" ca="1" si="6"/>
        <v xml:space="preserve">Gaio, S.; Gouveia, L. ; Gouveia, J. </v>
      </c>
      <c r="L224" t="str">
        <f t="shared" ca="1" si="7"/>
        <v xml:space="preserve">Quental, C. </v>
      </c>
      <c r="M224" t="str">
        <f ca="1">IFERROR(__xludf.DUMMYFUNCTION("""COMPUTED_VALUE""")," Gouveia, L. ")</f>
        <v xml:space="preserve"> Gouveia, L. </v>
      </c>
      <c r="N224" t="str">
        <f ca="1">IFERROR(__xludf.DUMMYFUNCTION("""COMPUTED_VALUE""")," Gouveia, J. ")</f>
        <v xml:space="preserve"> Gouveia, J. </v>
      </c>
    </row>
    <row r="225" spans="1:14" ht="15.75" customHeight="1">
      <c r="A225">
        <f ca="1">IFERROR(__xludf.DUMMYFUNCTION("""COMPUTED_VALUE"""),69)</f>
        <v>69</v>
      </c>
      <c r="B225" t="str">
        <f ca="1">IFERROR(__xludf.DUMMYFUNCTION("""COMPUTED_VALUE"""),"Silva, P. e Gouveia, L. (2008). *Learning space*. World Conference on 
Educational Multimedia, Hypermedia &amp; Telecommunications. ED-MEDIA 08. 
Vienna University of Technology. Vienna, Austria. June 30 - July 4. 
paper [ pdf 108KB) ] | presentation [ pdf(53"&amp;"6KB) ]")</f>
        <v>Silva, P. e Gouveia, L. (2008). *Learning space*. World Conference on 
Educational Multimedia, Hypermedia &amp; Telecommunications. ED-MEDIA 08. 
Vienna University of Technology. Vienna, Austria. June 30 - July 4. 
paper [ pdf 108KB) ] | presentation [ pdf(536KB) ]</v>
      </c>
      <c r="C225" s="2">
        <f t="shared" ca="1" si="0"/>
        <v>25</v>
      </c>
      <c r="D225" t="str">
        <f t="shared" ca="1" si="29"/>
        <v xml:space="preserve">Silva, P. e Gouveia, L. </v>
      </c>
      <c r="E225" t="str">
        <f t="shared" ca="1" si="24"/>
        <v>2008</v>
      </c>
      <c r="F225" t="str">
        <f t="shared" ca="1" si="25"/>
        <v xml:space="preserve"> *Learning space*. </v>
      </c>
      <c r="G225" s="3">
        <f t="shared" ca="1" si="26"/>
        <v>30</v>
      </c>
      <c r="H225" s="2">
        <f t="shared" ca="1" si="27"/>
        <v>49</v>
      </c>
      <c r="I225" t="e">
        <f t="shared" ca="1" si="28"/>
        <v>#VALUE!</v>
      </c>
      <c r="J225" s="3" t="e">
        <f t="shared" ca="1" si="30"/>
        <v>#VALUE!</v>
      </c>
      <c r="K225" t="str">
        <f t="shared" ca="1" si="6"/>
        <v xml:space="preserve">Silva, P. e Gouveia, L. </v>
      </c>
      <c r="L225" t="str">
        <f t="shared" ca="1" si="7"/>
        <v xml:space="preserve">Quental, C. </v>
      </c>
    </row>
    <row r="226" spans="1:14" ht="15.75" customHeight="1">
      <c r="A226">
        <f ca="1">IFERROR(__xludf.DUMMYFUNCTION("""COMPUTED_VALUE"""),68)</f>
        <v>68</v>
      </c>
      <c r="B226" t="str">
        <f ca="1">IFERROR(__xludf.DUMMYFUNCTION("""COMPUTED_VALUE"""),"Simões, L. e Gouveia, L. (2008). *Web 2.0 and Higher Education: Pedagogical 
Implications*. Higher Education: New Challenges and Emerging Roles for 
Human and Social Development. 4th International Barcelona Conference on 
Higher Education Technical Univer"&amp;"sity of Catalonia (UPC). 31 March, 1-2 
April. Proceedings of the 4th International Barcelona Conference on Higher 
Education, Vol. 2. Knowledge technologies for social transformation. 
Barcelona: GUNI. Available at http://www.guni-rmies.net. 
paper [ pdf"&amp;" (82KB) ] | presentation [ pdf(1001KB) ]")</f>
        <v>Simões, L. e Gouveia, L. (2008). *Web 2.0 and Higher Education: Pedagogical 
Implications*. Higher Education: New Challenges and Emerging Roles for 
Human and Social Development. 4th International Barcelona Conference on 
Higher Education Technical University of Catalonia (UPC). 31 March, 1-2 
April. Proceedings of the 4th International Barcelona Conference on Higher 
Education, Vol. 2. Knowledge technologies for social transformation. 
Barcelona: GUNI. Available at http://www.guni-rmies.net. 
paper [ pdf (82KB) ] | presentation [ pdf(1001KB) ]</v>
      </c>
      <c r="C226" s="2">
        <f t="shared" ca="1" si="0"/>
        <v>26</v>
      </c>
      <c r="D226" t="str">
        <f t="shared" ca="1" si="29"/>
        <v xml:space="preserve">Simões, L. e Gouveia, L. </v>
      </c>
      <c r="E226" t="str">
        <f t="shared" ca="1" si="24"/>
        <v>2008</v>
      </c>
      <c r="F226" t="str">
        <f t="shared" ca="1" si="25"/>
        <v xml:space="preserve"> *Web 2.0</v>
      </c>
      <c r="G226" s="3">
        <f t="shared" ca="1" si="26"/>
        <v>31</v>
      </c>
      <c r="H226" s="2">
        <f t="shared" ca="1" si="27"/>
        <v>40</v>
      </c>
      <c r="I226" t="str">
        <f t="shared" ca="1" si="28"/>
        <v xml:space="preserve"> and Higher Education: Pedagogical 
Implications*. Higher Education: New Challenges and Emerging Roles for 
Human and Social Development. 4th International Barcelona Conference on 
Higher Education Technical University of Catalonia (UPC).</v>
      </c>
      <c r="J226" s="3">
        <f t="shared" ca="1" si="30"/>
        <v>278</v>
      </c>
      <c r="K226" t="str">
        <f t="shared" ca="1" si="6"/>
        <v xml:space="preserve">Simões, L. e Gouveia, L. </v>
      </c>
      <c r="L226" t="str">
        <f t="shared" ca="1" si="7"/>
        <v xml:space="preserve">Quental, C. </v>
      </c>
    </row>
    <row r="227" spans="1:14" ht="15.75" customHeight="1">
      <c r="A227">
        <f ca="1">IFERROR(__xludf.DUMMYFUNCTION("""COMPUTED_VALUE"""),67)</f>
        <v>67</v>
      </c>
      <c r="B227" t="str">
        <f ca="1">IFERROR(__xludf.DUMMYFUNCTION("""COMPUTED_VALUE"""),"Gouveia, J.  e Gouveia, L. (2007). *Resultados de uma abordagem de cidade 
digital para a administração local*. 12ª CLAD. Painel As autarquias na era 
da informação: o governo electrónico local. Santo Domingo. Républica 
Dominicana. 26-30 de Outubro.
arti"&amp;"go [ pdf (126KB] ] | apresentação [ pdf (41KB] ]")</f>
        <v>Gouveia, J.  e Gouveia, L. (2007). *Resultados de uma abordagem de cidade 
digital para a administração local*. 12ª CLAD. Painel As autarquias na era 
da informação: o governo electrónico local. Santo Domingo. Républica 
Dominicana. 26-30 de Outubro.
artigo [ pdf (126KB] ] | apresentação [ pdf (41KB] ]</v>
      </c>
      <c r="C227" s="2">
        <f t="shared" ca="1" si="0"/>
        <v>28</v>
      </c>
      <c r="D227" t="str">
        <f t="shared" ca="1" si="29"/>
        <v xml:space="preserve">Gouveia, J.  e Gouveia, L. </v>
      </c>
      <c r="E227" t="str">
        <f t="shared" ca="1" si="24"/>
        <v>2007</v>
      </c>
      <c r="F227" t="str">
        <f t="shared" ca="1" si="25"/>
        <v xml:space="preserve"> *Resultados de uma abordagem de cidade 
digital para a administração local*. </v>
      </c>
      <c r="G227" s="3">
        <f t="shared" ca="1" si="26"/>
        <v>33</v>
      </c>
      <c r="H227" s="2">
        <f t="shared" ca="1" si="27"/>
        <v>111</v>
      </c>
      <c r="I227" t="e">
        <f t="shared" ca="1" si="28"/>
        <v>#VALUE!</v>
      </c>
      <c r="J227" s="3" t="e">
        <f t="shared" ca="1" si="30"/>
        <v>#VALUE!</v>
      </c>
      <c r="K227" t="str">
        <f t="shared" ca="1" si="6"/>
        <v xml:space="preserve">Gouveia, J.  e Gouveia, L. </v>
      </c>
      <c r="L227" t="str">
        <f t="shared" ca="1" si="7"/>
        <v xml:space="preserve">Quental, C. </v>
      </c>
    </row>
    <row r="228" spans="1:14" ht="15.75" customHeight="1">
      <c r="A228">
        <f ca="1">IFERROR(__xludf.DUMMYFUNCTION("""COMPUTED_VALUE"""),66)</f>
        <v>66</v>
      </c>
      <c r="B228" t="str">
        <f ca="1">IFERROR(__xludf.DUMMYFUNCTION("""COMPUTED_VALUE"""),"Gouveia, J.  e Gouveia, L. (2007). *Uma perspectiva orientada ao território 
para o local e-government*. 12ª CLAD. Painel As autarquias na era da 
informação: o governo electrónico local. Santo Domingo. Républica 
Dominicana. 26-30 de Outubro.
artigo [ pd"&amp;"f (138KB] ] | apresentação [ pdf (165KB] ]")</f>
        <v>Gouveia, J.  e Gouveia, L. (2007). *Uma perspectiva orientada ao território 
para o local e-government*. 12ª CLAD. Painel As autarquias na era da 
informação: o governo electrónico local. Santo Domingo. Républica 
Dominicana. 26-30 de Outubro.
artigo [ pdf (138KB] ] | apresentação [ pdf (165KB] ]</v>
      </c>
      <c r="C228" s="2">
        <f t="shared" ca="1" si="0"/>
        <v>28</v>
      </c>
      <c r="D228" t="str">
        <f t="shared" ca="1" si="29"/>
        <v xml:space="preserve">Gouveia, J.  e Gouveia, L. </v>
      </c>
      <c r="E228" t="str">
        <f t="shared" ca="1" si="24"/>
        <v>2007</v>
      </c>
      <c r="F228" t="str">
        <f t="shared" ca="1" si="25"/>
        <v xml:space="preserve"> *Uma perspectiva orientada ao território 
para o local e-government*. </v>
      </c>
      <c r="G228" s="3">
        <f t="shared" ca="1" si="26"/>
        <v>33</v>
      </c>
      <c r="H228" s="2">
        <f t="shared" ca="1" si="27"/>
        <v>104</v>
      </c>
      <c r="I228" t="e">
        <f t="shared" ca="1" si="28"/>
        <v>#VALUE!</v>
      </c>
      <c r="J228" s="3" t="e">
        <f t="shared" ca="1" si="30"/>
        <v>#VALUE!</v>
      </c>
      <c r="K228" t="str">
        <f t="shared" ca="1" si="6"/>
        <v xml:space="preserve">Gouveia, J.  e Gouveia, L. </v>
      </c>
      <c r="L228" t="str">
        <f t="shared" ca="1" si="7"/>
        <v xml:space="preserve">Quental, C. </v>
      </c>
    </row>
    <row r="229" spans="1:14" ht="15.75" customHeight="1">
      <c r="A229">
        <f ca="1">IFERROR(__xludf.DUMMYFUNCTION("""COMPUTED_VALUE"""),65)</f>
        <v>65</v>
      </c>
      <c r="B229" t="str">
        <f ca="1">IFERROR(__xludf.DUMMYFUNCTION("""COMPUTED_VALUE"""),"Abrantes, S. and Gouveia, L. (2007). *An approach to teaching with computer 
games by applying the flow experience*. Learning by Games conference. LG 
2007. 25th September. France. 
presentation [ pdf(240KB] ]")</f>
        <v>Abrantes, S. and Gouveia, L. (2007). *An approach to teaching with computer 
games by applying the flow experience*. Learning by Games conference. LG 
2007. 25th September. France. 
presentation [ pdf(240KB] ]</v>
      </c>
      <c r="C229" s="2">
        <f t="shared" ca="1" si="0"/>
        <v>30</v>
      </c>
      <c r="D229" t="str">
        <f t="shared" ca="1" si="29"/>
        <v xml:space="preserve">Abrantes, S. and Gouveia, L. </v>
      </c>
      <c r="E229" t="str">
        <f t="shared" ca="1" si="24"/>
        <v>2007</v>
      </c>
      <c r="F229" t="str">
        <f t="shared" ca="1" si="25"/>
        <v xml:space="preserve"> *An approach to teaching with computer 
games by applying the flow experience*. </v>
      </c>
      <c r="G229" s="3">
        <f t="shared" ca="1" si="26"/>
        <v>35</v>
      </c>
      <c r="H229" s="2">
        <f t="shared" ca="1" si="27"/>
        <v>116</v>
      </c>
      <c r="I229" t="e">
        <f t="shared" ca="1" si="28"/>
        <v>#VALUE!</v>
      </c>
      <c r="J229" s="3" t="e">
        <f t="shared" ca="1" si="30"/>
        <v>#VALUE!</v>
      </c>
      <c r="K229" t="str">
        <f t="shared" ca="1" si="6"/>
        <v xml:space="preserve">Abrantes, S. ; Gouveia, L. </v>
      </c>
      <c r="L229" t="str">
        <f t="shared" ca="1" si="7"/>
        <v xml:space="preserve">Quental, C. </v>
      </c>
      <c r="M229" t="str">
        <f ca="1">IFERROR(__xludf.DUMMYFUNCTION("""COMPUTED_VALUE""")," Gouveia, L. ")</f>
        <v xml:space="preserve"> Gouveia, L. </v>
      </c>
    </row>
    <row r="230" spans="1:14" ht="15.75" customHeight="1">
      <c r="A230">
        <f ca="1">IFERROR(__xludf.DUMMYFUNCTION("""COMPUTED_VALUE"""),64)</f>
        <v>64</v>
      </c>
      <c r="B230" t="str">
        <f ca="1">IFERROR(__xludf.DUMMYFUNCTION("""COMPUTED_VALUE"""),"Constantino, J. e Gouveia, L. (2007). *Towards an e-participation engine: 
where people tak place*. Digital Cities Summit 07. 24-25th September, ISCP 
- Instituti Superior de Ciências Sociais e Políticas, UTL. Lisbon. 
presentation [ pdf(184KB] ]")</f>
        <v>Constantino, J. e Gouveia, L. (2007). *Towards an e-participation engine: 
where people tak place*. Digital Cities Summit 07. 24-25th September, ISCP 
- Instituti Superior de Ciências Sociais e Políticas, UTL. Lisbon. 
presentation [ pdf(184KB] ]</v>
      </c>
      <c r="C230" s="2">
        <f t="shared" ca="1" si="0"/>
        <v>31</v>
      </c>
      <c r="D230" t="str">
        <f t="shared" ca="1" si="29"/>
        <v xml:space="preserve">Constantino, J. e Gouveia, L. </v>
      </c>
      <c r="E230" t="str">
        <f t="shared" ca="1" si="24"/>
        <v>2007</v>
      </c>
      <c r="F230" t="str">
        <f t="shared" ca="1" si="25"/>
        <v xml:space="preserve"> *Towards an e-participation engine: 
where people tak place*. </v>
      </c>
      <c r="G230" s="3">
        <f t="shared" ca="1" si="26"/>
        <v>36</v>
      </c>
      <c r="H230" s="2">
        <f t="shared" ca="1" si="27"/>
        <v>99</v>
      </c>
      <c r="I230" t="e">
        <f t="shared" ca="1" si="28"/>
        <v>#VALUE!</v>
      </c>
      <c r="J230" s="3" t="e">
        <f t="shared" ca="1" si="30"/>
        <v>#VALUE!</v>
      </c>
      <c r="K230" t="str">
        <f t="shared" ca="1" si="6"/>
        <v xml:space="preserve">Constantino, J. e Gouveia, L. </v>
      </c>
      <c r="L230" t="str">
        <f t="shared" ca="1" si="7"/>
        <v xml:space="preserve">Quental, C. </v>
      </c>
    </row>
    <row r="231" spans="1:14" ht="15.75" customHeight="1">
      <c r="A231">
        <f ca="1">IFERROR(__xludf.DUMMYFUNCTION("""COMPUTED_VALUE"""),63)</f>
        <v>63</v>
      </c>
      <c r="B231" t="str">
        <f ca="1">IFERROR(__xludf.DUMMYFUNCTION("""COMPUTED_VALUE"""),"Gouveia, L. (2007). *A digital approach to our time-space living*. Digital 
Cities Summit 07. 24-25th September, ISCP - Instituto Superior de Ciências 
Sociais e Políticas, UTL. Lisbon. 
presentation [ pdf(461KB] ]")</f>
        <v>Gouveia, L. (2007). *A digital approach to our time-space living*. Digital 
Cities Summit 07. 24-25th September, ISCP - Instituto Superior de Ciências 
Sociais e Políticas, UTL. Lisbon. 
presentation [ pdf(461KB] ]</v>
      </c>
      <c r="C231" s="2">
        <f t="shared" ca="1" si="0"/>
        <v>13</v>
      </c>
      <c r="D231" t="str">
        <f t="shared" ca="1" si="29"/>
        <v xml:space="preserve">Gouveia, L. </v>
      </c>
      <c r="E231" t="str">
        <f t="shared" ca="1" si="24"/>
        <v>2007</v>
      </c>
      <c r="F231" t="str">
        <f t="shared" ca="1" si="25"/>
        <v xml:space="preserve"> *A digital approach to our time-space living*. </v>
      </c>
      <c r="G231" s="3">
        <f t="shared" ca="1" si="26"/>
        <v>18</v>
      </c>
      <c r="H231" s="2">
        <f t="shared" ca="1" si="27"/>
        <v>66</v>
      </c>
      <c r="I231" t="e">
        <f t="shared" ca="1" si="28"/>
        <v>#VALUE!</v>
      </c>
      <c r="J231" s="3" t="e">
        <f t="shared" ca="1" si="30"/>
        <v>#VALUE!</v>
      </c>
      <c r="K231" t="str">
        <f t="shared" ca="1" si="6"/>
        <v xml:space="preserve">Gouveia, L. </v>
      </c>
      <c r="L231" t="str">
        <f t="shared" ca="1" si="7"/>
        <v xml:space="preserve">Quental, C. </v>
      </c>
    </row>
    <row r="232" spans="1:14" ht="15.75" customHeight="1">
      <c r="A232">
        <f ca="1">IFERROR(__xludf.DUMMYFUNCTION("""COMPUTED_VALUE"""),62)</f>
        <v>62</v>
      </c>
      <c r="B232" t="str">
        <f ca="1">IFERROR(__xludf.DUMMYFUNCTION("""COMPUTED_VALUE"""),"Gouveia, L. and Reis, P. (2007). *Language learning using the Sakai 
collaborative learning environment: current experience*. Conference: ICT 
for Language Learning. Florence, Italy. 20-21 September. 
paper [ pdf(35KB) ]")</f>
        <v>Gouveia, L. and Reis, P. (2007). *Language learning using the Sakai 
collaborative learning environment: current experience*. Conference: ICT 
for Language Learning. Florence, Italy. 20-21 September. 
paper [ pdf(35KB) ]</v>
      </c>
      <c r="C232" s="2">
        <f t="shared" ca="1" si="0"/>
        <v>26</v>
      </c>
      <c r="D232" t="str">
        <f t="shared" ca="1" si="29"/>
        <v xml:space="preserve">Gouveia, L. and Reis, P. </v>
      </c>
      <c r="E232" t="str">
        <f t="shared" ca="1" si="24"/>
        <v>2007</v>
      </c>
      <c r="F232" t="str">
        <f t="shared" ca="1" si="25"/>
        <v xml:space="preserve"> *Language learning using the Sakai 
collaborative learning environment: current experience*. </v>
      </c>
      <c r="G232" s="3">
        <f t="shared" ca="1" si="26"/>
        <v>31</v>
      </c>
      <c r="H232" s="2">
        <f t="shared" ca="1" si="27"/>
        <v>125</v>
      </c>
      <c r="I232" t="e">
        <f t="shared" ca="1" si="28"/>
        <v>#VALUE!</v>
      </c>
      <c r="J232" s="3" t="e">
        <f t="shared" ca="1" si="30"/>
        <v>#VALUE!</v>
      </c>
      <c r="K232" t="str">
        <f t="shared" ca="1" si="6"/>
        <v xml:space="preserve">Gouveia, L. ; Reis, P. </v>
      </c>
      <c r="L232" t="str">
        <f t="shared" ca="1" si="7"/>
        <v xml:space="preserve">Quental, C. </v>
      </c>
      <c r="M232" t="str">
        <f ca="1">IFERROR(__xludf.DUMMYFUNCTION("""COMPUTED_VALUE""")," Reis, P. ")</f>
        <v xml:space="preserve"> Reis, P. </v>
      </c>
    </row>
    <row r="233" spans="1:14" ht="15.75" customHeight="1">
      <c r="A233">
        <f ca="1">IFERROR(__xludf.DUMMYFUNCTION("""COMPUTED_VALUE"""),61)</f>
        <v>61</v>
      </c>
      <c r="B233" t="str">
        <f ca="1">IFERROR(__xludf.DUMMYFUNCTION("""COMPUTED_VALUE"""),"Trigo, M.; Gouveia, L.; Quoniam, L. e Riccio, E. (2007). *Using Competitive 
Intelligence as a Strategic Tool in a Higher Education Context*. 
Proceedings of The 8th European Conference on Knowledge Management. CEIB, 
Barcelona, Spain.  6-7 September. Vol"&amp;" II, pp 1017-1023. 
paper [ pdf( 110KB] ]")</f>
        <v>Trigo, M.; Gouveia, L.; Quoniam, L. e Riccio, E. (2007). *Using Competitive 
Intelligence as a Strategic Tool in a Higher Education Context*. 
Proceedings of The 8th European Conference on Knowledge Management. CEIB, 
Barcelona, Spain.  6-7 September. Vol II, pp 1017-1023. 
paper [ pdf( 110KB] ]</v>
      </c>
      <c r="C233" s="2">
        <f t="shared" ca="1" si="0"/>
        <v>50</v>
      </c>
      <c r="D233" t="str">
        <f t="shared" ca="1" si="29"/>
        <v xml:space="preserve">Trigo, M.; Gouveia, L.; Quoniam, L. e Riccio, E. </v>
      </c>
      <c r="E233" t="str">
        <f t="shared" ca="1" si="24"/>
        <v>2007</v>
      </c>
      <c r="F233" t="str">
        <f t="shared" ca="1" si="25"/>
        <v xml:space="preserve"> *Using Competitive 
Intelligence as a Strategic Tool in a Higher Education Context*. </v>
      </c>
      <c r="G233" s="3">
        <f t="shared" ca="1" si="26"/>
        <v>55</v>
      </c>
      <c r="H233" s="2">
        <f t="shared" ca="1" si="27"/>
        <v>141</v>
      </c>
      <c r="I233" t="e">
        <f t="shared" ca="1" si="28"/>
        <v>#VALUE!</v>
      </c>
      <c r="J233" s="3" t="e">
        <f t="shared" ca="1" si="30"/>
        <v>#VALUE!</v>
      </c>
      <c r="K233" t="str">
        <f t="shared" ca="1" si="6"/>
        <v xml:space="preserve">Trigo, M.; Gouveia, L.; Quoniam, L. e Riccio, E. </v>
      </c>
      <c r="L233" t="str">
        <f t="shared" ca="1" si="7"/>
        <v xml:space="preserve">Quental, C. </v>
      </c>
      <c r="M233" t="str">
        <f ca="1">IFERROR(__xludf.DUMMYFUNCTION("""COMPUTED_VALUE""")," Gouveia, L.")</f>
        <v xml:space="preserve"> Gouveia, L.</v>
      </c>
      <c r="N233" t="str">
        <f ca="1">IFERROR(__xludf.DUMMYFUNCTION("""COMPUTED_VALUE""")," Quoniam, L. e Riccio, E. ")</f>
        <v xml:space="preserve"> Quoniam, L. e Riccio, E. </v>
      </c>
    </row>
    <row r="234" spans="1:14" ht="15.75" customHeight="1">
      <c r="A234">
        <f ca="1">IFERROR(__xludf.DUMMYFUNCTION("""COMPUTED_VALUE"""),60)</f>
        <v>60</v>
      </c>
      <c r="B234" t="str">
        <f ca="1">IFERROR(__xludf.DUMMYFUNCTION("""COMPUTED_VALUE"""),"Clara, P. e Gouveia, L. (2007). *Recurso a computadores por utilizadores 
com deficiência: um caso real.* 2ª Conferência Ibérica de Sistemas e 
Tecnologias de Informação. CISTI 2007. UFP. Porto, 21 a 23 de Junho. In 
Rocha, A. et al. (2007) Novas perspect"&amp;"ivas em Sistemas e Tecnologias de 
Informação. Actas da CISTI 2007, Vol II, pp 409-414. ISBN: 
978-972-8830-88-5.
artigo [ pdf (108KB) ]")</f>
        <v>Clara, P. e Gouveia, L. (2007). *Recurso a computadores por utilizadores 
com deficiência: um caso real.* 2ª Conferência Ibérica de Sistemas e 
Tecnologias de Informação. CISTI 2007. UFP. Porto, 21 a 23 de Junho. In 
Rocha, A. et al. (2007) Novas perspectivas em Sistemas e Tecnologias de 
Informação. Actas da CISTI 2007, Vol II, pp 409-414. ISBN: 
978-972-8830-88-5.
artigo [ pdf (108KB) ]</v>
      </c>
      <c r="C234" s="2">
        <f t="shared" ca="1" si="0"/>
        <v>25</v>
      </c>
      <c r="D234" t="str">
        <f t="shared" ca="1" si="29"/>
        <v xml:space="preserve">Clara, P. e Gouveia, L. </v>
      </c>
      <c r="E234" t="str">
        <f t="shared" ca="1" si="24"/>
        <v>2007</v>
      </c>
      <c r="F234" t="str">
        <f t="shared" ca="1" si="25"/>
        <v xml:space="preserve"> *Recurso a computadores por utilizadores 
com deficiência: um caso real.*</v>
      </c>
      <c r="G234" s="3">
        <f t="shared" ca="1" si="26"/>
        <v>30</v>
      </c>
      <c r="H234" s="2">
        <f t="shared" ca="1" si="27"/>
        <v>104</v>
      </c>
      <c r="I234" t="e">
        <f t="shared" ca="1" si="28"/>
        <v>#VALUE!</v>
      </c>
      <c r="J234" s="3" t="e">
        <f t="shared" ca="1" si="30"/>
        <v>#VALUE!</v>
      </c>
      <c r="K234" t="str">
        <f t="shared" ca="1" si="6"/>
        <v xml:space="preserve">Clara, P. e Gouveia, L. </v>
      </c>
      <c r="L234" t="str">
        <f t="shared" ca="1" si="7"/>
        <v xml:space="preserve">Quental, C. </v>
      </c>
    </row>
    <row r="235" spans="1:14" ht="15.75" customHeight="1">
      <c r="A235">
        <f ca="1">IFERROR(__xludf.DUMMYFUNCTION("""COMPUTED_VALUE"""),59)</f>
        <v>59</v>
      </c>
      <c r="B235" t="str">
        <f ca="1">IFERROR(__xludf.DUMMYFUNCTION("""COMPUTED_VALUE"""),"Trigo, M. e Gouveia, L. (2007). *A Universidade Corporativa: reflexão sobre 
a motivação, benefícios e implicações do conceito.* 2ª Conferência Ibérica 
de Sistemas e Tecnologias de Informação. CISTI 2007. UFP. Porto, 21 a 23 de 
Junho. In Rocha, A. et al"&amp;". (2007) Novas perspectivas em Sistemas e 
Tecnologias de Informação. Actas da CISTI 2007, Vol I, pp 275-283. ISBN: 
978-972-8830-88-5.
artigo [ pdf (80KB) ] | apresentação [ pdf (196KB) ]")</f>
        <v>Trigo, M. e Gouveia, L. (2007). *A Universidade Corporativa: reflexão sobre 
a motivação, benefícios e implicações do conceito.* 2ª Conferência Ibérica 
de Sistemas e Tecnologias de Informação. CISTI 2007. UFP. Porto, 21 a 23 de 
Junho. In Rocha, A. et al. (2007) Novas perspectivas em Sistemas e 
Tecnologias de Informação. Actas da CISTI 2007, Vol I, pp 275-283. ISBN: 
978-972-8830-88-5.
artigo [ pdf (80KB) ] | apresentação [ pdf (196KB) ]</v>
      </c>
      <c r="C235" s="2">
        <f t="shared" ca="1" si="0"/>
        <v>25</v>
      </c>
      <c r="D235" t="str">
        <f t="shared" ca="1" si="29"/>
        <v xml:space="preserve">Trigo, M. e Gouveia, L. </v>
      </c>
      <c r="E235" t="str">
        <f t="shared" ca="1" si="24"/>
        <v>2007</v>
      </c>
      <c r="F235" t="str">
        <f t="shared" ca="1" si="25"/>
        <v xml:space="preserve"> *A Universidade Corporativa: reflexão sobre 
a motivação, benefícios e implicações do conceito.*</v>
      </c>
      <c r="G235" s="3">
        <f t="shared" ca="1" si="26"/>
        <v>30</v>
      </c>
      <c r="H235" s="2">
        <f t="shared" ca="1" si="27"/>
        <v>127</v>
      </c>
      <c r="I235" t="e">
        <f t="shared" ca="1" si="28"/>
        <v>#VALUE!</v>
      </c>
      <c r="J235" s="3" t="e">
        <f t="shared" ca="1" si="30"/>
        <v>#VALUE!</v>
      </c>
      <c r="K235" t="str">
        <f t="shared" ca="1" si="6"/>
        <v xml:space="preserve">Trigo, M. e Gouveia, L. </v>
      </c>
      <c r="L235" t="str">
        <f t="shared" ca="1" si="7"/>
        <v xml:space="preserve">Quental, C. </v>
      </c>
    </row>
    <row r="236" spans="1:14" ht="15.75" customHeight="1">
      <c r="A236">
        <f ca="1">IFERROR(__xludf.DUMMYFUNCTION("""COMPUTED_VALUE"""),58)</f>
        <v>58</v>
      </c>
      <c r="B236" t="str">
        <f ca="1">IFERROR(__xludf.DUMMYFUNCTION("""COMPUTED_VALUE"""),"Gouveia, L. e Gouveia, F. (2006). Using Sakai as a collaborative learning 
environment to support higher education activity. Leading Innovation in 
Global Education &amp; Training 13th Annual EDiNEB Conference June 14-16, 2006, 
Lisbon, Portugal.
apresentação"&amp;" [ pdf (338KB) ]")</f>
        <v>Gouveia, L. e Gouveia, F. (2006). Using Sakai as a collaborative learning 
environment to support higher education activity. Leading Innovation in 
Global Education &amp; Training 13th Annual EDiNEB Conference June 14-16, 2006, 
Lisbon, Portugal.
apresentação [ pdf (338KB) ]</v>
      </c>
      <c r="C236" s="2">
        <f t="shared" ca="1" si="0"/>
        <v>27</v>
      </c>
      <c r="D236" t="str">
        <f t="shared" ca="1" si="29"/>
        <v xml:space="preserve">Gouveia, L. e Gouveia, F. </v>
      </c>
      <c r="E236" t="str">
        <f t="shared" ca="1" si="24"/>
        <v>2006</v>
      </c>
      <c r="F236" t="str">
        <f t="shared" ca="1" si="25"/>
        <v xml:space="preserve"> Using Sakai as a collaborative learning 
environment to support higher education activity. </v>
      </c>
      <c r="G236" s="3">
        <f t="shared" ca="1" si="26"/>
        <v>32</v>
      </c>
      <c r="H236" s="2">
        <f t="shared" ca="1" si="27"/>
        <v>124</v>
      </c>
      <c r="I236" t="e">
        <f t="shared" ca="1" si="28"/>
        <v>#VALUE!</v>
      </c>
      <c r="J236" s="3" t="e">
        <f t="shared" ca="1" si="30"/>
        <v>#VALUE!</v>
      </c>
      <c r="K236" t="str">
        <f t="shared" ca="1" si="6"/>
        <v xml:space="preserve">Gouveia, L. e Gouveia, F. </v>
      </c>
      <c r="L236" t="str">
        <f t="shared" ca="1" si="7"/>
        <v xml:space="preserve">Quental, C. </v>
      </c>
    </row>
    <row r="237" spans="1:14" ht="15.75" customHeight="1">
      <c r="A237">
        <f ca="1">IFERROR(__xludf.DUMMYFUNCTION("""COMPUTED_VALUE"""),57)</f>
        <v>57</v>
      </c>
      <c r="B237" t="str">
        <f ca="1">IFERROR(__xludf.DUMMYFUNCTION("""COMPUTED_VALUE"""),"Gaio, S.; Gouveia, J. e Gouveia, L. (2006). *O Branding e a Dimensão 
digital da cidade:* *Dinâmicas e Contributos para a competitividade*. 
Conferência Ibérica de Marketing das Cidades. IPAM / IDIM. 29 de Março. 
Edifício da Alfândega. Porto.
apresentaçã"&amp;"o [ pdf (155KB)] | artigo [ pdf (156KB)]")</f>
        <v>Gaio, S.; Gouveia, J. e Gouveia, L. (2006). *O Branding e a Dimensão 
digital da cidade:* *Dinâmicas e Contributos para a competitividade*. 
Conferência Ibérica de Marketing das Cidades. IPAM / IDIM. 29 de Março. 
Edifício da Alfândega. Porto.
apresentação [ pdf (155KB)] | artigo [ pdf (156KB)]</v>
      </c>
      <c r="C237" s="2">
        <f t="shared" ca="1" si="0"/>
        <v>37</v>
      </c>
      <c r="D237" t="str">
        <f t="shared" ca="1" si="29"/>
        <v xml:space="preserve">Gaio, S.; Gouveia, J. e Gouveia, L. </v>
      </c>
      <c r="E237" t="str">
        <f t="shared" ca="1" si="24"/>
        <v>2006</v>
      </c>
      <c r="F237" t="str">
        <f t="shared" ca="1" si="25"/>
        <v xml:space="preserve"> *O Branding e a Dimensão 
digital da cidade:* *Dinâmicas e Contributos para a competitividade*. </v>
      </c>
      <c r="G237" s="3">
        <f t="shared" ca="1" si="26"/>
        <v>42</v>
      </c>
      <c r="H237" s="2">
        <f t="shared" ca="1" si="27"/>
        <v>139</v>
      </c>
      <c r="I237" t="e">
        <f t="shared" ca="1" si="28"/>
        <v>#VALUE!</v>
      </c>
      <c r="J237" s="3" t="e">
        <f t="shared" ca="1" si="30"/>
        <v>#VALUE!</v>
      </c>
      <c r="K237" t="str">
        <f t="shared" ca="1" si="6"/>
        <v xml:space="preserve">Gaio, S.; Gouveia, J. e Gouveia, L. </v>
      </c>
      <c r="L237" t="str">
        <f t="shared" ca="1" si="7"/>
        <v xml:space="preserve">Quental, C. </v>
      </c>
      <c r="M237" t="str">
        <f ca="1">IFERROR(__xludf.DUMMYFUNCTION("""COMPUTED_VALUE""")," Gouveia, J. e Gouveia, L. ")</f>
        <v xml:space="preserve"> Gouveia, J. e Gouveia, L. </v>
      </c>
    </row>
    <row r="238" spans="1:14" ht="15.75" customHeight="1">
      <c r="A238">
        <f ca="1">IFERROR(__xludf.DUMMYFUNCTION("""COMPUTED_VALUE"""),56)</f>
        <v>56</v>
      </c>
      <c r="B238" t="str">
        <f ca="1">IFERROR(__xludf.DUMMYFUNCTION("""COMPUTED_VALUE"""),"Gaio, S.; Gouveia, J. e Gouveia, L. (2006). *Do Território Esperado ao 
Território Experimentado: A Identidade Como Factor Nuclear no Processo de 
Branding*. 2º Congreso de Marketing de Ciudades - Citymarketing Elche´06. 
24-26 Maio. Elche. Espanha.
apres"&amp;"entação [ pdf (224KB)]")</f>
        <v>Gaio, S.; Gouveia, J. e Gouveia, L. (2006). *Do Território Esperado ao 
Território Experimentado: A Identidade Como Factor Nuclear no Processo de 
Branding*. 2º Congreso de Marketing de Ciudades - Citymarketing Elche´06. 
24-26 Maio. Elche. Espanha.
apresentação [ pdf (224KB)]</v>
      </c>
      <c r="C238" s="2">
        <f t="shared" ca="1" si="0"/>
        <v>37</v>
      </c>
      <c r="D238" t="str">
        <f t="shared" ca="1" si="29"/>
        <v xml:space="preserve">Gaio, S.; Gouveia, J. e Gouveia, L. </v>
      </c>
      <c r="E238" t="str">
        <f t="shared" ca="1" si="24"/>
        <v>2006</v>
      </c>
      <c r="F238" t="str">
        <f t="shared" ca="1" si="25"/>
        <v xml:space="preserve"> *Do Território Esperado ao 
Território Experimentado: A Identidade Como Factor Nuclear no Processo de 
Branding*. </v>
      </c>
      <c r="G238" s="3">
        <f t="shared" ca="1" si="26"/>
        <v>42</v>
      </c>
      <c r="H238" s="2">
        <f t="shared" ca="1" si="27"/>
        <v>157</v>
      </c>
      <c r="I238" t="e">
        <f t="shared" ca="1" si="28"/>
        <v>#VALUE!</v>
      </c>
      <c r="J238" s="3" t="e">
        <f t="shared" ca="1" si="30"/>
        <v>#VALUE!</v>
      </c>
      <c r="K238" t="str">
        <f t="shared" ca="1" si="6"/>
        <v xml:space="preserve">Gaio, S.; Gouveia, J. e Gouveia, L. </v>
      </c>
      <c r="L238" t="str">
        <f t="shared" ca="1" si="7"/>
        <v xml:space="preserve">Quental, C. </v>
      </c>
      <c r="M238" t="str">
        <f ca="1">IFERROR(__xludf.DUMMYFUNCTION("""COMPUTED_VALUE""")," Gouveia, J. e Gouveia, L. ")</f>
        <v xml:space="preserve"> Gouveia, J. e Gouveia, L. </v>
      </c>
    </row>
    <row r="239" spans="1:14" ht="15.75" customHeight="1">
      <c r="A239">
        <f ca="1">IFERROR(__xludf.DUMMYFUNCTION("""COMPUTED_VALUE"""),55)</f>
        <v>55</v>
      </c>
      <c r="B239" t="str">
        <f ca="1">IFERROR(__xludf.DUMMYFUNCTION("""COMPUTED_VALUE"""),"Gouveia, L. (2005). *O e-learning como suporte ao ensino superior 
universitário*. 4ª SOPCOM, 4ª Congresso da Associação Portuguesa de 
Ciências da Comunicação. Repensar os media: novos contextos da comunicação 
e da informação. 20 e 21 de Outubro. Livro "&amp;"de actas. Universidade de 
Aveiro. ISBN 972-789-163-2, pp 1559-1571.
artigo [ pdf (148KB) ] | apresentação [ pdf (316KB) ]")</f>
        <v>Gouveia, L. (2005). *O e-learning como suporte ao ensino superior 
universitário*. 4ª SOPCOM, 4ª Congresso da Associação Portuguesa de 
Ciências da Comunicação. Repensar os media: novos contextos da comunicação 
e da informação. 20 e 21 de Outubro. Livro de actas. Universidade de 
Aveiro. ISBN 972-789-163-2, pp 1559-1571.
artigo [ pdf (148KB) ] | apresentação [ pdf (316KB) ]</v>
      </c>
      <c r="C239" s="2">
        <f t="shared" ca="1" si="0"/>
        <v>13</v>
      </c>
      <c r="D239" t="str">
        <f t="shared" ca="1" si="29"/>
        <v xml:space="preserve">Gouveia, L. </v>
      </c>
      <c r="E239" t="str">
        <f t="shared" ca="1" si="24"/>
        <v>2005</v>
      </c>
      <c r="F239" t="str">
        <f t="shared" ca="1" si="25"/>
        <v xml:space="preserve"> *O e-learning como suporte ao ensino superior 
universitário*. </v>
      </c>
      <c r="G239" s="3">
        <f t="shared" ca="1" si="26"/>
        <v>18</v>
      </c>
      <c r="H239" s="2">
        <f t="shared" ca="1" si="27"/>
        <v>82</v>
      </c>
      <c r="I239" t="e">
        <f t="shared" ca="1" si="28"/>
        <v>#VALUE!</v>
      </c>
      <c r="J239" s="3" t="e">
        <f t="shared" ca="1" si="30"/>
        <v>#VALUE!</v>
      </c>
      <c r="K239" t="str">
        <f t="shared" ca="1" si="6"/>
        <v xml:space="preserve">Gouveia, L. </v>
      </c>
      <c r="L239" t="str">
        <f t="shared" ca="1" si="7"/>
        <v xml:space="preserve">Quental, C. </v>
      </c>
    </row>
    <row r="240" spans="1:14" ht="15.75" customHeight="1">
      <c r="A240">
        <f ca="1">IFERROR(__xludf.DUMMYFUNCTION("""COMPUTED_VALUE"""),54)</f>
        <v>54</v>
      </c>
      <c r="B240" t="str">
        <f ca="1">IFERROR(__xludf.DUMMYFUNCTION("""COMPUTED_VALUE"""),"Gouveia, L. (2005). *A Sociedade da Informação e do Conhecimento e as novas 
competências*. Congresso Internacional Educação e Trabalho. Representações 
Sociais, Competências e Trajectórias Profissionais. Departamento de 
Ciências da Educação. Universidad"&amp;"e de Aveiro. 2 a 4 de Maio. Aveiro, 
Portugal. In Resumos das comunicações. ISBN 972-789-153-5, pp 83.
apresentação [ pdf (48KB) ]")</f>
        <v>Gouveia, L. (2005). *A Sociedade da Informação e do Conhecimento e as novas 
competências*. Congresso Internacional Educação e Trabalho. Representações 
Sociais, Competências e Trajectórias Profissionais. Departamento de 
Ciências da Educação. Universidade de Aveiro. 2 a 4 de Maio. Aveiro, 
Portugal. In Resumos das comunicações. ISBN 972-789-153-5, pp 83.
apresentação [ pdf (48KB) ]</v>
      </c>
      <c r="C240" s="2">
        <f t="shared" ca="1" si="0"/>
        <v>13</v>
      </c>
      <c r="D240" t="str">
        <f t="shared" ca="1" si="29"/>
        <v xml:space="preserve">Gouveia, L. </v>
      </c>
      <c r="E240" t="str">
        <f t="shared" ca="1" si="24"/>
        <v>2005</v>
      </c>
      <c r="F240" t="str">
        <f t="shared" ca="1" si="25"/>
        <v xml:space="preserve"> *A Sociedade da Informação e do Conhecimento e as novas 
competências*. </v>
      </c>
      <c r="G240" s="3">
        <f t="shared" ca="1" si="26"/>
        <v>18</v>
      </c>
      <c r="H240" s="2">
        <f t="shared" ca="1" si="27"/>
        <v>91</v>
      </c>
      <c r="I240" t="e">
        <f t="shared" ca="1" si="28"/>
        <v>#VALUE!</v>
      </c>
      <c r="J240" s="3" t="e">
        <f t="shared" ca="1" si="30"/>
        <v>#VALUE!</v>
      </c>
      <c r="K240" t="str">
        <f t="shared" ca="1" si="6"/>
        <v xml:space="preserve">Gouveia, L. </v>
      </c>
      <c r="L240" t="str">
        <f t="shared" ca="1" si="7"/>
        <v xml:space="preserve">Quental, C. </v>
      </c>
    </row>
    <row r="241" spans="1:16" ht="15.75" customHeight="1">
      <c r="A241">
        <f ca="1">IFERROR(__xludf.DUMMYFUNCTION("""COMPUTED_VALUE"""),53)</f>
        <v>53</v>
      </c>
      <c r="B241" t="str">
        <f ca="1">IFERROR(__xludf.DUMMYFUNCTION("""COMPUTED_VALUE"""),"Gouveia, L. e Gomes, F. (2004). *O e-learning como etapa da universidade 
para o virtual*. Conferência eLES '04, eLearning no Ensino Superior. 
Universidade de Aveiro, 27 a 30 de Outubro, Aveiro.
paper [ pdf (13KB) ] | apresentação [ pdf (109KB) ]")</f>
        <v>Gouveia, L. e Gomes, F. (2004). *O e-learning como etapa da universidade 
para o virtual*. Conferência eLES '04, eLearning no Ensino Superior. 
Universidade de Aveiro, 27 a 30 de Outubro, Aveiro.
paper [ pdf (13KB) ] | apresentação [ pdf (109KB) ]</v>
      </c>
      <c r="C241" s="2">
        <f t="shared" ca="1" si="0"/>
        <v>25</v>
      </c>
      <c r="D241" t="str">
        <f t="shared" ca="1" si="29"/>
        <v xml:space="preserve">Gouveia, L. e Gomes, F. </v>
      </c>
      <c r="E241" t="str">
        <f t="shared" ca="1" si="24"/>
        <v>2004</v>
      </c>
      <c r="F241" t="str">
        <f t="shared" ca="1" si="25"/>
        <v xml:space="preserve"> *O e-learning como etapa da universidade 
para o virtual*. </v>
      </c>
      <c r="G241" s="3">
        <f t="shared" ca="1" si="26"/>
        <v>30</v>
      </c>
      <c r="H241" s="2">
        <f t="shared" ca="1" si="27"/>
        <v>90</v>
      </c>
      <c r="I241" t="e">
        <f t="shared" ca="1" si="28"/>
        <v>#VALUE!</v>
      </c>
      <c r="J241" s="3" t="e">
        <f t="shared" ca="1" si="30"/>
        <v>#VALUE!</v>
      </c>
      <c r="K241" t="str">
        <f t="shared" ca="1" si="6"/>
        <v xml:space="preserve">Gouveia, L. e Gomes, F. </v>
      </c>
      <c r="L241" t="str">
        <f t="shared" ca="1" si="7"/>
        <v xml:space="preserve">Quental, C. </v>
      </c>
    </row>
    <row r="242" spans="1:16" ht="15.75" customHeight="1">
      <c r="A242">
        <f ca="1">IFERROR(__xludf.DUMMYFUNCTION("""COMPUTED_VALUE"""),52)</f>
        <v>52</v>
      </c>
      <c r="B242" t="str">
        <f ca="1">IFERROR(__xludf.DUMMYFUNCTION("""COMPUTED_VALUE"""),"Gouveia, L. (2004). *O digital e as novas formas de, e para, aprender.* 
Conferência eLES '04, eLearning no Ensino Superior. Universidade de Aveiro, 
27 a 30 de Outubro, Aveiro.
paper [ pdf (13KB) ] | apresentação [ pdf (181KB) ]")</f>
        <v>Gouveia, L. (2004). *O digital e as novas formas de, e para, aprender.* 
Conferência eLES '04, eLearning no Ensino Superior. Universidade de Aveiro, 
27 a 30 de Outubro, Aveiro.
paper [ pdf (13KB) ] | apresentação [ pdf (181KB) ]</v>
      </c>
      <c r="C242" s="2">
        <f t="shared" ca="1" si="0"/>
        <v>13</v>
      </c>
      <c r="D242" t="str">
        <f t="shared" ca="1" si="29"/>
        <v xml:space="preserve">Gouveia, L. </v>
      </c>
      <c r="E242" t="str">
        <f t="shared" ca="1" si="24"/>
        <v>2004</v>
      </c>
      <c r="F242" t="str">
        <f t="shared" ca="1" si="25"/>
        <v xml:space="preserve"> *O digital e as novas formas de, e para, aprender.*</v>
      </c>
      <c r="G242" s="3">
        <f t="shared" ca="1" si="26"/>
        <v>18</v>
      </c>
      <c r="H242" s="2">
        <f t="shared" ca="1" si="27"/>
        <v>70</v>
      </c>
      <c r="I242" t="e">
        <f t="shared" ca="1" si="28"/>
        <v>#VALUE!</v>
      </c>
      <c r="J242" s="3" t="e">
        <f t="shared" ca="1" si="30"/>
        <v>#VALUE!</v>
      </c>
      <c r="K242" t="str">
        <f t="shared" ca="1" si="6"/>
        <v xml:space="preserve">Gouveia, L. </v>
      </c>
      <c r="L242" t="str">
        <f t="shared" ca="1" si="7"/>
        <v xml:space="preserve">Quental, C. </v>
      </c>
    </row>
    <row r="243" spans="1:16" ht="15.75" customHeight="1">
      <c r="A243">
        <f ca="1">IFERROR(__xludf.DUMMYFUNCTION("""COMPUTED_VALUE"""),51)</f>
        <v>51</v>
      </c>
      <c r="B243" t="str">
        <f ca="1">IFERROR(__xludf.DUMMYFUNCTION("""COMPUTED_VALUE"""),"Rurato, P.; Gouveia, L. e Gouveia, J. (2004). *Características Essenciais 
do Ensino a Distância.* Conferência eLES '04, eLearning no Ensino Superior. 
Universidade de Aveiro, 27 a 30 de Outubro, Aveiro.
paper [ pdf (37KB) ] | apresentação [ pdf (565KB) ]")</f>
        <v>Rurato, P.; Gouveia, L. e Gouveia, J. (2004). *Características Essenciais 
do Ensino a Distância.* Conferência eLES '04, eLearning no Ensino Superior. 
Universidade de Aveiro, 27 a 30 de Outubro, Aveiro.
paper [ pdf (37KB) ] | apresentação [ pdf (565KB) ]</v>
      </c>
      <c r="C243" s="2">
        <f t="shared" ca="1" si="0"/>
        <v>39</v>
      </c>
      <c r="D243" t="str">
        <f t="shared" ca="1" si="29"/>
        <v xml:space="preserve">Rurato, P.; Gouveia, L. e Gouveia, J. </v>
      </c>
      <c r="E243" t="str">
        <f t="shared" ca="1" si="24"/>
        <v>2004</v>
      </c>
      <c r="F243" t="str">
        <f t="shared" ca="1" si="25"/>
        <v xml:space="preserve"> *Características Essenciais 
do Ensino a Distância.*</v>
      </c>
      <c r="G243" s="3">
        <f t="shared" ca="1" si="26"/>
        <v>44</v>
      </c>
      <c r="H243" s="2">
        <f t="shared" ca="1" si="27"/>
        <v>97</v>
      </c>
      <c r="I243" t="e">
        <f t="shared" ca="1" si="28"/>
        <v>#VALUE!</v>
      </c>
      <c r="J243" s="3" t="e">
        <f t="shared" ca="1" si="30"/>
        <v>#VALUE!</v>
      </c>
      <c r="K243" t="str">
        <f t="shared" ca="1" si="6"/>
        <v xml:space="preserve">Rurato, P.; Gouveia, L. e Gouveia, J. </v>
      </c>
      <c r="L243" t="str">
        <f t="shared" ca="1" si="7"/>
        <v xml:space="preserve">Quental, C. </v>
      </c>
      <c r="M243" t="str">
        <f ca="1">IFERROR(__xludf.DUMMYFUNCTION("""COMPUTED_VALUE""")," Gouveia, L. e Gouveia, J. ")</f>
        <v xml:space="preserve"> Gouveia, L. e Gouveia, J. </v>
      </c>
    </row>
    <row r="244" spans="1:16" ht="15.75" customHeight="1">
      <c r="A244">
        <f ca="1">IFERROR(__xludf.DUMMYFUNCTION("""COMPUTED_VALUE"""),50)</f>
        <v>50</v>
      </c>
      <c r="B244" t="str">
        <f ca="1">IFERROR(__xludf.DUMMYFUNCTION("""COMPUTED_VALUE"""),"Marques, M. e Gouveia, L. (2004). Bibliotecas digitais: a importância do 
serviço de referência. IADIS WWW/Internet 2004, Actas da Conferência Ibero 
Americana, Madrid, Espanha, 7-8 de Outubro, pp 425-428.
artigo [ pdf (19KB)] | apresentação [ pdf (26KB) "&amp;"]")</f>
        <v>Marques, M. e Gouveia, L. (2004). Bibliotecas digitais: a importância do 
serviço de referência. IADIS WWW/Internet 2004, Actas da Conferência Ibero 
Americana, Madrid, Espanha, 7-8 de Outubro, pp 425-428.
artigo [ pdf (19KB)] | apresentação [ pdf (26KB) ]</v>
      </c>
      <c r="C244" s="2">
        <f t="shared" ca="1" si="0"/>
        <v>27</v>
      </c>
      <c r="D244" t="str">
        <f t="shared" ca="1" si="29"/>
        <v xml:space="preserve">Marques, M. e Gouveia, L. </v>
      </c>
      <c r="E244" t="str">
        <f t="shared" ca="1" si="24"/>
        <v>2004</v>
      </c>
      <c r="F244" t="str">
        <f t="shared" ca="1" si="25"/>
        <v xml:space="preserve"> Bibliotecas digitais: a importância do 
serviço de referência. </v>
      </c>
      <c r="G244" s="3">
        <f t="shared" ca="1" si="26"/>
        <v>32</v>
      </c>
      <c r="H244" s="2">
        <f t="shared" ca="1" si="27"/>
        <v>96</v>
      </c>
      <c r="I244" t="e">
        <f t="shared" ca="1" si="28"/>
        <v>#VALUE!</v>
      </c>
      <c r="J244" s="3" t="e">
        <f t="shared" ca="1" si="30"/>
        <v>#VALUE!</v>
      </c>
      <c r="K244" t="str">
        <f t="shared" ca="1" si="6"/>
        <v xml:space="preserve">Marques, M. e Gouveia, L. </v>
      </c>
      <c r="L244" t="str">
        <f t="shared" ca="1" si="7"/>
        <v xml:space="preserve">Quental, C. </v>
      </c>
    </row>
    <row r="245" spans="1:16" ht="15.75" customHeight="1">
      <c r="A245">
        <f ca="1">IFERROR(__xludf.DUMMYFUNCTION("""COMPUTED_VALUE"""),49)</f>
        <v>49</v>
      </c>
      <c r="B245" t="str">
        <f ca="1">IFERROR(__xludf.DUMMYFUNCTION("""COMPUTED_VALUE"""),"Xavier, J. e Gouveia, L. (2004). O relacionamento com o cidadão: a 
importância do território. IADIS WWW/Internet 2004, Actas da Conferência 
Ibero Americana, Madrid, Espanha, 7-8 de Outubro, pp 445-448.
artigo [ pdf (27KB)] | apresentação [ pdf (28KB) ]")</f>
        <v>Xavier, J. e Gouveia, L. (2004). O relacionamento com o cidadão: a 
importância do território. IADIS WWW/Internet 2004, Actas da Conferência 
Ibero Americana, Madrid, Espanha, 7-8 de Outubro, pp 445-448.
artigo [ pdf (27KB)] | apresentação [ pdf (28KB) ]</v>
      </c>
      <c r="C245" s="2">
        <f t="shared" ca="1" si="0"/>
        <v>26</v>
      </c>
      <c r="D245" t="str">
        <f t="shared" ca="1" si="29"/>
        <v xml:space="preserve">Xavier, J. e Gouveia, L. </v>
      </c>
      <c r="E245" t="str">
        <f t="shared" ca="1" si="24"/>
        <v>2004</v>
      </c>
      <c r="F245" t="str">
        <f t="shared" ca="1" si="25"/>
        <v xml:space="preserve"> O relacionamento com o cidadão: a 
importância do território. </v>
      </c>
      <c r="G245" s="3">
        <f t="shared" ca="1" si="26"/>
        <v>31</v>
      </c>
      <c r="H245" s="2">
        <f t="shared" ca="1" si="27"/>
        <v>94</v>
      </c>
      <c r="I245" t="e">
        <f t="shared" ca="1" si="28"/>
        <v>#VALUE!</v>
      </c>
      <c r="J245" s="3" t="e">
        <f t="shared" ca="1" si="30"/>
        <v>#VALUE!</v>
      </c>
      <c r="K245" t="str">
        <f t="shared" ca="1" si="6"/>
        <v xml:space="preserve">Xavier, J. e Gouveia, L. </v>
      </c>
      <c r="L245" t="str">
        <f t="shared" ca="1" si="7"/>
        <v xml:space="preserve">Quental, C. </v>
      </c>
    </row>
    <row r="246" spans="1:16" ht="15.75" customHeight="1">
      <c r="A246">
        <f ca="1">IFERROR(__xludf.DUMMYFUNCTION("""COMPUTED_VALUE"""),48)</f>
        <v>48</v>
      </c>
      <c r="B246" t="str">
        <f ca="1">IFERROR(__xludf.DUMMYFUNCTION("""COMPUTED_VALUE"""),"Gouveia, L.; Xavier, J. and Gouveia, J. (2004). People and Digital Cities: 
Promote innovation and information use. 15th Biennial Conference ITS 2004. 
International Telecommunications Society. Berlin Germany. September 4-7.")</f>
        <v>Gouveia, L.; Xavier, J. and Gouveia, J. (2004). People and Digital Cities: 
Promote innovation and information use. 15th Biennial Conference ITS 2004. 
International Telecommunications Society. Berlin Germany. September 4-7.</v>
      </c>
      <c r="C246" s="2">
        <f t="shared" ca="1" si="0"/>
        <v>41</v>
      </c>
      <c r="D246" t="str">
        <f t="shared" ca="1" si="29"/>
        <v xml:space="preserve">Gouveia, L.; Xavier, J. and Gouveia, J. </v>
      </c>
      <c r="E246" t="str">
        <f t="shared" ca="1" si="24"/>
        <v>2004</v>
      </c>
      <c r="F246" t="str">
        <f t="shared" ca="1" si="25"/>
        <v xml:space="preserve"> People and Digital Cities: 
Promote innovation and information use. </v>
      </c>
      <c r="G246" s="3">
        <f t="shared" ca="1" si="26"/>
        <v>46</v>
      </c>
      <c r="H246" s="2">
        <f t="shared" ca="1" si="27"/>
        <v>115</v>
      </c>
      <c r="I246" t="e">
        <f t="shared" ca="1" si="28"/>
        <v>#VALUE!</v>
      </c>
      <c r="J246" s="3" t="e">
        <f t="shared" ca="1" si="30"/>
        <v>#VALUE!</v>
      </c>
      <c r="K246" t="str">
        <f t="shared" ca="1" si="6"/>
        <v xml:space="preserve">Gouveia, L.; Xavier, J. ; Gouveia, J. </v>
      </c>
      <c r="L246" t="str">
        <f t="shared" ca="1" si="7"/>
        <v xml:space="preserve">Quental, C. </v>
      </c>
      <c r="M246" t="str">
        <f ca="1">IFERROR(__xludf.DUMMYFUNCTION("""COMPUTED_VALUE""")," Xavier, J. ")</f>
        <v xml:space="preserve"> Xavier, J. </v>
      </c>
      <c r="N246" t="str">
        <f ca="1">IFERROR(__xludf.DUMMYFUNCTION("""COMPUTED_VALUE""")," Gouveia, J. ")</f>
        <v xml:space="preserve"> Gouveia, J. </v>
      </c>
    </row>
    <row r="247" spans="1:16" ht="15.75" customHeight="1">
      <c r="A247">
        <f ca="1">IFERROR(__xludf.DUMMYFUNCTION("""COMPUTED_VALUE"""),47)</f>
        <v>47</v>
      </c>
      <c r="B247" t="str">
        <f ca="1">IFERROR(__xludf.DUMMYFUNCTION("""COMPUTED_VALUE"""),"Gouveia, L. (2004). Information Overload: the case for e-learning within 
Gaia Digital. 3rd Global Conference. The Idea of Education. CERGE-EI. 
Prague, Czech Republic. August 9-11.")</f>
        <v>Gouveia, L. (2004). Information Overload: the case for e-learning within 
Gaia Digital. 3rd Global Conference. The Idea of Education. CERGE-EI. 
Prague, Czech Republic. August 9-11.</v>
      </c>
      <c r="C247" s="2">
        <f t="shared" ca="1" si="0"/>
        <v>13</v>
      </c>
      <c r="D247" t="str">
        <f t="shared" ca="1" si="29"/>
        <v xml:space="preserve">Gouveia, L. </v>
      </c>
      <c r="E247" t="str">
        <f t="shared" ca="1" si="24"/>
        <v>2004</v>
      </c>
      <c r="F247" t="str">
        <f t="shared" ca="1" si="25"/>
        <v xml:space="preserve"> Information Overload: the case for e-learning within 
Gaia Digital. </v>
      </c>
      <c r="G247" s="3">
        <f t="shared" ca="1" si="26"/>
        <v>18</v>
      </c>
      <c r="H247" s="2">
        <f t="shared" ca="1" si="27"/>
        <v>87</v>
      </c>
      <c r="I247" t="e">
        <f t="shared" ca="1" si="28"/>
        <v>#VALUE!</v>
      </c>
      <c r="J247" s="3" t="e">
        <f t="shared" ca="1" si="30"/>
        <v>#VALUE!</v>
      </c>
      <c r="K247" t="str">
        <f t="shared" ca="1" si="6"/>
        <v xml:space="preserve">Gouveia, L. </v>
      </c>
      <c r="L247" t="str">
        <f t="shared" ca="1" si="7"/>
        <v xml:space="preserve">Quental, C. </v>
      </c>
    </row>
    <row r="248" spans="1:16" ht="15.75" customHeight="1">
      <c r="A248">
        <f ca="1">IFERROR(__xludf.DUMMYFUNCTION("""COMPUTED_VALUE"""),46)</f>
        <v>46</v>
      </c>
      <c r="B248" t="str">
        <f ca="1">IFERROR(__xludf.DUMMYFUNCTION("""COMPUTED_VALUE"""),"Gouveia, L. (2004). *Using visuals to convey information*. 6th 
International Conference on Enterprise Information Systems. Universidade 
Portucalense, Porto - Portugal 14-17, April 2004")</f>
        <v>Gouveia, L. (2004). *Using visuals to convey information*. 6th 
International Conference on Enterprise Information Systems. Universidade 
Portucalense, Porto - Portugal 14-17, April 2004</v>
      </c>
      <c r="C248" s="2">
        <f t="shared" ca="1" si="0"/>
        <v>13</v>
      </c>
      <c r="D248" t="str">
        <f t="shared" ca="1" si="29"/>
        <v xml:space="preserve">Gouveia, L. </v>
      </c>
      <c r="E248" t="str">
        <f t="shared" ca="1" si="24"/>
        <v>2004</v>
      </c>
      <c r="F248" t="str">
        <f t="shared" ca="1" si="25"/>
        <v xml:space="preserve"> *Using visuals to convey information*. </v>
      </c>
      <c r="G248" s="3">
        <f t="shared" ca="1" si="26"/>
        <v>18</v>
      </c>
      <c r="H248" s="2">
        <f t="shared" ca="1" si="27"/>
        <v>58</v>
      </c>
      <c r="I248" t="e">
        <f t="shared" ca="1" si="28"/>
        <v>#VALUE!</v>
      </c>
      <c r="J248" s="3" t="e">
        <f t="shared" ca="1" si="30"/>
        <v>#VALUE!</v>
      </c>
      <c r="K248" t="str">
        <f t="shared" ca="1" si="6"/>
        <v xml:space="preserve">Gouveia, L. </v>
      </c>
      <c r="L248" t="str">
        <f t="shared" ca="1" si="7"/>
        <v xml:space="preserve">Quental, C. </v>
      </c>
    </row>
    <row r="249" spans="1:16" ht="15.75" customHeight="1">
      <c r="A249">
        <f ca="1">IFERROR(__xludf.DUMMYFUNCTION("""COMPUTED_VALUE"""),45)</f>
        <v>45</v>
      </c>
      <c r="B249" t="str">
        <f ca="1">IFERROR(__xludf.DUMMYFUNCTION("""COMPUTED_VALUE"""),"Azevedo, M. e Gouveia, L. (2003). Repensar a missão da biblioteca pública 
na Gestão das TIC. Full paper at Conferência Ibero-Americana WWW/Internet 
2003. Algarve, Portugal. 8 e 9 Novembro.")</f>
        <v>Azevedo, M. e Gouveia, L. (2003). Repensar a missão da biblioteca pública 
na Gestão das TIC. Full paper at Conferência Ibero-Americana WWW/Internet 
2003. Algarve, Portugal. 8 e 9 Novembro.</v>
      </c>
      <c r="C249" s="2">
        <f t="shared" ca="1" si="0"/>
        <v>27</v>
      </c>
      <c r="D249" t="str">
        <f t="shared" ca="1" si="29"/>
        <v xml:space="preserve">Azevedo, M. e Gouveia, L. </v>
      </c>
      <c r="E249" t="str">
        <f t="shared" ca="1" si="24"/>
        <v>2003</v>
      </c>
      <c r="F249" t="str">
        <f t="shared" ca="1" si="25"/>
        <v xml:space="preserve"> Repensar a missão da biblioteca pública 
na Gestão das TIC. </v>
      </c>
      <c r="G249" s="3">
        <f t="shared" ca="1" si="26"/>
        <v>32</v>
      </c>
      <c r="H249" s="2">
        <f t="shared" ca="1" si="27"/>
        <v>93</v>
      </c>
      <c r="I249" t="e">
        <f t="shared" ca="1" si="28"/>
        <v>#VALUE!</v>
      </c>
      <c r="J249" s="3" t="e">
        <f t="shared" ca="1" si="30"/>
        <v>#VALUE!</v>
      </c>
      <c r="K249" t="str">
        <f t="shared" ca="1" si="6"/>
        <v xml:space="preserve">Azevedo, M. e Gouveia, L. </v>
      </c>
      <c r="L249" t="str">
        <f t="shared" ca="1" si="7"/>
        <v xml:space="preserve">Quental, C. </v>
      </c>
    </row>
    <row r="250" spans="1:16" ht="15.75" customHeight="1">
      <c r="A250">
        <f ca="1">IFERROR(__xludf.DUMMYFUNCTION("""COMPUTED_VALUE"""),44)</f>
        <v>44</v>
      </c>
      <c r="B250" t="str">
        <f ca="1">IFERROR(__xludf.DUMMYFUNCTION("""COMPUTED_VALUE"""),"Xavier, J. e Gouveia, L. e Gouveia, J. (2003). A Gestão do Relacionamento 
com o Cidadão em Cidades e Regiões Digitais. Full paper at Conferência 
Ibero-Americana WWW/Internet 2003. Algarve, Portugal. 8 e 9 Novembro.")</f>
        <v>Xavier, J. e Gouveia, L. e Gouveia, J. (2003). A Gestão do Relacionamento 
com o Cidadão em Cidades e Regiões Digitais. Full paper at Conferência 
Ibero-Americana WWW/Internet 2003. Algarve, Portugal. 8 e 9 Novembro.</v>
      </c>
      <c r="C250" s="2">
        <f t="shared" ca="1" si="0"/>
        <v>40</v>
      </c>
      <c r="D250" t="str">
        <f t="shared" ca="1" si="29"/>
        <v xml:space="preserve">Xavier, J. e Gouveia, L. e Gouveia, J. </v>
      </c>
      <c r="E250" t="str">
        <f t="shared" ca="1" si="24"/>
        <v>2003</v>
      </c>
      <c r="F250" t="str">
        <f t="shared" ca="1" si="25"/>
        <v xml:space="preserve"> A Gestão do Relacionamento 
com o Cidadão em Cidades e Regiões Digitais. </v>
      </c>
      <c r="G250" s="3">
        <f t="shared" ca="1" si="26"/>
        <v>45</v>
      </c>
      <c r="H250" s="2">
        <f t="shared" ca="1" si="27"/>
        <v>119</v>
      </c>
      <c r="I250" t="e">
        <f t="shared" ca="1" si="28"/>
        <v>#VALUE!</v>
      </c>
      <c r="J250" s="3" t="e">
        <f t="shared" ca="1" si="30"/>
        <v>#VALUE!</v>
      </c>
      <c r="K250" t="str">
        <f t="shared" ca="1" si="6"/>
        <v xml:space="preserve">Xavier, J. e Gouveia, L. e Gouveia, J. </v>
      </c>
      <c r="L250" t="str">
        <f t="shared" ca="1" si="7"/>
        <v xml:space="preserve">Quental, C. </v>
      </c>
    </row>
    <row r="251" spans="1:16" ht="15.75" customHeight="1">
      <c r="A251">
        <f ca="1">IFERROR(__xludf.DUMMYFUNCTION("""COMPUTED_VALUE"""),43)</f>
        <v>43</v>
      </c>
      <c r="B251" t="str">
        <f ca="1">IFERROR(__xludf.DUMMYFUNCTION("""COMPUTED_VALUE"""),"Gomes, F. and Gouveia, L. (2003). A Web Application To Support Higher 
Education Teaching Administrative Work. Short paper at IADIS International 
Conference WWW/Internet 2003. Algarve, Portugal. 5-8 November.")</f>
        <v>Gomes, F. and Gouveia, L. (2003). A Web Application To Support Higher 
Education Teaching Administrative Work. Short paper at IADIS International 
Conference WWW/Internet 2003. Algarve, Portugal. 5-8 November.</v>
      </c>
      <c r="C251" s="2">
        <f t="shared" ca="1" si="0"/>
        <v>27</v>
      </c>
      <c r="D251" t="str">
        <f t="shared" ca="1" si="29"/>
        <v xml:space="preserve">Gomes, F. and Gouveia, L. </v>
      </c>
      <c r="E251" t="str">
        <f t="shared" ca="1" si="24"/>
        <v>2003</v>
      </c>
      <c r="F251" t="str">
        <f t="shared" ca="1" si="25"/>
        <v xml:space="preserve"> A Web Application To Support Higher 
Education Teaching Administrative Work. </v>
      </c>
      <c r="G251" s="3">
        <f t="shared" ca="1" si="26"/>
        <v>32</v>
      </c>
      <c r="H251" s="2">
        <f t="shared" ca="1" si="27"/>
        <v>110</v>
      </c>
      <c r="I251" t="e">
        <f t="shared" ca="1" si="28"/>
        <v>#VALUE!</v>
      </c>
      <c r="J251" s="3" t="e">
        <f t="shared" ca="1" si="30"/>
        <v>#VALUE!</v>
      </c>
      <c r="K251" t="str">
        <f t="shared" ca="1" si="6"/>
        <v xml:space="preserve">Gomes, F. ; Gouveia, L. </v>
      </c>
      <c r="L251" t="str">
        <f t="shared" ca="1" si="7"/>
        <v xml:space="preserve">Quental, C. </v>
      </c>
      <c r="M251" t="str">
        <f ca="1">IFERROR(__xludf.DUMMYFUNCTION("""COMPUTED_VALUE""")," Gouveia, L. ")</f>
        <v xml:space="preserve"> Gouveia, L. </v>
      </c>
    </row>
    <row r="252" spans="1:16" ht="15.75" customHeight="1">
      <c r="A252">
        <f ca="1">IFERROR(__xludf.DUMMYFUNCTION("""COMPUTED_VALUE"""),42)</f>
        <v>42</v>
      </c>
      <c r="B252" t="str">
        <f ca="1">IFERROR(__xludf.DUMMYFUNCTION("""COMPUTED_VALUE"""),"Gouveia, L. (2003). Connecting The Real And The Virtual World: How To 
Measure Digital Cities Impact. Short paper at IADIS International 
Conference WWW/Internet 2003. Algarve, Portugal. 5-8 November.")</f>
        <v>Gouveia, L. (2003). Connecting The Real And The Virtual World: How To 
Measure Digital Cities Impact. Short paper at IADIS International 
Conference WWW/Internet 2003. Algarve, Portugal. 5-8 November.</v>
      </c>
      <c r="C252" s="2">
        <f t="shared" ca="1" si="0"/>
        <v>13</v>
      </c>
      <c r="D252" t="str">
        <f t="shared" ca="1" si="29"/>
        <v xml:space="preserve">Gouveia, L. </v>
      </c>
      <c r="E252" t="str">
        <f t="shared" ca="1" si="24"/>
        <v>2003</v>
      </c>
      <c r="F252" t="str">
        <f t="shared" ca="1" si="25"/>
        <v xml:space="preserve"> Connecting The Real And The Virtual World: How To 
Measure Digital Cities Impact. </v>
      </c>
      <c r="G252" s="3">
        <f t="shared" ca="1" si="26"/>
        <v>18</v>
      </c>
      <c r="H252" s="2">
        <f t="shared" ca="1" si="27"/>
        <v>101</v>
      </c>
      <c r="I252" t="e">
        <f t="shared" ca="1" si="28"/>
        <v>#VALUE!</v>
      </c>
      <c r="J252" s="3" t="e">
        <f t="shared" ca="1" si="30"/>
        <v>#VALUE!</v>
      </c>
      <c r="K252" t="str">
        <f t="shared" ca="1" si="6"/>
        <v xml:space="preserve">Gouveia, L. </v>
      </c>
      <c r="L252" t="str">
        <f t="shared" ca="1" si="7"/>
        <v xml:space="preserve">Quental, C. </v>
      </c>
    </row>
    <row r="253" spans="1:16" ht="15.75" customHeight="1">
      <c r="A253">
        <f ca="1">IFERROR(__xludf.DUMMYFUNCTION("""COMPUTED_VALUE"""),41)</f>
        <v>41</v>
      </c>
      <c r="B253" t="str">
        <f ca="1">IFERROR(__xludf.DUMMYFUNCTION("""COMPUTED_VALUE"""),"Gouveia, L. and Gouveia, J. (2003). Local e-government: how useful is a 
digital cities rationale. Paper at eChallenges e-2003 IST International 
Conference. 22-24 October 2003. Palazzo Re Enzo. Bologna, Italy.")</f>
        <v>Gouveia, L. and Gouveia, J. (2003). Local e-government: how useful is a 
digital cities rationale. Paper at eChallenges e-2003 IST International 
Conference. 22-24 October 2003. Palazzo Re Enzo. Bologna, Italy.</v>
      </c>
      <c r="C253" s="2">
        <f t="shared" ca="1" si="0"/>
        <v>29</v>
      </c>
      <c r="D253" t="str">
        <f t="shared" ca="1" si="29"/>
        <v xml:space="preserve">Gouveia, L. and Gouveia, J. </v>
      </c>
      <c r="E253" t="str">
        <f t="shared" ca="1" si="24"/>
        <v>2003</v>
      </c>
      <c r="F253" t="str">
        <f t="shared" ca="1" si="25"/>
        <v xml:space="preserve"> Local e-government: how useful is a 
digital cities rationale. </v>
      </c>
      <c r="G253" s="3">
        <f t="shared" ca="1" si="26"/>
        <v>34</v>
      </c>
      <c r="H253" s="2">
        <f t="shared" ca="1" si="27"/>
        <v>98</v>
      </c>
      <c r="I253" t="e">
        <f t="shared" ca="1" si="28"/>
        <v>#VALUE!</v>
      </c>
      <c r="J253" s="3" t="e">
        <f t="shared" ca="1" si="30"/>
        <v>#VALUE!</v>
      </c>
      <c r="K253" t="str">
        <f t="shared" ca="1" si="6"/>
        <v xml:space="preserve">Gouveia, L. ; Gouveia, J. </v>
      </c>
      <c r="L253" t="str">
        <f t="shared" ca="1" si="7"/>
        <v xml:space="preserve">Quental, C. </v>
      </c>
      <c r="M253" t="str">
        <f ca="1">IFERROR(__xludf.DUMMYFUNCTION("""COMPUTED_VALUE""")," Gouveia, J. ")</f>
        <v xml:space="preserve"> Gouveia, J. </v>
      </c>
    </row>
    <row r="254" spans="1:16" ht="15.75" customHeight="1">
      <c r="A254">
        <f ca="1">IFERROR(__xludf.DUMMYFUNCTION("""COMPUTED_VALUE"""),40)</f>
        <v>40</v>
      </c>
      <c r="B254" t="str">
        <f ca="1">IFERROR(__xludf.DUMMYFUNCTION("""COMPUTED_VALUE"""),"Sacau, A.; Gouveia, L.; Ribeiro, N.; Gouveia, F. and Biocca, F. (2003). *Presence 
in Computer-Mediated Environments: a Short Review of the main concepts, 
theories, and trends.* IADIS International Conference e-Society 2003. 
Lisbon, Portugal. 3-6 June 2"&amp;"003.")</f>
        <v>Sacau, A.; Gouveia, L.; Ribeiro, N.; Gouveia, F. and Biocca, F. (2003). *Presence 
in Computer-Mediated Environments: a Short Review of the main concepts, 
theories, and trends.* IADIS International Conference e-Society 2003. 
Lisbon, Portugal. 3-6 June 2003.</v>
      </c>
      <c r="C254" s="2">
        <f t="shared" ca="1" si="0"/>
        <v>65</v>
      </c>
      <c r="D254" t="str">
        <f t="shared" ca="1" si="29"/>
        <v xml:space="preserve">Sacau, A.; Gouveia, L.; Ribeiro, N.; Gouveia, F. and Biocca, F. </v>
      </c>
      <c r="E254" t="str">
        <f t="shared" ca="1" si="24"/>
        <v>2003</v>
      </c>
      <c r="F254" t="str">
        <f t="shared" ca="1" si="25"/>
        <v xml:space="preserve"> *Presence 
in Computer-Mediated Environments: a Short Review of the main concepts, 
theories, and trends.*</v>
      </c>
      <c r="G254" s="3">
        <f t="shared" ca="1" si="26"/>
        <v>70</v>
      </c>
      <c r="H254" s="2">
        <f t="shared" ca="1" si="27"/>
        <v>177</v>
      </c>
      <c r="I254" t="e">
        <f t="shared" ca="1" si="28"/>
        <v>#VALUE!</v>
      </c>
      <c r="J254" s="3" t="e">
        <f t="shared" ca="1" si="30"/>
        <v>#VALUE!</v>
      </c>
      <c r="K254" t="str">
        <f t="shared" ca="1" si="6"/>
        <v xml:space="preserve">Sacau, A.; Gouveia, L.; Ribeiro, N.; Gouveia, F. ; Biocca, F. </v>
      </c>
      <c r="L254" t="str">
        <f t="shared" ca="1" si="7"/>
        <v xml:space="preserve">Quental, C. </v>
      </c>
      <c r="M254" t="str">
        <f ca="1">IFERROR(__xludf.DUMMYFUNCTION("""COMPUTED_VALUE""")," Gouveia, L.")</f>
        <v xml:space="preserve"> Gouveia, L.</v>
      </c>
      <c r="N254" t="str">
        <f ca="1">IFERROR(__xludf.DUMMYFUNCTION("""COMPUTED_VALUE""")," Ribeiro, N.")</f>
        <v xml:space="preserve"> Ribeiro, N.</v>
      </c>
      <c r="O254" t="str">
        <f ca="1">IFERROR(__xludf.DUMMYFUNCTION("""COMPUTED_VALUE""")," Gouveia, F. ")</f>
        <v xml:space="preserve"> Gouveia, F. </v>
      </c>
      <c r="P254" t="str">
        <f ca="1">IFERROR(__xludf.DUMMYFUNCTION("""COMPUTED_VALUE""")," Biocca, F. ")</f>
        <v xml:space="preserve"> Biocca, F. </v>
      </c>
    </row>
    <row r="255" spans="1:16" ht="15.75" customHeight="1">
      <c r="A255">
        <f ca="1">IFERROR(__xludf.DUMMYFUNCTION("""COMPUTED_VALUE"""),39)</f>
        <v>39</v>
      </c>
      <c r="B255" t="str">
        <f ca="1">IFERROR(__xludf.DUMMYFUNCTION("""COMPUTED_VALUE"""),"Gouveia, F. and Gouveia, L. (2003). *Assuming a roadmap strategy for 
e-business.* 5th International Conference on Enterprise Information 
Systems. École Supérieure d' Électronique de l' Ouest. Angers, France. 
23-26, April 2003.")</f>
        <v>Gouveia, F. and Gouveia, L. (2003). *Assuming a roadmap strategy for 
e-business.* 5th International Conference on Enterprise Information 
Systems. École Supérieure d' Électronique de l' Ouest. Angers, France. 
23-26, April 2003.</v>
      </c>
      <c r="C255" s="2">
        <f t="shared" ca="1" si="0"/>
        <v>29</v>
      </c>
      <c r="D255" t="str">
        <f t="shared" ca="1" si="29"/>
        <v xml:space="preserve">Gouveia, F. and Gouveia, L. </v>
      </c>
      <c r="E255" t="str">
        <f t="shared" ca="1" si="24"/>
        <v>2003</v>
      </c>
      <c r="F255" t="str">
        <f t="shared" ca="1" si="25"/>
        <v xml:space="preserve"> *Assuming a roadmap strategy for 
e-business.*</v>
      </c>
      <c r="G255" s="3">
        <f t="shared" ca="1" si="26"/>
        <v>34</v>
      </c>
      <c r="H255" s="2">
        <f t="shared" ca="1" si="27"/>
        <v>81</v>
      </c>
      <c r="I255" t="e">
        <f t="shared" ca="1" si="28"/>
        <v>#VALUE!</v>
      </c>
      <c r="J255" s="3" t="e">
        <f t="shared" ca="1" si="30"/>
        <v>#VALUE!</v>
      </c>
      <c r="K255" t="str">
        <f t="shared" ca="1" si="6"/>
        <v xml:space="preserve">Gouveia, F. ; Gouveia, L. </v>
      </c>
      <c r="L255" t="str">
        <f t="shared" ca="1" si="7"/>
        <v xml:space="preserve">Quental, C. </v>
      </c>
      <c r="M255" t="str">
        <f ca="1">IFERROR(__xludf.DUMMYFUNCTION("""COMPUTED_VALUE""")," Gouveia, L. ")</f>
        <v xml:space="preserve"> Gouveia, L. </v>
      </c>
    </row>
    <row r="256" spans="1:16" ht="15.75" customHeight="1">
      <c r="A256">
        <f ca="1">IFERROR(__xludf.DUMMYFUNCTION("""COMPUTED_VALUE"""),38)</f>
        <v>38</v>
      </c>
      <c r="B256" t="str">
        <f ca="1">IFERROR(__xludf.DUMMYFUNCTION("""COMPUTED_VALUE"""),"Gouveia, L. and Gouveia, J. (2003). *Taking advantage of digital benefits 
for digital outcomes.* International Conference Teaching and Learning in 
Higher Education: New Trends and Innovations. ICHEd. 13-17 April. 
University of Aveiro, Portugal.  
paper"&amp;" [ pdf (32KB)]")</f>
        <v>Gouveia, L. and Gouveia, J. (2003). *Taking advantage of digital benefits 
for digital outcomes.* International Conference Teaching and Learning in 
Higher Education: New Trends and Innovations. ICHEd. 13-17 April. 
University of Aveiro, Portugal.  
paper [ pdf (32KB)]</v>
      </c>
      <c r="C256" s="2">
        <f t="shared" ca="1" si="0"/>
        <v>29</v>
      </c>
      <c r="D256" t="str">
        <f t="shared" ca="1" si="29"/>
        <v xml:space="preserve">Gouveia, L. and Gouveia, J. </v>
      </c>
      <c r="E256" t="str">
        <f t="shared" ca="1" si="24"/>
        <v>2003</v>
      </c>
      <c r="F256" t="str">
        <f t="shared" ca="1" si="25"/>
        <v xml:space="preserve"> *Taking advantage of digital benefits 
for digital outcomes.*</v>
      </c>
      <c r="G256" s="3">
        <f t="shared" ca="1" si="26"/>
        <v>34</v>
      </c>
      <c r="H256" s="2">
        <f t="shared" ca="1" si="27"/>
        <v>96</v>
      </c>
      <c r="I256" t="e">
        <f t="shared" ca="1" si="28"/>
        <v>#VALUE!</v>
      </c>
      <c r="J256" s="3" t="e">
        <f t="shared" ca="1" si="30"/>
        <v>#VALUE!</v>
      </c>
      <c r="K256" t="str">
        <f t="shared" ca="1" si="6"/>
        <v xml:space="preserve">Gouveia, L. ; Gouveia, J. </v>
      </c>
      <c r="L256" t="str">
        <f t="shared" ca="1" si="7"/>
        <v xml:space="preserve">Quental, C. </v>
      </c>
      <c r="M256" t="str">
        <f ca="1">IFERROR(__xludf.DUMMYFUNCTION("""COMPUTED_VALUE""")," Gouveia, J. ")</f>
        <v xml:space="preserve"> Gouveia, J. </v>
      </c>
    </row>
    <row r="257" spans="1:14" ht="15.75" customHeight="1">
      <c r="A257">
        <f ca="1">IFERROR(__xludf.DUMMYFUNCTION("""COMPUTED_VALUE"""),37)</f>
        <v>37</v>
      </c>
      <c r="B257" t="str">
        <f ca="1">IFERROR(__xludf.DUMMYFUNCTION("""COMPUTED_VALUE"""),"Gouveia, L. and Gouveia, J. (2003). *E-learning: an opportunity to support 
the individual, the group and the community.* International Conference 
Teaching and Learning in Higher Education: New Trends and Innovations. 
ICHEd. 13-17 April. University of A"&amp;"veiro, Portugal.")</f>
        <v>Gouveia, L. and Gouveia, J. (2003). *E-learning: an opportunity to support 
the individual, the group and the community.* International Conference 
Teaching and Learning in Higher Education: New Trends and Innovations. 
ICHEd. 13-17 April. University of Aveiro, Portugal.</v>
      </c>
      <c r="C257" s="2">
        <f t="shared" ca="1" si="0"/>
        <v>29</v>
      </c>
      <c r="D257" t="str">
        <f t="shared" ca="1" si="29"/>
        <v xml:space="preserve">Gouveia, L. and Gouveia, J. </v>
      </c>
      <c r="E257" t="str">
        <f t="shared" ca="1" si="24"/>
        <v>2003</v>
      </c>
      <c r="F257" t="str">
        <f t="shared" ca="1" si="25"/>
        <v xml:space="preserve"> *E-learning: an opportunity to support 
the individual, the group and the community.*</v>
      </c>
      <c r="G257" s="3">
        <f t="shared" ca="1" si="26"/>
        <v>34</v>
      </c>
      <c r="H257" s="2">
        <f t="shared" ca="1" si="27"/>
        <v>120</v>
      </c>
      <c r="I257" t="e">
        <f t="shared" ca="1" si="28"/>
        <v>#VALUE!</v>
      </c>
      <c r="J257" s="3" t="e">
        <f t="shared" ca="1" si="30"/>
        <v>#VALUE!</v>
      </c>
      <c r="K257" t="str">
        <f t="shared" ca="1" si="6"/>
        <v xml:space="preserve">Gouveia, L. ; Gouveia, J. </v>
      </c>
      <c r="L257" t="str">
        <f t="shared" ca="1" si="7"/>
        <v xml:space="preserve">Quental, C. </v>
      </c>
      <c r="M257" t="str">
        <f ca="1">IFERROR(__xludf.DUMMYFUNCTION("""COMPUTED_VALUE""")," Gouveia, J. ")</f>
        <v xml:space="preserve"> Gouveia, J. </v>
      </c>
    </row>
    <row r="258" spans="1:14" ht="15.75" customHeight="1">
      <c r="A258">
        <f ca="1">IFERROR(__xludf.DUMMYFUNCTION("""COMPUTED_VALUE"""),36)</f>
        <v>36</v>
      </c>
      <c r="B258" t="str">
        <f ca="1">IFERROR(__xludf.DUMMYFUNCTION("""COMPUTED_VALUE"""),"Rurato, P.; Gouveia, L. and Gouveia, J. (2002). *A Study on Adult Education 
and Distance Learning*. International Conference on Information and 
Communication Technologies in Education. Badajoz, Spain, 13-16 November. 
Poster. 
paper [ pdf(22KB)]")</f>
        <v>Rurato, P.; Gouveia, L. and Gouveia, J. (2002). *A Study on Adult Education 
and Distance Learning*. International Conference on Information and 
Communication Technologies in Education. Badajoz, Spain, 13-16 November. 
Poster. 
paper [ pdf(22KB)]</v>
      </c>
      <c r="C258" s="2">
        <f t="shared" ref="C258:C512" ca="1" si="31">FIND("(",B258)</f>
        <v>41</v>
      </c>
      <c r="D258" t="str">
        <f t="shared" ca="1" si="29"/>
        <v xml:space="preserve">Rurato, P.; Gouveia, L. and Gouveia, J. </v>
      </c>
      <c r="E258" t="str">
        <f t="shared" ca="1" si="24"/>
        <v>2002</v>
      </c>
      <c r="F258" t="str">
        <f t="shared" ca="1" si="25"/>
        <v xml:space="preserve"> *A Study on Adult Education 
and Distance Learning*. </v>
      </c>
      <c r="G258" s="3">
        <f t="shared" ca="1" si="26"/>
        <v>46</v>
      </c>
      <c r="H258" s="2">
        <f t="shared" ca="1" si="27"/>
        <v>100</v>
      </c>
      <c r="I258" t="e">
        <f t="shared" ca="1" si="28"/>
        <v>#VALUE!</v>
      </c>
      <c r="J258" s="3" t="e">
        <f t="shared" ca="1" si="30"/>
        <v>#VALUE!</v>
      </c>
      <c r="K258" t="str">
        <f t="shared" ref="K258:K512" ca="1" si="32">SUBSTITUTE(D258,"and",";")</f>
        <v xml:space="preserve">Rurato, P.; Gouveia, L. ; Gouveia, J. </v>
      </c>
      <c r="L258" t="str">
        <f t="shared" ref="L258:L512" ca="1" si="33">IFERROR(__xludf.DUMMYFUNCTION("SPLIT(K3,"";"")"),"Quental, C. ")</f>
        <v xml:space="preserve">Quental, C. </v>
      </c>
      <c r="M258" t="str">
        <f ca="1">IFERROR(__xludf.DUMMYFUNCTION("""COMPUTED_VALUE""")," Gouveia, L. ")</f>
        <v xml:space="preserve"> Gouveia, L. </v>
      </c>
      <c r="N258" t="str">
        <f ca="1">IFERROR(__xludf.DUMMYFUNCTION("""COMPUTED_VALUE""")," Gouveia, J. ")</f>
        <v xml:space="preserve"> Gouveia, J. </v>
      </c>
    </row>
    <row r="259" spans="1:14" ht="15.75" customHeight="1">
      <c r="A259">
        <f ca="1">IFERROR(__xludf.DUMMYFUNCTION("""COMPUTED_VALUE"""),35)</f>
        <v>35</v>
      </c>
      <c r="B259" t="str">
        <f ca="1">IFERROR(__xludf.DUMMYFUNCTION("""COMPUTED_VALUE"""),"Gouveia, L. (2002). *A Proposal to Support Collaborative Learning: using a 
structure to share context*. International Conference on Information and 
Communication Technologies in Education. Badajoz, Spain, 13-16 November. 
Full paper. 
paper [ pdf (34KB)"&amp;"] | presentation [ pdf(14KB)]")</f>
        <v>Gouveia, L. (2002). *A Proposal to Support Collaborative Learning: using a 
structure to share context*. International Conference on Information and 
Communication Technologies in Education. Badajoz, Spain, 13-16 November. 
Full paper. 
paper [ pdf (34KB)] | presentation [ pdf(14KB)]</v>
      </c>
      <c r="C259" s="2">
        <f t="shared" ca="1" si="31"/>
        <v>13</v>
      </c>
      <c r="D259" t="str">
        <f t="shared" ca="1" si="29"/>
        <v xml:space="preserve">Gouveia, L. </v>
      </c>
      <c r="E259" t="str">
        <f t="shared" ref="E259:E322" ca="1" si="34">MID(B259,C259+1,4)</f>
        <v>2002</v>
      </c>
      <c r="F259" t="str">
        <f t="shared" ref="F259:F322" ca="1" si="35">MID(B259,G259+2,H259-G259)</f>
        <v xml:space="preserve"> *A Proposal to Support Collaborative Learning: using a 
structure to share context*. </v>
      </c>
      <c r="G259" s="3">
        <f t="shared" ref="G259:G322" ca="1" si="36">FIND(").",B259)</f>
        <v>18</v>
      </c>
      <c r="H259" s="2">
        <f t="shared" ref="H259:H322" ca="1" si="37">FIND(".",B259,G259+2)</f>
        <v>104</v>
      </c>
      <c r="I259" t="e">
        <f t="shared" ref="I259:I322" ca="1" si="38">MID(B259,H259+2,J259-H259)</f>
        <v>#VALUE!</v>
      </c>
      <c r="J259" s="3" t="e">
        <f t="shared" ca="1" si="30"/>
        <v>#VALUE!</v>
      </c>
      <c r="K259" t="str">
        <f t="shared" ca="1" si="32"/>
        <v xml:space="preserve">Gouveia, L. </v>
      </c>
      <c r="L259" t="str">
        <f t="shared" ca="1" si="33"/>
        <v xml:space="preserve">Quental, C. </v>
      </c>
    </row>
    <row r="260" spans="1:14" ht="15.75" customHeight="1">
      <c r="A260">
        <f ca="1">IFERROR(__xludf.DUMMYFUNCTION("""COMPUTED_VALUE"""),34)</f>
        <v>34</v>
      </c>
      <c r="B260" t="str">
        <f ca="1">IFERROR(__xludf.DUMMYFUNCTION("""COMPUTED_VALUE"""),"Xavier, J.; Gouveia, L. e Gouveia, J. (2002). *Reflexão sobre o uso de 
sistemas CRM e SIG para suporte ao conceito de cidade digital. 3ª* 
Conferência da Associação Portuguesa de Sistemas de Informação. 20-22 
Novembro, Universidade de Coimbra. Coimbra, "&amp;"Portugal. Actas em CD-ROM ISBN 
972-97548-7-X.
paper [ pdf (38KB)] | presentation [ pdf (392KB)]")</f>
        <v>Xavier, J.; Gouveia, L. e Gouveia, J. (2002). *Reflexão sobre o uso de 
sistemas CRM e SIG para suporte ao conceito de cidade digital. 3ª* 
Conferência da Associação Portuguesa de Sistemas de Informação. 20-22 
Novembro, Universidade de Coimbra. Coimbra, Portugal. Actas em CD-ROM ISBN 
972-97548-7-X.
paper [ pdf (38KB)] | presentation [ pdf (392KB)]</v>
      </c>
      <c r="C260" s="2">
        <f t="shared" ca="1" si="31"/>
        <v>39</v>
      </c>
      <c r="D260" t="str">
        <f t="shared" ref="D260:D323" ca="1" si="39">LEFT(B260,FIND("(",B260)-1)</f>
        <v xml:space="preserve">Xavier, J.; Gouveia, L. e Gouveia, J. </v>
      </c>
      <c r="E260" t="str">
        <f t="shared" ca="1" si="34"/>
        <v>2002</v>
      </c>
      <c r="F260" t="str">
        <f t="shared" ca="1" si="35"/>
        <v xml:space="preserve"> *Reflexão sobre o uso de 
sistemas CRM e SIG para suporte ao conceito de cidade digital. </v>
      </c>
      <c r="G260" s="3">
        <f t="shared" ca="1" si="36"/>
        <v>44</v>
      </c>
      <c r="H260" s="2">
        <f t="shared" ca="1" si="37"/>
        <v>134</v>
      </c>
      <c r="I260" t="e">
        <f t="shared" ca="1" si="38"/>
        <v>#VALUE!</v>
      </c>
      <c r="J260" s="3" t="e">
        <f t="shared" ref="J260:J323" ca="1" si="40">FIND(").",B260,H260+1)</f>
        <v>#VALUE!</v>
      </c>
      <c r="K260" t="str">
        <f t="shared" ca="1" si="32"/>
        <v xml:space="preserve">Xavier, J.; Gouveia, L. e Gouveia, J. </v>
      </c>
      <c r="L260" t="str">
        <f t="shared" ca="1" si="33"/>
        <v xml:space="preserve">Quental, C. </v>
      </c>
      <c r="M260" t="str">
        <f ca="1">IFERROR(__xludf.DUMMYFUNCTION("""COMPUTED_VALUE""")," Gouveia, L. e Gouveia, J. ")</f>
        <v xml:space="preserve"> Gouveia, L. e Gouveia, J. </v>
      </c>
    </row>
    <row r="261" spans="1:14" ht="15.75" customHeight="1">
      <c r="A261">
        <f ca="1">IFERROR(__xludf.DUMMYFUNCTION("""COMPUTED_VALUE"""),33)</f>
        <v>33</v>
      </c>
      <c r="B261" t="str">
        <f ca="1">IFERROR(__xludf.DUMMYFUNCTION("""COMPUTED_VALUE"""),"Gouveia, L. e Gouveia, J. (2002). *Using a content management approach to 
support Web-based learning. 3ª* Conferência da Associação Portuguesa de 
Sistemas de Informação. 20-22 November, Universidade de Coimbra. Coimbra, 
Portugal. Actas em CD-ROM ISBN 9"&amp;"72-97548-7-X. 
paper [ pdf (33KB)] | presentation [ pdf(180KB)]")</f>
        <v>Gouveia, L. e Gouveia, J. (2002). *Using a content management approach to 
support Web-based learning. 3ª* Conferência da Associação Portuguesa de 
Sistemas de Informação. 20-22 November, Universidade de Coimbra. Coimbra, 
Portugal. Actas em CD-ROM ISBN 972-97548-7-X. 
paper [ pdf (33KB)] | presentation [ pdf(180KB)]</v>
      </c>
      <c r="C261" s="2">
        <f t="shared" ca="1" si="31"/>
        <v>27</v>
      </c>
      <c r="D261" t="str">
        <f t="shared" ca="1" si="39"/>
        <v xml:space="preserve">Gouveia, L. e Gouveia, J. </v>
      </c>
      <c r="E261" t="str">
        <f t="shared" ca="1" si="34"/>
        <v>2002</v>
      </c>
      <c r="F261" t="str">
        <f t="shared" ca="1" si="35"/>
        <v xml:space="preserve"> *Using a content management approach to 
support Web-based learning. </v>
      </c>
      <c r="G261" s="3">
        <f t="shared" ca="1" si="36"/>
        <v>32</v>
      </c>
      <c r="H261" s="2">
        <f t="shared" ca="1" si="37"/>
        <v>102</v>
      </c>
      <c r="I261" t="e">
        <f t="shared" ca="1" si="38"/>
        <v>#VALUE!</v>
      </c>
      <c r="J261" s="3" t="e">
        <f t="shared" ca="1" si="40"/>
        <v>#VALUE!</v>
      </c>
      <c r="K261" t="str">
        <f t="shared" ca="1" si="32"/>
        <v xml:space="preserve">Gouveia, L. e Gouveia, J. </v>
      </c>
      <c r="L261" t="str">
        <f t="shared" ca="1" si="33"/>
        <v xml:space="preserve">Quental, C. </v>
      </c>
    </row>
    <row r="262" spans="1:14" ht="15.75" customHeight="1">
      <c r="A262">
        <f ca="1">IFERROR(__xludf.DUMMYFUNCTION("""COMPUTED_VALUE"""),32)</f>
        <v>32</v>
      </c>
      <c r="B262" t="str">
        <f ca="1">IFERROR(__xludf.DUMMYFUNCTION("""COMPUTED_VALUE"""),"Gouveia, L. and Gouveia, J. (2002). *Digital cities: the Gaia Digital 
approach*. IADIS International Conference WWW/Internet 2002. Lisbon, 
Portugal, 13-15 November. 
paper [ pdf(82KB)]")</f>
        <v>Gouveia, L. and Gouveia, J. (2002). *Digital cities: the Gaia Digital 
approach*. IADIS International Conference WWW/Internet 2002. Lisbon, 
Portugal, 13-15 November. 
paper [ pdf(82KB)]</v>
      </c>
      <c r="C262" s="2">
        <f t="shared" ca="1" si="31"/>
        <v>29</v>
      </c>
      <c r="D262" t="str">
        <f t="shared" ca="1" si="39"/>
        <v xml:space="preserve">Gouveia, L. and Gouveia, J. </v>
      </c>
      <c r="E262" t="str">
        <f t="shared" ca="1" si="34"/>
        <v>2002</v>
      </c>
      <c r="F262" t="str">
        <f t="shared" ca="1" si="35"/>
        <v xml:space="preserve"> *Digital cities: the Gaia Digital 
approach*. </v>
      </c>
      <c r="G262" s="3">
        <f t="shared" ca="1" si="36"/>
        <v>34</v>
      </c>
      <c r="H262" s="2">
        <f t="shared" ca="1" si="37"/>
        <v>81</v>
      </c>
      <c r="I262" t="e">
        <f t="shared" ca="1" si="38"/>
        <v>#VALUE!</v>
      </c>
      <c r="J262" s="3" t="e">
        <f t="shared" ca="1" si="40"/>
        <v>#VALUE!</v>
      </c>
      <c r="K262" t="str">
        <f t="shared" ca="1" si="32"/>
        <v xml:space="preserve">Gouveia, L. ; Gouveia, J. </v>
      </c>
      <c r="L262" t="str">
        <f t="shared" ca="1" si="33"/>
        <v xml:space="preserve">Quental, C. </v>
      </c>
      <c r="M262" t="str">
        <f ca="1">IFERROR(__xludf.DUMMYFUNCTION("""COMPUTED_VALUE""")," Gouveia, J. ")</f>
        <v xml:space="preserve"> Gouveia, J. </v>
      </c>
    </row>
    <row r="263" spans="1:14" ht="15.75" customHeight="1">
      <c r="A263">
        <f ca="1">IFERROR(__xludf.DUMMYFUNCTION("""COMPUTED_VALUE"""),31)</f>
        <v>31</v>
      </c>
      <c r="B263" t="str">
        <f ca="1">IFERROR(__xludf.DUMMYFUNCTION("""COMPUTED_VALUE"""),"Gouveia, L. and Gouveia, J. (2002). *A Proposal for using Visualisation to 
Support Collaborative Learning.* E-Learn 2002 World Conference on 
e-learning in Corporate, Government, and Healthcare &amp; Higher Education. 
Montreal, Canada, October 15-19. ISBN 1"&amp;"-880094-46-0, pp 1210-1213. 
paper [ pdf (21KB)] | presentation [ pdf(14KB)]")</f>
        <v>Gouveia, L. and Gouveia, J. (2002). *A Proposal for using Visualisation to 
Support Collaborative Learning.* E-Learn 2002 World Conference on 
e-learning in Corporate, Government, and Healthcare &amp; Higher Education. 
Montreal, Canada, October 15-19. ISBN 1-880094-46-0, pp 1210-1213. 
paper [ pdf (21KB)] | presentation [ pdf(14KB)]</v>
      </c>
      <c r="C263" s="2">
        <f t="shared" ca="1" si="31"/>
        <v>29</v>
      </c>
      <c r="D263" t="str">
        <f t="shared" ca="1" si="39"/>
        <v xml:space="preserve">Gouveia, L. and Gouveia, J. </v>
      </c>
      <c r="E263" t="str">
        <f t="shared" ca="1" si="34"/>
        <v>2002</v>
      </c>
      <c r="F263" t="str">
        <f t="shared" ca="1" si="35"/>
        <v xml:space="preserve"> *A Proposal for using Visualisation to 
Support Collaborative Learning.*</v>
      </c>
      <c r="G263" s="3">
        <f t="shared" ca="1" si="36"/>
        <v>34</v>
      </c>
      <c r="H263" s="2">
        <f t="shared" ca="1" si="37"/>
        <v>107</v>
      </c>
      <c r="I263" t="e">
        <f t="shared" ca="1" si="38"/>
        <v>#VALUE!</v>
      </c>
      <c r="J263" s="3" t="e">
        <f t="shared" ca="1" si="40"/>
        <v>#VALUE!</v>
      </c>
      <c r="K263" t="str">
        <f t="shared" ca="1" si="32"/>
        <v xml:space="preserve">Gouveia, L. ; Gouveia, J. </v>
      </c>
      <c r="L263" t="str">
        <f t="shared" ca="1" si="33"/>
        <v xml:space="preserve">Quental, C. </v>
      </c>
      <c r="M263" t="str">
        <f ca="1">IFERROR(__xludf.DUMMYFUNCTION("""COMPUTED_VALUE""")," Gouveia, J. ")</f>
        <v xml:space="preserve"> Gouveia, J. </v>
      </c>
    </row>
    <row r="264" spans="1:14" ht="15.75" customHeight="1">
      <c r="A264">
        <f ca="1">IFERROR(__xludf.DUMMYFUNCTION("""COMPUTED_VALUE"""),30)</f>
        <v>30</v>
      </c>
      <c r="B264" t="str">
        <f ca="1">IFERROR(__xludf.DUMMYFUNCTION("""COMPUTED_VALUE"""),"Gouveia, L. and Gouveia, F. (2002). *Evaluative Etnography and Systems 
Design: can it also be used to assess presence?* Proceedings of the Fifth 
Annual International Workshop. PRESENCE 2002. Universidade Fernando Pessoa, 
Porto, Portugal, October 9-11, "&amp;"pp 213-222. ISBN 972-8184-88-3. 
paper [ pdf (29KB)] | presentation [ pdf(27KB)]")</f>
        <v>Gouveia, L. and Gouveia, F. (2002). *Evaluative Etnography and Systems 
Design: can it also be used to assess presence?* Proceedings of the Fifth 
Annual International Workshop. PRESENCE 2002. Universidade Fernando Pessoa, 
Porto, Portugal, October 9-11, pp 213-222. ISBN 972-8184-88-3. 
paper [ pdf (29KB)] | presentation [ pdf(27KB)]</v>
      </c>
      <c r="C264" s="2">
        <f t="shared" ca="1" si="31"/>
        <v>29</v>
      </c>
      <c r="D264" t="str">
        <f t="shared" ca="1" si="39"/>
        <v xml:space="preserve">Gouveia, L. and Gouveia, F. </v>
      </c>
      <c r="E264" t="str">
        <f t="shared" ca="1" si="34"/>
        <v>2002</v>
      </c>
      <c r="F264" t="str">
        <f t="shared" ca="1" si="35"/>
        <v xml:space="preserve"> *Evaluative Etnography and Systems 
Design: can it also be used to assess presence?* Proceedings of the Fifth 
Annual International Workshop. </v>
      </c>
      <c r="G264" s="3">
        <f t="shared" ca="1" si="36"/>
        <v>34</v>
      </c>
      <c r="H264" s="2">
        <f t="shared" ca="1" si="37"/>
        <v>177</v>
      </c>
      <c r="I264" t="e">
        <f t="shared" ca="1" si="38"/>
        <v>#VALUE!</v>
      </c>
      <c r="J264" s="3" t="e">
        <f t="shared" ca="1" si="40"/>
        <v>#VALUE!</v>
      </c>
      <c r="K264" t="str">
        <f t="shared" ca="1" si="32"/>
        <v xml:space="preserve">Gouveia, L. ; Gouveia, F. </v>
      </c>
      <c r="L264" t="str">
        <f t="shared" ca="1" si="33"/>
        <v xml:space="preserve">Quental, C. </v>
      </c>
      <c r="M264" t="str">
        <f ca="1">IFERROR(__xludf.DUMMYFUNCTION("""COMPUTED_VALUE""")," Gouveia, F. ")</f>
        <v xml:space="preserve"> Gouveia, F. </v>
      </c>
    </row>
    <row r="265" spans="1:14" ht="15.75" customHeight="1">
      <c r="A265">
        <f ca="1">IFERROR(__xludf.DUMMYFUNCTION("""COMPUTED_VALUE"""),29)</f>
        <v>29</v>
      </c>
      <c r="B265" t="str">
        <f ca="1">IFERROR(__xludf.DUMMYFUNCTION("""COMPUTED_VALUE"""),"Gouveia, L. (2002). *Emergent skills in higher education: from know-how to 
know-where, know-who, know-what, know-when and know-why*. Virtual Learning 
&amp; Higher Education. 1st International Conference. Mainsfield College. 
Oxford, England, 10-11 September"&amp;". 
paper [ pdf (25KB)] | presentation [ pdf(29KB)]")</f>
        <v>Gouveia, L. (2002). *Emergent skills in higher education: from know-how to 
know-where, know-who, know-what, know-when and know-why*. Virtual Learning 
&amp; Higher Education. 1st International Conference. Mainsfield College. 
Oxford, England, 10-11 September. 
paper [ pdf (25KB)] | presentation [ pdf(29KB)]</v>
      </c>
      <c r="C265" s="2">
        <f t="shared" ca="1" si="31"/>
        <v>13</v>
      </c>
      <c r="D265" t="str">
        <f t="shared" ca="1" si="39"/>
        <v xml:space="preserve">Gouveia, L. </v>
      </c>
      <c r="E265" t="str">
        <f t="shared" ca="1" si="34"/>
        <v>2002</v>
      </c>
      <c r="F265" t="str">
        <f t="shared" ca="1" si="35"/>
        <v xml:space="preserve"> *Emergent skills in higher education: from know-how to 
know-where, know-who, know-what, know-when and know-why*. </v>
      </c>
      <c r="G265" s="3">
        <f t="shared" ca="1" si="36"/>
        <v>18</v>
      </c>
      <c r="H265" s="2">
        <f t="shared" ca="1" si="37"/>
        <v>133</v>
      </c>
      <c r="I265" t="e">
        <f t="shared" ca="1" si="38"/>
        <v>#VALUE!</v>
      </c>
      <c r="J265" s="3" t="e">
        <f t="shared" ca="1" si="40"/>
        <v>#VALUE!</v>
      </c>
      <c r="K265" t="str">
        <f t="shared" ca="1" si="32"/>
        <v xml:space="preserve">Gouveia, L. </v>
      </c>
      <c r="L265" t="str">
        <f t="shared" ca="1" si="33"/>
        <v xml:space="preserve">Quental, C. </v>
      </c>
    </row>
    <row r="266" spans="1:14" ht="15.75" customHeight="1">
      <c r="A266">
        <f ca="1">IFERROR(__xludf.DUMMYFUNCTION("""COMPUTED_VALUE"""),28)</f>
        <v>28</v>
      </c>
      <c r="B266" t="str">
        <f ca="1">IFERROR(__xludf.DUMMYFUNCTION("""COMPUTED_VALUE"""),"Gouveia, L. and Gouveia, J. (2002). *Towards a social approah to Digital 
Cities*. New Work 2002. International conference on Sustainibility in the 
New Economy. Badajoz, Spain, 3-5. 
paper [ pdf(33KB)]")</f>
        <v>Gouveia, L. and Gouveia, J. (2002). *Towards a social approah to Digital 
Cities*. New Work 2002. International conference on Sustainibility in the 
New Economy. Badajoz, Spain, 3-5. 
paper [ pdf(33KB)]</v>
      </c>
      <c r="C266" s="2">
        <f t="shared" ca="1" si="31"/>
        <v>29</v>
      </c>
      <c r="D266" t="str">
        <f t="shared" ca="1" si="39"/>
        <v xml:space="preserve">Gouveia, L. and Gouveia, J. </v>
      </c>
      <c r="E266" t="str">
        <f t="shared" ca="1" si="34"/>
        <v>2002</v>
      </c>
      <c r="F266" t="str">
        <f t="shared" ca="1" si="35"/>
        <v xml:space="preserve"> *Towards a social approah to Digital 
Cities*. </v>
      </c>
      <c r="G266" s="3">
        <f t="shared" ca="1" si="36"/>
        <v>34</v>
      </c>
      <c r="H266" s="2">
        <f t="shared" ca="1" si="37"/>
        <v>82</v>
      </c>
      <c r="I266" t="e">
        <f t="shared" ca="1" si="38"/>
        <v>#VALUE!</v>
      </c>
      <c r="J266" s="3" t="e">
        <f t="shared" ca="1" si="40"/>
        <v>#VALUE!</v>
      </c>
      <c r="K266" t="str">
        <f t="shared" ca="1" si="32"/>
        <v xml:space="preserve">Gouveia, L. ; Gouveia, J. </v>
      </c>
      <c r="L266" t="str">
        <f t="shared" ca="1" si="33"/>
        <v xml:space="preserve">Quental, C. </v>
      </c>
      <c r="M266" t="str">
        <f ca="1">IFERROR(__xludf.DUMMYFUNCTION("""COMPUTED_VALUE""")," Gouveia, J. ")</f>
        <v xml:space="preserve"> Gouveia, J. </v>
      </c>
    </row>
    <row r="267" spans="1:14" ht="15.75" customHeight="1">
      <c r="A267">
        <f ca="1">IFERROR(__xludf.DUMMYFUNCTION("""COMPUTED_VALUE"""),27)</f>
        <v>27</v>
      </c>
      <c r="B267" t="str">
        <f ca="1">IFERROR(__xludf.DUMMYFUNCTION("""COMPUTED_VALUE"""),"Gouveia, L. (2002). Assessing a case of Web use for face to face teaching 
support. TIEC 2002, II European Conference on Information Technologies for 
Education. Barcelona, Spain, 26-28 June. Actas em CD-ROM. 
paper [ pdf (32KB)] presentation [ pdf (46KB)"&amp;"]")</f>
        <v>Gouveia, L. (2002). Assessing a case of Web use for face to face teaching 
support. TIEC 2002, II European Conference on Information Technologies for 
Education. Barcelona, Spain, 26-28 June. Actas em CD-ROM. 
paper [ pdf (32KB)] presentation [ pdf (46KB)]</v>
      </c>
      <c r="C267" s="2">
        <f t="shared" ca="1" si="31"/>
        <v>13</v>
      </c>
      <c r="D267" t="str">
        <f t="shared" ca="1" si="39"/>
        <v xml:space="preserve">Gouveia, L. </v>
      </c>
      <c r="E267" t="str">
        <f t="shared" ca="1" si="34"/>
        <v>2002</v>
      </c>
      <c r="F267" t="str">
        <f t="shared" ca="1" si="35"/>
        <v xml:space="preserve"> Assessing a case of Web use for face to face teaching 
support. </v>
      </c>
      <c r="G267" s="3">
        <f t="shared" ca="1" si="36"/>
        <v>18</v>
      </c>
      <c r="H267" s="2">
        <f t="shared" ca="1" si="37"/>
        <v>83</v>
      </c>
      <c r="I267" t="e">
        <f t="shared" ca="1" si="38"/>
        <v>#VALUE!</v>
      </c>
      <c r="J267" s="3" t="e">
        <f t="shared" ca="1" si="40"/>
        <v>#VALUE!</v>
      </c>
      <c r="K267" t="str">
        <f t="shared" ca="1" si="32"/>
        <v xml:space="preserve">Gouveia, L. </v>
      </c>
      <c r="L267" t="str">
        <f t="shared" ca="1" si="33"/>
        <v xml:space="preserve">Quental, C. </v>
      </c>
    </row>
    <row r="268" spans="1:14" ht="15.75" customHeight="1">
      <c r="A268">
        <f ca="1">IFERROR(__xludf.DUMMYFUNCTION("""COMPUTED_VALUE"""),26)</f>
        <v>26</v>
      </c>
      <c r="B268" t="str">
        <f ca="1">IFERROR(__xludf.DUMMYFUNCTION("""COMPUTED_VALUE"""),"Gouveia, L. and Gouveia, J. (2002). *Proposing a semantic approach to 
Content Management for Education, Learning and Training.* Proceedings of 
EUNIS 2002, The 8th International Conference of European University 
Information Systems. Porto, Portugal, 19-"&amp;"22 June 2002. pp 378-381. ISBN 
972-752-051-0 
paper [ pdf (32KB)] presentation [ pdf(96KB)]")</f>
        <v>Gouveia, L. and Gouveia, J. (2002). *Proposing a semantic approach to 
Content Management for Education, Learning and Training.* Proceedings of 
EUNIS 2002, The 8th International Conference of European University 
Information Systems. Porto, Portugal, 19-22 June 2002. pp 378-381. ISBN 
972-752-051-0 
paper [ pdf (32KB)] presentation [ pdf(96KB)]</v>
      </c>
      <c r="C268" s="2">
        <f t="shared" ca="1" si="31"/>
        <v>29</v>
      </c>
      <c r="D268" t="str">
        <f t="shared" ca="1" si="39"/>
        <v xml:space="preserve">Gouveia, L. and Gouveia, J. </v>
      </c>
      <c r="E268" t="str">
        <f t="shared" ca="1" si="34"/>
        <v>2002</v>
      </c>
      <c r="F268" t="str">
        <f t="shared" ca="1" si="35"/>
        <v xml:space="preserve"> *Proposing a semantic approach to 
Content Management for Education, Learning and Training.*</v>
      </c>
      <c r="G268" s="3">
        <f t="shared" ca="1" si="36"/>
        <v>34</v>
      </c>
      <c r="H268" s="2">
        <f t="shared" ca="1" si="37"/>
        <v>127</v>
      </c>
      <c r="I268" t="e">
        <f t="shared" ca="1" si="38"/>
        <v>#VALUE!</v>
      </c>
      <c r="J268" s="3" t="e">
        <f t="shared" ca="1" si="40"/>
        <v>#VALUE!</v>
      </c>
      <c r="K268" t="str">
        <f t="shared" ca="1" si="32"/>
        <v xml:space="preserve">Gouveia, L. ; Gouveia, J. </v>
      </c>
      <c r="L268" t="str">
        <f t="shared" ca="1" si="33"/>
        <v xml:space="preserve">Quental, C. </v>
      </c>
      <c r="M268" t="str">
        <f ca="1">IFERROR(__xludf.DUMMYFUNCTION("""COMPUTED_VALUE""")," Gouveia, J. ")</f>
        <v xml:space="preserve"> Gouveia, J. </v>
      </c>
    </row>
    <row r="269" spans="1:14" ht="15.75" customHeight="1">
      <c r="A269">
        <f ca="1">IFERROR(__xludf.DUMMYFUNCTION("""COMPUTED_VALUE"""),25)</f>
        <v>25</v>
      </c>
      <c r="B269" t="str">
        <f ca="1">IFERROR(__xludf.DUMMYFUNCTION("""COMPUTED_VALUE"""),"Rurato, P. e Gouveia, L. (2002). Estudo dos factores de sucesso em 
ambientes de ensino à distância. Virtual Educa 2002, Conferência 
Internacional sobre Educação, Formação e Novas Tecnologias. Valência, 
Espanha, 12-14 de Junho.
paper [ pdf (40KB)]")</f>
        <v>Rurato, P. e Gouveia, L. (2002). Estudo dos factores de sucesso em 
ambientes de ensino à distância. Virtual Educa 2002, Conferência 
Internacional sobre Educação, Formação e Novas Tecnologias. Valência, 
Espanha, 12-14 de Junho.
paper [ pdf (40KB)]</v>
      </c>
      <c r="C269" s="2">
        <f t="shared" ca="1" si="31"/>
        <v>26</v>
      </c>
      <c r="D269" t="str">
        <f t="shared" ca="1" si="39"/>
        <v xml:space="preserve">Rurato, P. e Gouveia, L. </v>
      </c>
      <c r="E269" t="str">
        <f t="shared" ca="1" si="34"/>
        <v>2002</v>
      </c>
      <c r="F269" t="str">
        <f t="shared" ca="1" si="35"/>
        <v xml:space="preserve"> Estudo dos factores de sucesso em 
ambientes de ensino à distância. </v>
      </c>
      <c r="G269" s="3">
        <f t="shared" ca="1" si="36"/>
        <v>31</v>
      </c>
      <c r="H269" s="2">
        <f t="shared" ca="1" si="37"/>
        <v>100</v>
      </c>
      <c r="I269" t="e">
        <f t="shared" ca="1" si="38"/>
        <v>#VALUE!</v>
      </c>
      <c r="J269" s="3" t="e">
        <f t="shared" ca="1" si="40"/>
        <v>#VALUE!</v>
      </c>
      <c r="K269" t="str">
        <f t="shared" ca="1" si="32"/>
        <v xml:space="preserve">Rurato, P. e Gouveia, L. </v>
      </c>
      <c r="L269" t="str">
        <f t="shared" ca="1" si="33"/>
        <v xml:space="preserve">Quental, C. </v>
      </c>
    </row>
    <row r="270" spans="1:14" ht="15.75" customHeight="1">
      <c r="A270">
        <f ca="1">IFERROR(__xludf.DUMMYFUNCTION("""COMPUTED_VALUE"""),24)</f>
        <v>24</v>
      </c>
      <c r="B270" t="str">
        <f ca="1">IFERROR(__xludf.DUMMYFUNCTION("""COMPUTED_VALUE"""),"Gouveia, L. and Gouveia, J. (2002). *EFTWeb: providing context sharing for 
 Web-Based Learning*. IRMA 2002 - Information resources Management 
Association International Conference.May 19-22. Renaissance Madison Hotel. 
Seattle. US. Khosrowpour, Mehdi (ed"&amp;".) (2002). Issues and Trends of 
Information Technology Management in Contemporary Organizations, pp 
340-343. ISBN 1-930708-39-4. 
paper [ pdf (64KB)] presentation [ pdf(108KB)]")</f>
        <v>Gouveia, L. and Gouveia, J. (2002). *EFTWeb: providing context sharing for 
 Web-Based Learning*. IRMA 2002 - Information resources Management 
Association International Conference.May 19-22. Renaissance Madison Hotel. 
Seattle. US. Khosrowpour, Mehdi (ed.) (2002). Issues and Trends of 
Information Technology Management in Contemporary Organizations, pp 
340-343. ISBN 1-930708-39-4. 
paper [ pdf (64KB)] presentation [ pdf(108KB)]</v>
      </c>
      <c r="C270" s="2">
        <f t="shared" ca="1" si="31"/>
        <v>29</v>
      </c>
      <c r="D270" t="str">
        <f t="shared" ca="1" si="39"/>
        <v xml:space="preserve">Gouveia, L. and Gouveia, J. </v>
      </c>
      <c r="E270" t="str">
        <f t="shared" ca="1" si="34"/>
        <v>2002</v>
      </c>
      <c r="F270" t="str">
        <f t="shared" ca="1" si="35"/>
        <v xml:space="preserve"> *EFTWeb: providing context sharing for 
 Web-Based Learning*. </v>
      </c>
      <c r="G270" s="3">
        <f t="shared" ca="1" si="36"/>
        <v>34</v>
      </c>
      <c r="H270" s="2">
        <f t="shared" ca="1" si="37"/>
        <v>97</v>
      </c>
      <c r="I270" t="str">
        <f t="shared" ca="1" si="38"/>
        <v>IRMA 2002 - Information resources Management 
Association International Conference.May 19-22. Renaissance Madison Hotel. 
Seattle. US. Khosrowpour, Mehdi (ed.) (2002).</v>
      </c>
      <c r="J270" s="3">
        <f t="shared" ca="1" si="40"/>
        <v>264</v>
      </c>
      <c r="K270" t="str">
        <f t="shared" ca="1" si="32"/>
        <v xml:space="preserve">Gouveia, L. ; Gouveia, J. </v>
      </c>
      <c r="L270" t="str">
        <f t="shared" ca="1" si="33"/>
        <v xml:space="preserve">Quental, C. </v>
      </c>
      <c r="M270" t="str">
        <f ca="1">IFERROR(__xludf.DUMMYFUNCTION("""COMPUTED_VALUE""")," Gouveia, J. ")</f>
        <v xml:space="preserve"> Gouveia, J. </v>
      </c>
    </row>
    <row r="271" spans="1:14" ht="15.75" customHeight="1">
      <c r="A271">
        <f ca="1">IFERROR(__xludf.DUMMYFUNCTION("""COMPUTED_VALUE"""),23)</f>
        <v>23</v>
      </c>
      <c r="B271" t="str">
        <f ca="1">IFERROR(__xludf.DUMMYFUNCTION("""COMPUTED_VALUE"""),"Gouveia, L. (2001). *Supporting knowledge sharing within an organisation*. 
2ª Conferência da Associação Portuguesa de Sistemas de Informação. 
Universidade de Évora, Évora, 21-23 Novembro. 
paper [ pdf (99KB)] | presentation [ pdf(332KB)]")</f>
        <v>Gouveia, L. (2001). *Supporting knowledge sharing within an organisation*. 
2ª Conferência da Associação Portuguesa de Sistemas de Informação. 
Universidade de Évora, Évora, 21-23 Novembro. 
paper [ pdf (99KB)] | presentation [ pdf(332KB)]</v>
      </c>
      <c r="C271" s="2">
        <f t="shared" ca="1" si="31"/>
        <v>13</v>
      </c>
      <c r="D271" t="str">
        <f t="shared" ca="1" si="39"/>
        <v xml:space="preserve">Gouveia, L. </v>
      </c>
      <c r="E271" t="str">
        <f t="shared" ca="1" si="34"/>
        <v>2001</v>
      </c>
      <c r="F271" t="str">
        <f t="shared" ca="1" si="35"/>
        <v xml:space="preserve"> *Supporting knowledge sharing within an organisation*. </v>
      </c>
      <c r="G271" s="3">
        <f t="shared" ca="1" si="36"/>
        <v>18</v>
      </c>
      <c r="H271" s="2">
        <f t="shared" ca="1" si="37"/>
        <v>74</v>
      </c>
      <c r="I271" t="e">
        <f t="shared" ca="1" si="38"/>
        <v>#VALUE!</v>
      </c>
      <c r="J271" s="3" t="e">
        <f t="shared" ca="1" si="40"/>
        <v>#VALUE!</v>
      </c>
      <c r="K271" t="str">
        <f t="shared" ca="1" si="32"/>
        <v xml:space="preserve">Gouveia, L. </v>
      </c>
      <c r="L271" t="str">
        <f t="shared" ca="1" si="33"/>
        <v xml:space="preserve">Quental, C. </v>
      </c>
    </row>
    <row r="272" spans="1:14" ht="15.75" customHeight="1">
      <c r="A272">
        <f ca="1">IFERROR(__xludf.DUMMYFUNCTION("""COMPUTED_VALUE"""),22)</f>
        <v>22</v>
      </c>
      <c r="B272" t="str">
        <f ca="1">IFERROR(__xludf.DUMMYFUNCTION("""COMPUTED_VALUE"""),"Gouveia, L. (2001). *Limites ao uso da World Wide Web como complemento ao 
ensino presencial*. 3º Simpósio Internacional de Informática Educativa. 
Viseu, Portugal, 26-28 de Setembro.Actas em CD-ROM, 3º SIIE, ISBN: 
972-98523-4-0.
paper [ pdf (58KB)]  | a"&amp;"presentação [ pdf (49KB)]")</f>
        <v>Gouveia, L. (2001). *Limites ao uso da World Wide Web como complemento ao 
ensino presencial*. 3º Simpósio Internacional de Informática Educativa. 
Viseu, Portugal, 26-28 de Setembro.Actas em CD-ROM, 3º SIIE, ISBN: 
972-98523-4-0.
paper [ pdf (58KB)]  | apresentação [ pdf (49KB)]</v>
      </c>
      <c r="C272" s="2">
        <f t="shared" ca="1" si="31"/>
        <v>13</v>
      </c>
      <c r="D272" t="str">
        <f t="shared" ca="1" si="39"/>
        <v xml:space="preserve">Gouveia, L. </v>
      </c>
      <c r="E272" t="str">
        <f t="shared" ca="1" si="34"/>
        <v>2001</v>
      </c>
      <c r="F272" t="str">
        <f t="shared" ca="1" si="35"/>
        <v xml:space="preserve"> *Limites ao uso da World Wide Web como complemento ao 
ensino presencial*. </v>
      </c>
      <c r="G272" s="3">
        <f t="shared" ca="1" si="36"/>
        <v>18</v>
      </c>
      <c r="H272" s="2">
        <f t="shared" ca="1" si="37"/>
        <v>94</v>
      </c>
      <c r="I272" t="e">
        <f t="shared" ca="1" si="38"/>
        <v>#VALUE!</v>
      </c>
      <c r="J272" s="3" t="e">
        <f t="shared" ca="1" si="40"/>
        <v>#VALUE!</v>
      </c>
      <c r="K272" t="str">
        <f t="shared" ca="1" si="32"/>
        <v xml:space="preserve">Gouveia, L. </v>
      </c>
      <c r="L272" t="str">
        <f t="shared" ca="1" si="33"/>
        <v xml:space="preserve">Quental, C. </v>
      </c>
    </row>
    <row r="273" spans="1:14" ht="15.75" customHeight="1">
      <c r="A273">
        <f ca="1">IFERROR(__xludf.DUMMYFUNCTION("""COMPUTED_VALUE"""),21)</f>
        <v>21</v>
      </c>
      <c r="B273" t="str">
        <f ca="1">IFERROR(__xludf.DUMMYFUNCTION("""COMPUTED_VALUE"""),"Gouveia, J. and Gouveia, L. (2001). *EFTWeb: an environment to support 
context sharing for education settings*. e-business &amp; e-work 2001 
conference. Venice, Italy, 17-19 October.
(accepted but not presented)
paper [ pdf (30KB)]")</f>
        <v>Gouveia, J. and Gouveia, L. (2001). *EFTWeb: an environment to support 
context sharing for education settings*. e-business &amp; e-work 2001 
conference. Venice, Italy, 17-19 October.
(accepted but not presented)
paper [ pdf (30KB)]</v>
      </c>
      <c r="C273" s="2">
        <f t="shared" ca="1" si="31"/>
        <v>29</v>
      </c>
      <c r="D273" t="str">
        <f t="shared" ca="1" si="39"/>
        <v xml:space="preserve">Gouveia, J. and Gouveia, L. </v>
      </c>
      <c r="E273" t="str">
        <f t="shared" ca="1" si="34"/>
        <v>2001</v>
      </c>
      <c r="F273" t="str">
        <f t="shared" ca="1" si="35"/>
        <v xml:space="preserve"> *EFTWeb: an environment to support 
context sharing for education settings*. </v>
      </c>
      <c r="G273" s="3">
        <f t="shared" ca="1" si="36"/>
        <v>34</v>
      </c>
      <c r="H273" s="2">
        <f t="shared" ca="1" si="37"/>
        <v>112</v>
      </c>
      <c r="I273" t="e">
        <f t="shared" ca="1" si="38"/>
        <v>#VALUE!</v>
      </c>
      <c r="J273" s="3" t="e">
        <f t="shared" ca="1" si="40"/>
        <v>#VALUE!</v>
      </c>
      <c r="K273" t="str">
        <f t="shared" ca="1" si="32"/>
        <v xml:space="preserve">Gouveia, J. ; Gouveia, L. </v>
      </c>
      <c r="L273" t="str">
        <f t="shared" ca="1" si="33"/>
        <v xml:space="preserve">Quental, C. </v>
      </c>
      <c r="M273" t="str">
        <f ca="1">IFERROR(__xludf.DUMMYFUNCTION("""COMPUTED_VALUE""")," Gouveia, L. ")</f>
        <v xml:space="preserve"> Gouveia, L. </v>
      </c>
    </row>
    <row r="274" spans="1:14" ht="15.75" customHeight="1">
      <c r="A274">
        <f ca="1">IFERROR(__xludf.DUMMYFUNCTION("""COMPUTED_VALUE"""),20)</f>
        <v>20</v>
      </c>
      <c r="B274" t="str">
        <f ca="1">IFERROR(__xludf.DUMMYFUNCTION("""COMPUTED_VALUE"""),"Gouveia, L. and Gouveia, F. (2001). *Evaluation of a visualisation design 
for knowledge sharing and information discovery.* ICEIS 2001, 3th 
International Conference on Enterprise Information Systems. Setúbal, 
Portugal, July 7-10. 
paper [ pdf (139KB)] "&amp;"presentation [ pdf(276KB)]")</f>
        <v>Gouveia, L. and Gouveia, F. (2001). *Evaluation of a visualisation design 
for knowledge sharing and information discovery.* ICEIS 2001, 3th 
International Conference on Enterprise Information Systems. Setúbal, 
Portugal, July 7-10. 
paper [ pdf (139KB)] presentation [ pdf(276KB)]</v>
      </c>
      <c r="C274" s="2">
        <f t="shared" ca="1" si="31"/>
        <v>29</v>
      </c>
      <c r="D274" t="str">
        <f t="shared" ca="1" si="39"/>
        <v xml:space="preserve">Gouveia, L. and Gouveia, F. </v>
      </c>
      <c r="E274" t="str">
        <f t="shared" ca="1" si="34"/>
        <v>2001</v>
      </c>
      <c r="F274" t="str">
        <f t="shared" ca="1" si="35"/>
        <v xml:space="preserve"> *Evaluation of a visualisation design 
for knowledge sharing and information discovery.*</v>
      </c>
      <c r="G274" s="3">
        <f t="shared" ca="1" si="36"/>
        <v>34</v>
      </c>
      <c r="H274" s="2">
        <f t="shared" ca="1" si="37"/>
        <v>123</v>
      </c>
      <c r="I274" t="e">
        <f t="shared" ca="1" si="38"/>
        <v>#VALUE!</v>
      </c>
      <c r="J274" s="3" t="e">
        <f t="shared" ca="1" si="40"/>
        <v>#VALUE!</v>
      </c>
      <c r="K274" t="str">
        <f t="shared" ca="1" si="32"/>
        <v xml:space="preserve">Gouveia, L. ; Gouveia, F. </v>
      </c>
      <c r="L274" t="str">
        <f t="shared" ca="1" si="33"/>
        <v xml:space="preserve">Quental, C. </v>
      </c>
      <c r="M274" t="str">
        <f ca="1">IFERROR(__xludf.DUMMYFUNCTION("""COMPUTED_VALUE""")," Gouveia, F. ")</f>
        <v xml:space="preserve"> Gouveia, F. </v>
      </c>
    </row>
    <row r="275" spans="1:14" ht="15.75" customHeight="1">
      <c r="A275">
        <f ca="1">IFERROR(__xludf.DUMMYFUNCTION("""COMPUTED_VALUE"""),19)</f>
        <v>19</v>
      </c>
      <c r="B275" t="str">
        <f ca="1">IFERROR(__xludf.DUMMYFUNCTION("""COMPUTED_VALUE"""),"Gouveia, L. and Gouveia, J. (2001). *Proposing a knowledge policy based on 
the EFTWeb model*. The 6th Asia-Pacific Regional Conference of 
International Telecommunications Society. Hong Kong, 5-7 July. 
paper [ pdf(36KB)]")</f>
        <v>Gouveia, L. and Gouveia, J. (2001). *Proposing a knowledge policy based on 
the EFTWeb model*. The 6th Asia-Pacific Regional Conference of 
International Telecommunications Society. Hong Kong, 5-7 July. 
paper [ pdf(36KB)]</v>
      </c>
      <c r="C275" s="2">
        <f t="shared" ca="1" si="31"/>
        <v>29</v>
      </c>
      <c r="D275" t="str">
        <f t="shared" ca="1" si="39"/>
        <v xml:space="preserve">Gouveia, L. and Gouveia, J. </v>
      </c>
      <c r="E275" t="str">
        <f t="shared" ca="1" si="34"/>
        <v>2001</v>
      </c>
      <c r="F275" t="str">
        <f t="shared" ca="1" si="35"/>
        <v xml:space="preserve"> *Proposing a knowledge policy based on 
the EFTWeb model*. </v>
      </c>
      <c r="G275" s="3">
        <f t="shared" ca="1" si="36"/>
        <v>34</v>
      </c>
      <c r="H275" s="2">
        <f t="shared" ca="1" si="37"/>
        <v>94</v>
      </c>
      <c r="I275" t="e">
        <f t="shared" ca="1" si="38"/>
        <v>#VALUE!</v>
      </c>
      <c r="J275" s="3" t="e">
        <f t="shared" ca="1" si="40"/>
        <v>#VALUE!</v>
      </c>
      <c r="K275" t="str">
        <f t="shared" ca="1" si="32"/>
        <v xml:space="preserve">Gouveia, L. ; Gouveia, J. </v>
      </c>
      <c r="L275" t="str">
        <f t="shared" ca="1" si="33"/>
        <v xml:space="preserve">Quental, C. </v>
      </c>
      <c r="M275" t="str">
        <f ca="1">IFERROR(__xludf.DUMMYFUNCTION("""COMPUTED_VALUE""")," Gouveia, J. ")</f>
        <v xml:space="preserve"> Gouveia, J. </v>
      </c>
    </row>
    <row r="276" spans="1:14" ht="15.75" customHeight="1">
      <c r="A276">
        <f ca="1">IFERROR(__xludf.DUMMYFUNCTION("""COMPUTED_VALUE"""),18)</f>
        <v>18</v>
      </c>
      <c r="B276" t="str">
        <f ca="1">IFERROR(__xludf.DUMMYFUNCTION("""COMPUTED_VALUE"""),"Gouveia, L. and Gouveia, F. (2001). *A visualisation proposal to assist 
knowledge sharing*. International Conference on New Technologies in Science 
Education. Aveiro University, July 4-6. 
paper [ pdf (99KB)] presentation [ pdf(408KB)]")</f>
        <v>Gouveia, L. and Gouveia, F. (2001). *A visualisation proposal to assist 
knowledge sharing*. International Conference on New Technologies in Science 
Education. Aveiro University, July 4-6. 
paper [ pdf (99KB)] presentation [ pdf(408KB)]</v>
      </c>
      <c r="C276" s="2">
        <f t="shared" ca="1" si="31"/>
        <v>29</v>
      </c>
      <c r="D276" t="str">
        <f t="shared" ca="1" si="39"/>
        <v xml:space="preserve">Gouveia, L. and Gouveia, F. </v>
      </c>
      <c r="E276" t="str">
        <f t="shared" ca="1" si="34"/>
        <v>2001</v>
      </c>
      <c r="F276" t="str">
        <f t="shared" ca="1" si="35"/>
        <v xml:space="preserve"> *A visualisation proposal to assist 
knowledge sharing*. </v>
      </c>
      <c r="G276" s="3">
        <f t="shared" ca="1" si="36"/>
        <v>34</v>
      </c>
      <c r="H276" s="2">
        <f t="shared" ca="1" si="37"/>
        <v>92</v>
      </c>
      <c r="I276" t="e">
        <f t="shared" ca="1" si="38"/>
        <v>#VALUE!</v>
      </c>
      <c r="J276" s="3" t="e">
        <f t="shared" ca="1" si="40"/>
        <v>#VALUE!</v>
      </c>
      <c r="K276" t="str">
        <f t="shared" ca="1" si="32"/>
        <v xml:space="preserve">Gouveia, L. ; Gouveia, F. </v>
      </c>
      <c r="L276" t="str">
        <f t="shared" ca="1" si="33"/>
        <v xml:space="preserve">Quental, C. </v>
      </c>
      <c r="M276" t="str">
        <f ca="1">IFERROR(__xludf.DUMMYFUNCTION("""COMPUTED_VALUE""")," Gouveia, F. ")</f>
        <v xml:space="preserve"> Gouveia, F. </v>
      </c>
    </row>
    <row r="277" spans="1:14" ht="15.75" customHeight="1">
      <c r="A277">
        <f ca="1">IFERROR(__xludf.DUMMYFUNCTION("""COMPUTED_VALUE"""),17)</f>
        <v>17</v>
      </c>
      <c r="B277" t="str">
        <f ca="1">IFERROR(__xludf.DUMMYFUNCTION("""COMPUTED_VALUE"""),"Gouveia, J.; Gouveia, L. and Restivo, F. (2001). *EFTWeb: towards a content 
management system.* EUROMA European Operations Management Association, 8th 
International Annual Conference. Bath, UK, June 3-5, pp807-815. ISBN 1 
85790 088X. 
paper [ pdf(30KB)"&amp;"]")</f>
        <v>Gouveia, J.; Gouveia, L. and Restivo, F. (2001). *EFTWeb: towards a content 
management system.* EUROMA European Operations Management Association, 8th 
International Annual Conference. Bath, UK, June 3-5, pp807-815. ISBN 1 
85790 088X. 
paper [ pdf(30KB)]</v>
      </c>
      <c r="C277" s="2">
        <f t="shared" ca="1" si="31"/>
        <v>42</v>
      </c>
      <c r="D277" t="str">
        <f t="shared" ca="1" si="39"/>
        <v xml:space="preserve">Gouveia, J.; Gouveia, L. and Restivo, F. </v>
      </c>
      <c r="E277" t="str">
        <f t="shared" ca="1" si="34"/>
        <v>2001</v>
      </c>
      <c r="F277" t="str">
        <f t="shared" ca="1" si="35"/>
        <v xml:space="preserve"> *EFTWeb: towards a content 
management system.*</v>
      </c>
      <c r="G277" s="3">
        <f t="shared" ca="1" si="36"/>
        <v>47</v>
      </c>
      <c r="H277" s="2">
        <f t="shared" ca="1" si="37"/>
        <v>95</v>
      </c>
      <c r="I277" t="e">
        <f t="shared" ca="1" si="38"/>
        <v>#VALUE!</v>
      </c>
      <c r="J277" s="3" t="e">
        <f t="shared" ca="1" si="40"/>
        <v>#VALUE!</v>
      </c>
      <c r="K277" t="str">
        <f t="shared" ca="1" si="32"/>
        <v xml:space="preserve">Gouveia, J.; Gouveia, L. ; Restivo, F. </v>
      </c>
      <c r="L277" t="str">
        <f t="shared" ca="1" si="33"/>
        <v xml:space="preserve">Quental, C. </v>
      </c>
      <c r="M277" t="str">
        <f ca="1">IFERROR(__xludf.DUMMYFUNCTION("""COMPUTED_VALUE""")," Gouveia, L. ")</f>
        <v xml:space="preserve"> Gouveia, L. </v>
      </c>
      <c r="N277" t="str">
        <f ca="1">IFERROR(__xludf.DUMMYFUNCTION("""COMPUTED_VALUE""")," Restivo, F. ")</f>
        <v xml:space="preserve"> Restivo, F. </v>
      </c>
    </row>
    <row r="278" spans="1:14" ht="15.75" customHeight="1">
      <c r="A278">
        <f ca="1">IFERROR(__xludf.DUMMYFUNCTION("""COMPUTED_VALUE"""),16)</f>
        <v>16</v>
      </c>
      <c r="B278" t="str">
        <f ca="1">IFERROR(__xludf.DUMMYFUNCTION("""COMPUTED_VALUE"""),"Gouveia, J.; Gouveia, L. and Restivo, F. (2001). *Using the Web to support 
an education, learning and training service centre.* EIASM - 1st 
International Workshop on Management and Innovation of Services. 
Maastricht, The Netherlands 5-6 April. 
paper ["&amp;" pdf(38KB)]")</f>
        <v>Gouveia, J.; Gouveia, L. and Restivo, F. (2001). *Using the Web to support 
an education, learning and training service centre.* EIASM - 1st 
International Workshop on Management and Innovation of Services. 
Maastricht, The Netherlands 5-6 April. 
paper [ pdf(38KB)]</v>
      </c>
      <c r="C278" s="2">
        <f t="shared" ca="1" si="31"/>
        <v>42</v>
      </c>
      <c r="D278" t="str">
        <f t="shared" ca="1" si="39"/>
        <v xml:space="preserve">Gouveia, J.; Gouveia, L. and Restivo, F. </v>
      </c>
      <c r="E278" t="str">
        <f t="shared" ca="1" si="34"/>
        <v>2001</v>
      </c>
      <c r="F278" t="str">
        <f t="shared" ca="1" si="35"/>
        <v xml:space="preserve"> *Using the Web to support 
an education, learning and training service centre.*</v>
      </c>
      <c r="G278" s="3">
        <f t="shared" ca="1" si="36"/>
        <v>47</v>
      </c>
      <c r="H278" s="2">
        <f t="shared" ca="1" si="37"/>
        <v>127</v>
      </c>
      <c r="I278" t="e">
        <f t="shared" ca="1" si="38"/>
        <v>#VALUE!</v>
      </c>
      <c r="J278" s="3" t="e">
        <f t="shared" ca="1" si="40"/>
        <v>#VALUE!</v>
      </c>
      <c r="K278" t="str">
        <f t="shared" ca="1" si="32"/>
        <v xml:space="preserve">Gouveia, J.; Gouveia, L. ; Restivo, F. </v>
      </c>
      <c r="L278" t="str">
        <f t="shared" ca="1" si="33"/>
        <v xml:space="preserve">Quental, C. </v>
      </c>
      <c r="M278" t="str">
        <f ca="1">IFERROR(__xludf.DUMMYFUNCTION("""COMPUTED_VALUE""")," Gouveia, L. ")</f>
        <v xml:space="preserve"> Gouveia, L. </v>
      </c>
      <c r="N278" t="str">
        <f ca="1">IFERROR(__xludf.DUMMYFUNCTION("""COMPUTED_VALUE""")," Restivo, F. ")</f>
        <v xml:space="preserve"> Restivo, F. </v>
      </c>
    </row>
    <row r="279" spans="1:14" ht="15.75" customHeight="1">
      <c r="A279">
        <f ca="1">IFERROR(__xludf.DUMMYFUNCTION("""COMPUTED_VALUE"""),15)</f>
        <v>15</v>
      </c>
      <c r="B279" t="str">
        <f ca="1">IFERROR(__xludf.DUMMYFUNCTION("""COMPUTED_VALUE"""),"Gouveia, L. (2000). *Visualisation and Direct Manipulation: issues for 
human systems development.* In Amaral, L. and Carvalho, J. (eds.) 
proceedings of 1ª CAPSI, SI2000. APSI e Universidade do Minho. 25 - 27 
October. Guimarães. ISBN 972-95246-1-0 (CD-R"&amp;"OM). 
paper [ pdf  (162KB)] presentation [ pdf(35KB)]")</f>
        <v>Gouveia, L. (2000). *Visualisation and Direct Manipulation: issues for 
human systems development.* In Amaral, L. and Carvalho, J. (eds.) 
proceedings of 1ª CAPSI, SI2000. APSI e Universidade do Minho. 25 - 27 
October. Guimarães. ISBN 972-95246-1-0 (CD-ROM). 
paper [ pdf  (162KB)] presentation [ pdf(35KB)]</v>
      </c>
      <c r="C279" s="2">
        <f t="shared" ca="1" si="31"/>
        <v>13</v>
      </c>
      <c r="D279" t="str">
        <f t="shared" ca="1" si="39"/>
        <v xml:space="preserve">Gouveia, L. </v>
      </c>
      <c r="E279" t="str">
        <f t="shared" ca="1" si="34"/>
        <v>2000</v>
      </c>
      <c r="F279" t="str">
        <f t="shared" ca="1" si="35"/>
        <v xml:space="preserve"> *Visualisation and Direct Manipulation: issues for 
human systems development.*</v>
      </c>
      <c r="G279" s="3">
        <f t="shared" ca="1" si="36"/>
        <v>18</v>
      </c>
      <c r="H279" s="2">
        <f t="shared" ca="1" si="37"/>
        <v>98</v>
      </c>
      <c r="I279" t="str">
        <f t="shared" ca="1" si="38"/>
        <v xml:space="preserve"> In Amaral, L. and Carvalho, J. (eds.) 
proceedings of 1ª CAPSI, SI2000. APSI e Universidade do Minho. 25 - 27 
October. Guimarães. ISBN 972-95246-1-0 (CD-ROM).</v>
      </c>
      <c r="J279" s="3">
        <f t="shared" ca="1" si="40"/>
        <v>258</v>
      </c>
      <c r="K279" t="str">
        <f t="shared" ca="1" si="32"/>
        <v xml:space="preserve">Gouveia, L. </v>
      </c>
      <c r="L279" t="str">
        <f t="shared" ca="1" si="33"/>
        <v xml:space="preserve">Quental, C. </v>
      </c>
    </row>
    <row r="280" spans="1:14" ht="15.75" customHeight="1">
      <c r="A280">
        <f ca="1">IFERROR(__xludf.DUMMYFUNCTION("""COMPUTED_VALUE"""),14)</f>
        <v>14</v>
      </c>
      <c r="B280" t="str">
        <f ca="1">IFERROR(__xludf.DUMMYFUNCTION("""COMPUTED_VALUE"""),"Gouveia, L.; Gouveia, J. and Restivo, F. (2000). *EFTWeb: Towards a service 
centre for Education, Learning and Training.* Towards the E-learning 
Community: Challenges for Business and Education International Conference. 
Bolton Institute. 19 - 20 Octobe"&amp;"r. Bolton, UK. 
paper [ pdf (32KB)] presentation [ pdf(225KB)]")</f>
        <v>Gouveia, L.; Gouveia, J. and Restivo, F. (2000). *EFTWeb: Towards a service 
centre for Education, Learning and Training.* Towards the E-learning 
Community: Challenges for Business and Education International Conference. 
Bolton Institute. 19 - 20 October. Bolton, UK. 
paper [ pdf (32KB)] presentation [ pdf(225KB)]</v>
      </c>
      <c r="C280" s="2">
        <f t="shared" ca="1" si="31"/>
        <v>42</v>
      </c>
      <c r="D280" t="str">
        <f t="shared" ca="1" si="39"/>
        <v xml:space="preserve">Gouveia, L.; Gouveia, J. and Restivo, F. </v>
      </c>
      <c r="E280" t="str">
        <f t="shared" ca="1" si="34"/>
        <v>2000</v>
      </c>
      <c r="F280" t="str">
        <f t="shared" ca="1" si="35"/>
        <v xml:space="preserve"> *EFTWeb: Towards a service 
centre for Education, Learning and Training.*</v>
      </c>
      <c r="G280" s="3">
        <f t="shared" ca="1" si="36"/>
        <v>47</v>
      </c>
      <c r="H280" s="2">
        <f t="shared" ca="1" si="37"/>
        <v>121</v>
      </c>
      <c r="I280" t="e">
        <f t="shared" ca="1" si="38"/>
        <v>#VALUE!</v>
      </c>
      <c r="J280" s="3" t="e">
        <f t="shared" ca="1" si="40"/>
        <v>#VALUE!</v>
      </c>
      <c r="K280" t="str">
        <f t="shared" ca="1" si="32"/>
        <v xml:space="preserve">Gouveia, L.; Gouveia, J. ; Restivo, F. </v>
      </c>
      <c r="L280" t="str">
        <f t="shared" ca="1" si="33"/>
        <v xml:space="preserve">Quental, C. </v>
      </c>
      <c r="M280" t="str">
        <f ca="1">IFERROR(__xludf.DUMMYFUNCTION("""COMPUTED_VALUE""")," Gouveia, J. ")</f>
        <v xml:space="preserve"> Gouveia, J. </v>
      </c>
      <c r="N280" t="str">
        <f ca="1">IFERROR(__xludf.DUMMYFUNCTION("""COMPUTED_VALUE""")," Restivo, F. ")</f>
        <v xml:space="preserve"> Restivo, F. </v>
      </c>
    </row>
    <row r="281" spans="1:14" ht="15.75" customHeight="1">
      <c r="A281">
        <f ca="1">IFERROR(__xludf.DUMMYFUNCTION("""COMPUTED_VALUE"""),13)</f>
        <v>13</v>
      </c>
      <c r="B281" t="str">
        <f ca="1">IFERROR(__xludf.DUMMYFUNCTION("""COMPUTED_VALUE"""),"Gouveia, L.; Gouveia, J. and Restivo, F. (2000). *EFTWeb: an application to 
support skills trading within education, learning and training 
environments.* First World Conference on Production and Operations 
Management POM Sevilla 2000. 26 - 30 August. S"&amp;"evilla, Spain. 
paper [ pdf (38KB)] presentation [ pdf(535KB)]")</f>
        <v>Gouveia, L.; Gouveia, J. and Restivo, F. (2000). *EFTWeb: an application to 
support skills trading within education, learning and training 
environments.* First World Conference on Production and Operations 
Management POM Sevilla 2000. 26 - 30 August. Sevilla, Spain. 
paper [ pdf (38KB)] presentation [ pdf(535KB)]</v>
      </c>
      <c r="C281" s="2">
        <f t="shared" ca="1" si="31"/>
        <v>42</v>
      </c>
      <c r="D281" t="str">
        <f t="shared" ca="1" si="39"/>
        <v xml:space="preserve">Gouveia, L.; Gouveia, J. and Restivo, F. </v>
      </c>
      <c r="E281" t="str">
        <f t="shared" ca="1" si="34"/>
        <v>2000</v>
      </c>
      <c r="F281" t="str">
        <f t="shared" ca="1" si="35"/>
        <v xml:space="preserve"> *EFTWeb: an application to 
support skills trading within education, learning and training 
environments.*</v>
      </c>
      <c r="G281" s="3">
        <f t="shared" ca="1" si="36"/>
        <v>47</v>
      </c>
      <c r="H281" s="2">
        <f t="shared" ca="1" si="37"/>
        <v>154</v>
      </c>
      <c r="I281" t="e">
        <f t="shared" ca="1" si="38"/>
        <v>#VALUE!</v>
      </c>
      <c r="J281" s="3" t="e">
        <f t="shared" ca="1" si="40"/>
        <v>#VALUE!</v>
      </c>
      <c r="K281" t="str">
        <f t="shared" ca="1" si="32"/>
        <v xml:space="preserve">Gouveia, L.; Gouveia, J. ; Restivo, F. </v>
      </c>
      <c r="L281" t="str">
        <f t="shared" ca="1" si="33"/>
        <v xml:space="preserve">Quental, C. </v>
      </c>
      <c r="M281" t="str">
        <f ca="1">IFERROR(__xludf.DUMMYFUNCTION("""COMPUTED_VALUE""")," Gouveia, J. ")</f>
        <v xml:space="preserve"> Gouveia, J. </v>
      </c>
      <c r="N281" t="str">
        <f ca="1">IFERROR(__xludf.DUMMYFUNCTION("""COMPUTED_VALUE""")," Restivo, F. ")</f>
        <v xml:space="preserve"> Restivo, F. </v>
      </c>
    </row>
    <row r="282" spans="1:14" ht="15.75" customHeight="1">
      <c r="A282">
        <f ca="1">IFERROR(__xludf.DUMMYFUNCTION("""COMPUTED_VALUE"""),12)</f>
        <v>12</v>
      </c>
      <c r="B282" t="str">
        <f ca="1">IFERROR(__xludf.DUMMYFUNCTION("""COMPUTED_VALUE"""),"Gouveia, J.; Gouveia, L. and Restivo, F. (2000). *Proposing a knowledge 
network to assist education, training and learning.* ITS'2000 XIII Biennial 
Conference. 2-5 July. Buenos Aires, Argentina. 
paper [ pdf (425KB)] presentation [ pdf(448KB)]")</f>
        <v>Gouveia, J.; Gouveia, L. and Restivo, F. (2000). *Proposing a knowledge 
network to assist education, training and learning.* ITS'2000 XIII Biennial 
Conference. 2-5 July. Buenos Aires, Argentina. 
paper [ pdf (425KB)] presentation [ pdf(448KB)]</v>
      </c>
      <c r="C282" s="2">
        <f t="shared" ca="1" si="31"/>
        <v>42</v>
      </c>
      <c r="D282" t="str">
        <f t="shared" ca="1" si="39"/>
        <v xml:space="preserve">Gouveia, J.; Gouveia, L. and Restivo, F. </v>
      </c>
      <c r="E282" t="str">
        <f t="shared" ca="1" si="34"/>
        <v>2000</v>
      </c>
      <c r="F282" t="str">
        <f t="shared" ca="1" si="35"/>
        <v xml:space="preserve"> *Proposing a knowledge 
network to assist education, training and learning.*</v>
      </c>
      <c r="G282" s="3">
        <f t="shared" ca="1" si="36"/>
        <v>47</v>
      </c>
      <c r="H282" s="2">
        <f t="shared" ca="1" si="37"/>
        <v>124</v>
      </c>
      <c r="I282" t="e">
        <f t="shared" ca="1" si="38"/>
        <v>#VALUE!</v>
      </c>
      <c r="J282" s="3" t="e">
        <f t="shared" ca="1" si="40"/>
        <v>#VALUE!</v>
      </c>
      <c r="K282" t="str">
        <f t="shared" ca="1" si="32"/>
        <v xml:space="preserve">Gouveia, J.; Gouveia, L. ; Restivo, F. </v>
      </c>
      <c r="L282" t="str">
        <f t="shared" ca="1" si="33"/>
        <v xml:space="preserve">Quental, C. </v>
      </c>
      <c r="M282" t="str">
        <f ca="1">IFERROR(__xludf.DUMMYFUNCTION("""COMPUTED_VALUE""")," Gouveia, L. ")</f>
        <v xml:space="preserve"> Gouveia, L. </v>
      </c>
      <c r="N282" t="str">
        <f ca="1">IFERROR(__xludf.DUMMYFUNCTION("""COMPUTED_VALUE""")," Restivo, F. ")</f>
        <v xml:space="preserve"> Restivo, F. </v>
      </c>
    </row>
    <row r="283" spans="1:14" ht="15.75" customHeight="1">
      <c r="A283">
        <f ca="1">IFERROR(__xludf.DUMMYFUNCTION("""COMPUTED_VALUE"""),11)</f>
        <v>11</v>
      </c>
      <c r="B283" t="str">
        <f ca="1">IFERROR(__xludf.DUMMYFUNCTION("""COMPUTED_VALUE"""),"Gouveia, J.; Gouveia, L. and Restivo, F. (2000). *EFTWeb: a learning 
environment that supports presence and distance education.* Poster 
accepted. Proceedings of the European Conference on Web-Based Learning 
Environments - WBLE'2000. FEUP pp 159-160. IS"&amp;"BN 972-752-035-9. June 5-6. 
Porto, Portugal 
paper [ pdf (12KB)] poster [ gif(408KB)]")</f>
        <v>Gouveia, J.; Gouveia, L. and Restivo, F. (2000). *EFTWeb: a learning 
environment that supports presence and distance education.* Poster 
accepted. Proceedings of the European Conference on Web-Based Learning 
Environments - WBLE'2000. FEUP pp 159-160. ISBN 972-752-035-9. June 5-6. 
Porto, Portugal 
paper [ pdf (12KB)] poster [ gif(408KB)]</v>
      </c>
      <c r="C283" s="2">
        <f t="shared" ca="1" si="31"/>
        <v>42</v>
      </c>
      <c r="D283" t="str">
        <f t="shared" ca="1" si="39"/>
        <v xml:space="preserve">Gouveia, J.; Gouveia, L. and Restivo, F. </v>
      </c>
      <c r="E283" t="str">
        <f t="shared" ca="1" si="34"/>
        <v>2000</v>
      </c>
      <c r="F283" t="str">
        <f t="shared" ca="1" si="35"/>
        <v xml:space="preserve"> *EFTWeb: a learning 
environment that supports presence and distance education.*</v>
      </c>
      <c r="G283" s="3">
        <f t="shared" ca="1" si="36"/>
        <v>47</v>
      </c>
      <c r="H283" s="2">
        <f t="shared" ca="1" si="37"/>
        <v>128</v>
      </c>
      <c r="I283" t="e">
        <f t="shared" ca="1" si="38"/>
        <v>#VALUE!</v>
      </c>
      <c r="J283" s="3" t="e">
        <f t="shared" ca="1" si="40"/>
        <v>#VALUE!</v>
      </c>
      <c r="K283" t="str">
        <f t="shared" ca="1" si="32"/>
        <v xml:space="preserve">Gouveia, J.; Gouveia, L. ; Restivo, F. </v>
      </c>
      <c r="L283" t="str">
        <f t="shared" ca="1" si="33"/>
        <v xml:space="preserve">Quental, C. </v>
      </c>
      <c r="M283" t="str">
        <f ca="1">IFERROR(__xludf.DUMMYFUNCTION("""COMPUTED_VALUE""")," Gouveia, L. ")</f>
        <v xml:space="preserve"> Gouveia, L. </v>
      </c>
      <c r="N283" t="str">
        <f ca="1">IFERROR(__xludf.DUMMYFUNCTION("""COMPUTED_VALUE""")," Restivo, F. ")</f>
        <v xml:space="preserve"> Restivo, F. </v>
      </c>
    </row>
    <row r="284" spans="1:14" ht="15.75" customHeight="1">
      <c r="A284">
        <f ca="1">IFERROR(__xludf.DUMMYFUNCTION("""COMPUTED_VALUE"""),10)</f>
        <v>10</v>
      </c>
      <c r="B284" t="str">
        <f ca="1">IFERROR(__xludf.DUMMYFUNCTION("""COMPUTED_VALUE"""),"Gouveia, L. and Gouveia, F. (2000). *Informing a information discovery tool 
for using gesture.* Conference on Gestures: Meaning and Use. 1-5 April, 
UFP, Porto, Portugal. 
paper [ pdf (12KB)] presentation [ pdf(370KB)]")</f>
        <v>Gouveia, L. and Gouveia, F. (2000). *Informing a information discovery tool 
for using gesture.* Conference on Gestures: Meaning and Use. 1-5 April, 
UFP, Porto, Portugal. 
paper [ pdf (12KB)] presentation [ pdf(370KB)]</v>
      </c>
      <c r="C284" s="2">
        <f t="shared" ca="1" si="31"/>
        <v>29</v>
      </c>
      <c r="D284" t="str">
        <f t="shared" ca="1" si="39"/>
        <v xml:space="preserve">Gouveia, L. and Gouveia, F. </v>
      </c>
      <c r="E284" t="str">
        <f t="shared" ca="1" si="34"/>
        <v>2000</v>
      </c>
      <c r="F284" t="str">
        <f t="shared" ca="1" si="35"/>
        <v xml:space="preserve"> *Informing a information discovery tool 
for using gesture.*</v>
      </c>
      <c r="G284" s="3">
        <f t="shared" ca="1" si="36"/>
        <v>34</v>
      </c>
      <c r="H284" s="2">
        <f t="shared" ca="1" si="37"/>
        <v>95</v>
      </c>
      <c r="I284" t="e">
        <f t="shared" ca="1" si="38"/>
        <v>#VALUE!</v>
      </c>
      <c r="J284" s="3" t="e">
        <f t="shared" ca="1" si="40"/>
        <v>#VALUE!</v>
      </c>
      <c r="K284" t="str">
        <f t="shared" ca="1" si="32"/>
        <v xml:space="preserve">Gouveia, L. ; Gouveia, F. </v>
      </c>
      <c r="L284" t="str">
        <f t="shared" ca="1" si="33"/>
        <v xml:space="preserve">Quental, C. </v>
      </c>
      <c r="M284" t="str">
        <f ca="1">IFERROR(__xludf.DUMMYFUNCTION("""COMPUTED_VALUE""")," Gouveia, F. ")</f>
        <v xml:space="preserve"> Gouveia, F. </v>
      </c>
    </row>
    <row r="285" spans="1:14" ht="15.75" customHeight="1">
      <c r="A285">
        <f ca="1">IFERROR(__xludf.DUMMYFUNCTION("""COMPUTED_VALUE"""),9)</f>
        <v>9</v>
      </c>
      <c r="B285" t="str">
        <f ca="1">IFERROR(__xludf.DUMMYFUNCTION("""COMPUTED_VALUE"""),"Gouveia, L.; Gouveia, F. and Lamas, D. (1999). *Innovation in Business 
Processes.* Conferência Especializada Sistemas e Tecnologias de Informação. 
Universidade Católica Portuguesa. CEPI'99, 4 e 5 de Outubro.  Lisboa. 
Portugal. 
paper [ pdf (36KB) ] pre"&amp;"sentation [ pdf(21KB], in Portuguese]")</f>
        <v>Gouveia, L.; Gouveia, F. and Lamas, D. (1999). *Innovation in Business 
Processes.* Conferência Especializada Sistemas e Tecnologias de Informação. 
Universidade Católica Portuguesa. CEPI'99, 4 e 5 de Outubro.  Lisboa. 
Portugal. 
paper [ pdf (36KB) ] presentation [ pdf(21KB], in Portuguese]</v>
      </c>
      <c r="C285" s="2">
        <f t="shared" ca="1" si="31"/>
        <v>40</v>
      </c>
      <c r="D285" t="str">
        <f t="shared" ca="1" si="39"/>
        <v xml:space="preserve">Gouveia, L.; Gouveia, F. and Lamas, D. </v>
      </c>
      <c r="E285" t="str">
        <f t="shared" ca="1" si="34"/>
        <v>1999</v>
      </c>
      <c r="F285" t="str">
        <f t="shared" ca="1" si="35"/>
        <v xml:space="preserve"> *Innovation in Business 
Processes.*</v>
      </c>
      <c r="G285" s="3">
        <f t="shared" ca="1" si="36"/>
        <v>45</v>
      </c>
      <c r="H285" s="2">
        <f t="shared" ca="1" si="37"/>
        <v>82</v>
      </c>
      <c r="I285" t="e">
        <f t="shared" ca="1" si="38"/>
        <v>#VALUE!</v>
      </c>
      <c r="J285" s="3" t="e">
        <f t="shared" ca="1" si="40"/>
        <v>#VALUE!</v>
      </c>
      <c r="K285" t="str">
        <f t="shared" ca="1" si="32"/>
        <v xml:space="preserve">Gouveia, L.; Gouveia, F. ; Lamas, D. </v>
      </c>
      <c r="L285" t="str">
        <f t="shared" ca="1" si="33"/>
        <v xml:space="preserve">Quental, C. </v>
      </c>
      <c r="M285" t="str">
        <f ca="1">IFERROR(__xludf.DUMMYFUNCTION("""COMPUTED_VALUE""")," Gouveia, F. ")</f>
        <v xml:space="preserve"> Gouveia, F. </v>
      </c>
      <c r="N285" t="str">
        <f ca="1">IFERROR(__xludf.DUMMYFUNCTION("""COMPUTED_VALUE""")," Lamas, D. ")</f>
        <v xml:space="preserve"> Lamas, D. </v>
      </c>
    </row>
    <row r="286" spans="1:14" ht="15.75" customHeight="1">
      <c r="A286">
        <f ca="1">IFERROR(__xludf.DUMMYFUNCTION("""COMPUTED_VALUE"""),8)</f>
        <v>8</v>
      </c>
      <c r="B286" t="str">
        <f ca="1">IFERROR(__xludf.DUMMYFUNCTION("""COMPUTED_VALUE"""),"Gouveia, L.; Gouveia, J. and Restivo, F. (1999). *EFTWeb: a working model 
proposal to support Education, Learning and Training.* Conferência 
Especializada Sistemas e Tecnologias de Informação. Universidade Católica 
Portuguesa. CEPI´99, 4 e 5 de Outubro"&amp;".  Lisboa. Portugal. 
paper [ pdf (26KB) ] presentation [ pdf(221KB], in Portuguese]")</f>
        <v>Gouveia, L.; Gouveia, J. and Restivo, F. (1999). *EFTWeb: a working model 
proposal to support Education, Learning and Training.* Conferência 
Especializada Sistemas e Tecnologias de Informação. Universidade Católica 
Portuguesa. CEPI´99, 4 e 5 de Outubro.  Lisboa. Portugal. 
paper [ pdf (26KB) ] presentation [ pdf(221KB], in Portuguese]</v>
      </c>
      <c r="C286" s="2">
        <f t="shared" ca="1" si="31"/>
        <v>42</v>
      </c>
      <c r="D286" t="str">
        <f t="shared" ca="1" si="39"/>
        <v xml:space="preserve">Gouveia, L.; Gouveia, J. and Restivo, F. </v>
      </c>
      <c r="E286" t="str">
        <f t="shared" ca="1" si="34"/>
        <v>1999</v>
      </c>
      <c r="F286" t="str">
        <f t="shared" ca="1" si="35"/>
        <v xml:space="preserve"> *EFTWeb: a working model 
proposal to support Education, Learning and Training.*</v>
      </c>
      <c r="G286" s="3">
        <f t="shared" ca="1" si="36"/>
        <v>47</v>
      </c>
      <c r="H286" s="2">
        <f t="shared" ca="1" si="37"/>
        <v>128</v>
      </c>
      <c r="I286" t="e">
        <f t="shared" ca="1" si="38"/>
        <v>#VALUE!</v>
      </c>
      <c r="J286" s="3" t="e">
        <f t="shared" ca="1" si="40"/>
        <v>#VALUE!</v>
      </c>
      <c r="K286" t="str">
        <f t="shared" ca="1" si="32"/>
        <v xml:space="preserve">Gouveia, L.; Gouveia, J. ; Restivo, F. </v>
      </c>
      <c r="L286" t="str">
        <f t="shared" ca="1" si="33"/>
        <v xml:space="preserve">Quental, C. </v>
      </c>
      <c r="M286" t="str">
        <f ca="1">IFERROR(__xludf.DUMMYFUNCTION("""COMPUTED_VALUE""")," Gouveia, J. ")</f>
        <v xml:space="preserve"> Gouveia, J. </v>
      </c>
      <c r="N286" t="str">
        <f ca="1">IFERROR(__xludf.DUMMYFUNCTION("""COMPUTED_VALUE""")," Restivo, F. ")</f>
        <v xml:space="preserve"> Restivo, F. </v>
      </c>
    </row>
    <row r="287" spans="1:14" ht="15.75" customHeight="1">
      <c r="A287">
        <f ca="1">IFERROR(__xludf.DUMMYFUNCTION("""COMPUTED_VALUE"""),7)</f>
        <v>7</v>
      </c>
      <c r="B287" t="str">
        <f ca="1">IFERROR(__xludf.DUMMYFUNCTION("""COMPUTED_VALUE"""),"Gouveia, L. (1999). *Shared Visualisation and Virtual Environments for 
Co-operative Learning*. Doctoral Colloquium. ECSCW'99. 12-16 September 
Scandic Copenhagen Hotel. Copenhagen, Denmark. Conference supplement 
proceedings, pp 70-72. 
paper [ pdf (11KB"&amp;")] presentation [ pdf(141KB)]")</f>
        <v>Gouveia, L. (1999). *Shared Visualisation and Virtual Environments for 
Co-operative Learning*. Doctoral Colloquium. ECSCW'99. 12-16 September 
Scandic Copenhagen Hotel. Copenhagen, Denmark. Conference supplement 
proceedings, pp 70-72. 
paper [ pdf (11KB)] presentation [ pdf(141KB)]</v>
      </c>
      <c r="C287" s="2">
        <f t="shared" ca="1" si="31"/>
        <v>13</v>
      </c>
      <c r="D287" t="str">
        <f t="shared" ca="1" si="39"/>
        <v xml:space="preserve">Gouveia, L. </v>
      </c>
      <c r="E287" t="str">
        <f t="shared" ca="1" si="34"/>
        <v>1999</v>
      </c>
      <c r="F287" t="str">
        <f t="shared" ca="1" si="35"/>
        <v xml:space="preserve"> *Shared Visualisation and Virtual Environments for 
Co-operative Learning*. </v>
      </c>
      <c r="G287" s="3">
        <f t="shared" ca="1" si="36"/>
        <v>18</v>
      </c>
      <c r="H287" s="2">
        <f t="shared" ca="1" si="37"/>
        <v>95</v>
      </c>
      <c r="I287" t="e">
        <f t="shared" ca="1" si="38"/>
        <v>#VALUE!</v>
      </c>
      <c r="J287" s="3" t="e">
        <f t="shared" ca="1" si="40"/>
        <v>#VALUE!</v>
      </c>
      <c r="K287" t="str">
        <f t="shared" ca="1" si="32"/>
        <v xml:space="preserve">Gouveia, L. </v>
      </c>
      <c r="L287" t="str">
        <f t="shared" ca="1" si="33"/>
        <v xml:space="preserve">Quental, C. </v>
      </c>
    </row>
    <row r="288" spans="1:14" ht="15.75" customHeight="1">
      <c r="A288">
        <f ca="1">IFERROR(__xludf.DUMMYFUNCTION("""COMPUTED_VALUE"""),6)</f>
        <v>6</v>
      </c>
      <c r="B288" t="str">
        <f ca="1">IFERROR(__xludf.DUMMYFUNCTION("""COMPUTED_VALUE"""),"Gouveia, L. (1999). *Is there any space for presence teaching in a digital 
world? A proposed framework for Web usage.* In proceedings of Challenges'99 
International Conference ICT in Education. 12-14 May. Universidade do 
Minho. Portugal. pp 91-98. ISBN"&amp;" 972-98456-0-3. 
paper: [ pdf (23KB) ] presentation: [ pdf(39KB) ]")</f>
        <v>Gouveia, L. (1999). *Is there any space for presence teaching in a digital 
world? A proposed framework for Web usage.* In proceedings of Challenges'99 
International Conference ICT in Education. 12-14 May. Universidade do 
Minho. Portugal. pp 91-98. ISBN 972-98456-0-3. 
paper: [ pdf (23KB) ] presentation: [ pdf(39KB) ]</v>
      </c>
      <c r="C288" s="2">
        <f t="shared" ca="1" si="31"/>
        <v>13</v>
      </c>
      <c r="D288" t="str">
        <f t="shared" ca="1" si="39"/>
        <v xml:space="preserve">Gouveia, L. </v>
      </c>
      <c r="E288" t="str">
        <f t="shared" ca="1" si="34"/>
        <v>1999</v>
      </c>
      <c r="F288" t="str">
        <f t="shared" ca="1" si="35"/>
        <v xml:space="preserve"> *Is there any space for presence teaching in a digital 
world? A proposed framework for Web usage.*</v>
      </c>
      <c r="G288" s="3">
        <f t="shared" ca="1" si="36"/>
        <v>18</v>
      </c>
      <c r="H288" s="2">
        <f t="shared" ca="1" si="37"/>
        <v>118</v>
      </c>
      <c r="I288" t="e">
        <f t="shared" ca="1" si="38"/>
        <v>#VALUE!</v>
      </c>
      <c r="J288" s="3" t="e">
        <f t="shared" ca="1" si="40"/>
        <v>#VALUE!</v>
      </c>
      <c r="K288" t="str">
        <f t="shared" ca="1" si="32"/>
        <v xml:space="preserve">Gouveia, L. </v>
      </c>
      <c r="L288" t="str">
        <f t="shared" ca="1" si="33"/>
        <v xml:space="preserve">Quental, C. </v>
      </c>
    </row>
    <row r="289" spans="1:14" ht="15.75" customHeight="1">
      <c r="A289">
        <f ca="1">IFERROR(__xludf.DUMMYFUNCTION("""COMPUTED_VALUE"""),5)</f>
        <v>5</v>
      </c>
      <c r="B289" t="str">
        <f ca="1">IFERROR(__xludf.DUMMYFUNCTION("""COMPUTED_VALUE"""),"Gouveia, L. (1998). *A technological related discussion on the potential of 
change in education, learning and training*. Euroconference - New 
Technologies for Higher Education. Univ. de Aveiro. Aveiro. Portugal, 16 - 
19 September. 
paper:  [ pdf (42KB)"&amp;" ] presentation: [ pdf ( 96KB) ]
poster: [ pdf(80KB) ]")</f>
        <v>Gouveia, L. (1998). *A technological related discussion on the potential of 
change in education, learning and training*. Euroconference - New 
Technologies for Higher Education. Univ. de Aveiro. Aveiro. Portugal, 16 - 
19 September. 
paper:  [ pdf (42KB) ] presentation: [ pdf ( 96KB) ]
poster: [ pdf(80KB) ]</v>
      </c>
      <c r="C289" s="2">
        <f t="shared" ca="1" si="31"/>
        <v>13</v>
      </c>
      <c r="D289" t="str">
        <f t="shared" ca="1" si="39"/>
        <v xml:space="preserve">Gouveia, L. </v>
      </c>
      <c r="E289" t="str">
        <f t="shared" ca="1" si="34"/>
        <v>1998</v>
      </c>
      <c r="F289" t="str">
        <f t="shared" ca="1" si="35"/>
        <v xml:space="preserve"> *A technological related discussion on the potential of 
change in education, learning and training*. </v>
      </c>
      <c r="G289" s="3">
        <f t="shared" ca="1" si="36"/>
        <v>18</v>
      </c>
      <c r="H289" s="2">
        <f t="shared" ca="1" si="37"/>
        <v>121</v>
      </c>
      <c r="I289" t="e">
        <f t="shared" ca="1" si="38"/>
        <v>#VALUE!</v>
      </c>
      <c r="J289" s="3" t="e">
        <f t="shared" ca="1" si="40"/>
        <v>#VALUE!</v>
      </c>
      <c r="K289" t="str">
        <f t="shared" ca="1" si="32"/>
        <v xml:space="preserve">Gouveia, L. </v>
      </c>
      <c r="L289" t="str">
        <f t="shared" ca="1" si="33"/>
        <v xml:space="preserve">Quental, C. </v>
      </c>
    </row>
    <row r="290" spans="1:14" ht="15.75" customHeight="1">
      <c r="A290">
        <f ca="1">IFERROR(__xludf.DUMMYFUNCTION("""COMPUTED_VALUE"""),4)</f>
        <v>4</v>
      </c>
      <c r="B290" t="str">
        <f ca="1">IFERROR(__xludf.DUMMYFUNCTION("""COMPUTED_VALUE"""),"Gouveia, L. (1998). *Feasibility discussion of a Collaborative Virtual 
Environment, finding alternative ways for university members interaction*. 
Twelfth biennial conference ITS´98 - beyond convergence, communiation into 
the next millennium. Stockholm,"&amp;" Sweden, June 21-24. 
paper: [ pdf (61KB) ] presentation: [ zipped postscript(143KB) ]")</f>
        <v>Gouveia, L. (1998). *Feasibility discussion of a Collaborative Virtual 
Environment, finding alternative ways for university members interaction*. 
Twelfth biennial conference ITS´98 - beyond convergence, communiation into 
the next millennium. Stockholm, Sweden, June 21-24. 
paper: [ pdf (61KB) ] presentation: [ zipped postscript(143KB) ]</v>
      </c>
      <c r="C290" s="2">
        <f t="shared" ca="1" si="31"/>
        <v>13</v>
      </c>
      <c r="D290" t="str">
        <f t="shared" ca="1" si="39"/>
        <v xml:space="preserve">Gouveia, L. </v>
      </c>
      <c r="E290" t="str">
        <f t="shared" ca="1" si="34"/>
        <v>1998</v>
      </c>
      <c r="F290" t="str">
        <f t="shared" ca="1" si="35"/>
        <v xml:space="preserve"> *Feasibility discussion of a Collaborative Virtual 
Environment, finding alternative ways for university members interaction*. </v>
      </c>
      <c r="G290" s="3">
        <f t="shared" ca="1" si="36"/>
        <v>18</v>
      </c>
      <c r="H290" s="2">
        <f t="shared" ca="1" si="37"/>
        <v>146</v>
      </c>
      <c r="I290" t="e">
        <f t="shared" ca="1" si="38"/>
        <v>#VALUE!</v>
      </c>
      <c r="J290" s="3" t="e">
        <f t="shared" ca="1" si="40"/>
        <v>#VALUE!</v>
      </c>
      <c r="K290" t="str">
        <f t="shared" ca="1" si="32"/>
        <v xml:space="preserve">Gouveia, L. </v>
      </c>
      <c r="L290" t="str">
        <f t="shared" ca="1" si="33"/>
        <v xml:space="preserve">Quental, C. </v>
      </c>
    </row>
    <row r="291" spans="1:14" ht="15.75" customHeight="1">
      <c r="A291">
        <f ca="1">IFERROR(__xludf.DUMMYFUNCTION("""COMPUTED_VALUE"""),3)</f>
        <v>3</v>
      </c>
      <c r="B291" t="str">
        <f ca="1">IFERROR(__xludf.DUMMYFUNCTION("""COMPUTED_VALUE"""),"Gouveia, L. (1998). *Digital support for teachers teaching. Current 
experience on using Internet facilities in virtual university environments*. 
ITET'98, International Conference. May 20-22. Macau, Portugal. (full paper 
accepted, but not presented) 
ab"&amp;"stract: [ HTML]")</f>
        <v>Gouveia, L. (1998). *Digital support for teachers teaching. Current 
experience on using Internet facilities in virtual university environments*. 
ITET'98, International Conference. May 20-22. Macau, Portugal. (full paper 
accepted, but not presented) 
abstract: [ HTML]</v>
      </c>
      <c r="C291" s="2">
        <f t="shared" ca="1" si="31"/>
        <v>13</v>
      </c>
      <c r="D291" t="str">
        <f t="shared" ca="1" si="39"/>
        <v xml:space="preserve">Gouveia, L. </v>
      </c>
      <c r="E291" t="str">
        <f t="shared" ca="1" si="34"/>
        <v>1998</v>
      </c>
      <c r="F291" t="str">
        <f t="shared" ca="1" si="35"/>
        <v xml:space="preserve"> *Digital support for teachers teaching. </v>
      </c>
      <c r="G291" s="3">
        <f t="shared" ca="1" si="36"/>
        <v>18</v>
      </c>
      <c r="H291" s="2">
        <f t="shared" ca="1" si="37"/>
        <v>59</v>
      </c>
      <c r="I291" t="e">
        <f t="shared" ca="1" si="38"/>
        <v>#VALUE!</v>
      </c>
      <c r="J291" s="3" t="e">
        <f t="shared" ca="1" si="40"/>
        <v>#VALUE!</v>
      </c>
      <c r="K291" t="str">
        <f t="shared" ca="1" si="32"/>
        <v xml:space="preserve">Gouveia, L. </v>
      </c>
      <c r="L291" t="str">
        <f t="shared" ca="1" si="33"/>
        <v xml:space="preserve">Quental, C. </v>
      </c>
    </row>
    <row r="292" spans="1:14" ht="15.75" customHeight="1">
      <c r="A292">
        <f ca="1">IFERROR(__xludf.DUMMYFUNCTION("""COMPUTED_VALUE"""),2)</f>
        <v>2</v>
      </c>
      <c r="B292" t="str">
        <f ca="1">IFERROR(__xludf.DUMMYFUNCTION("""COMPUTED_VALUE"""),"Gouveia, L. (1998). *The NetLab experience, moving the action to electronic 
learning environments*. Proceedings of BITE'98, International Conference, 
pp 395-405. Maastricht, The Netherlands, March 25-27. 
text: [ pdf (52KB)] presentation: [ HTML]")</f>
        <v>Gouveia, L. (1998). *The NetLab experience, moving the action to electronic 
learning environments*. Proceedings of BITE'98, International Conference, 
pp 395-405. Maastricht, The Netherlands, March 25-27. 
text: [ pdf (52KB)] presentation: [ HTML]</v>
      </c>
      <c r="C292" s="2">
        <f t="shared" ca="1" si="31"/>
        <v>13</v>
      </c>
      <c r="D292" t="str">
        <f t="shared" ca="1" si="39"/>
        <v xml:space="preserve">Gouveia, L. </v>
      </c>
      <c r="E292" t="str">
        <f t="shared" ca="1" si="34"/>
        <v>1998</v>
      </c>
      <c r="F292" t="str">
        <f t="shared" ca="1" si="35"/>
        <v xml:space="preserve"> *The NetLab experience, moving the action to electronic 
learning environments*. </v>
      </c>
      <c r="G292" s="3">
        <f t="shared" ca="1" si="36"/>
        <v>18</v>
      </c>
      <c r="H292" s="2">
        <f t="shared" ca="1" si="37"/>
        <v>100</v>
      </c>
      <c r="I292" t="e">
        <f t="shared" ca="1" si="38"/>
        <v>#VALUE!</v>
      </c>
      <c r="J292" s="3" t="e">
        <f t="shared" ca="1" si="40"/>
        <v>#VALUE!</v>
      </c>
      <c r="K292" t="str">
        <f t="shared" ca="1" si="32"/>
        <v xml:space="preserve">Gouveia, L. </v>
      </c>
      <c r="L292" t="str">
        <f t="shared" ca="1" si="33"/>
        <v xml:space="preserve">Quental, C. </v>
      </c>
    </row>
    <row r="293" spans="1:14" ht="15.75" customHeight="1">
      <c r="A293">
        <f ca="1">IFERROR(__xludf.DUMMYFUNCTION("""COMPUTED_VALUE"""),1)</f>
        <v>1</v>
      </c>
      <c r="B293" t="str">
        <f ca="1">IFERROR(__xludf.DUMMYFUNCTION("""COMPUTED_VALUE"""),"Gouveia, L. (1996). *Sociedade Digital: que oportunidades?* Congresso 
Internacional Pós-Colonialismo e Identidade, UFP. Porto.
texto: [ pdf (22KB)] transparências: [ pdf (154KB)]")</f>
        <v>Gouveia, L. (1996). *Sociedade Digital: que oportunidades?* Congresso 
Internacional Pós-Colonialismo e Identidade, UFP. Porto.
texto: [ pdf (22KB)] transparências: [ pdf (154KB)]</v>
      </c>
      <c r="C293" s="2">
        <f t="shared" ca="1" si="31"/>
        <v>13</v>
      </c>
      <c r="D293" t="str">
        <f t="shared" ca="1" si="39"/>
        <v xml:space="preserve">Gouveia, L. </v>
      </c>
      <c r="E293" t="str">
        <f t="shared" ca="1" si="34"/>
        <v>1996</v>
      </c>
      <c r="F293" t="str">
        <f t="shared" ca="1" si="35"/>
        <v xml:space="preserve"> *Sociedade Digital: que oportunidades?* Congresso 
Internacional Pós-Colonialismo e Identidade, UFP. </v>
      </c>
      <c r="G293" s="3">
        <f t="shared" ca="1" si="36"/>
        <v>18</v>
      </c>
      <c r="H293" s="2">
        <f t="shared" ca="1" si="37"/>
        <v>120</v>
      </c>
      <c r="I293" t="e">
        <f t="shared" ca="1" si="38"/>
        <v>#VALUE!</v>
      </c>
      <c r="J293" s="3" t="e">
        <f t="shared" ca="1" si="40"/>
        <v>#VALUE!</v>
      </c>
      <c r="K293" t="str">
        <f t="shared" ca="1" si="32"/>
        <v xml:space="preserve">Gouveia, L. </v>
      </c>
      <c r="L293" t="str">
        <f t="shared" ca="1" si="33"/>
        <v xml:space="preserve">Quental, C. </v>
      </c>
    </row>
    <row r="294" spans="1:14" ht="15.75" customHeight="1">
      <c r="A294" t="str">
        <f ca="1">IFERROR(__xludf.DUMMYFUNCTION("""COMPUTED_VALUE"""),"[ top ]")</f>
        <v>[ top ]</v>
      </c>
      <c r="B294" t="str">
        <f ca="1">IFERROR(__xludf.DUMMYFUNCTION("""COMPUTED_VALUE"""),"Conferências*Nacionais* / *National Conferences*")</f>
        <v>Conferências*Nacionais* / *National Conferences*</v>
      </c>
      <c r="C294" s="2" t="e">
        <f t="shared" ca="1" si="31"/>
        <v>#VALUE!</v>
      </c>
      <c r="D294" t="e">
        <f t="shared" ca="1" si="39"/>
        <v>#VALUE!</v>
      </c>
      <c r="E294" t="e">
        <f t="shared" ca="1" si="34"/>
        <v>#VALUE!</v>
      </c>
      <c r="F294" t="e">
        <f t="shared" ca="1" si="35"/>
        <v>#VALUE!</v>
      </c>
      <c r="G294" s="3" t="e">
        <f t="shared" ca="1" si="36"/>
        <v>#VALUE!</v>
      </c>
      <c r="H294" s="2" t="e">
        <f t="shared" ca="1" si="37"/>
        <v>#VALUE!</v>
      </c>
      <c r="I294" t="e">
        <f t="shared" ca="1" si="38"/>
        <v>#VALUE!</v>
      </c>
      <c r="J294" s="3" t="e">
        <f t="shared" ca="1" si="40"/>
        <v>#VALUE!</v>
      </c>
      <c r="K294" t="e">
        <f t="shared" ca="1" si="32"/>
        <v>#VALUE!</v>
      </c>
      <c r="L294" t="str">
        <f t="shared" ca="1" si="33"/>
        <v xml:space="preserve">Quental, C. </v>
      </c>
    </row>
    <row r="295" spans="1:14" ht="15.75" customHeight="1">
      <c r="A295" t="str">
        <f ca="1">IFERROR(__xludf.DUMMYFUNCTION("""COMPUTED_VALUE"""),"_________")</f>
        <v>_________</v>
      </c>
      <c r="B295" t="str">
        <f ca="1">IFERROR(__xludf.DUMMYFUNCTION("""COMPUTED_VALUE"""),"comunicações convidadas / invited talks, keynotes")</f>
        <v>comunicações convidadas / invited talks, keynotes</v>
      </c>
      <c r="C295" s="2" t="e">
        <f t="shared" ca="1" si="31"/>
        <v>#VALUE!</v>
      </c>
      <c r="D295" t="e">
        <f t="shared" ca="1" si="39"/>
        <v>#VALUE!</v>
      </c>
      <c r="E295" t="e">
        <f t="shared" ca="1" si="34"/>
        <v>#VALUE!</v>
      </c>
      <c r="F295" t="e">
        <f t="shared" ca="1" si="35"/>
        <v>#VALUE!</v>
      </c>
      <c r="G295" s="3" t="e">
        <f t="shared" ca="1" si="36"/>
        <v>#VALUE!</v>
      </c>
      <c r="H295" s="2" t="e">
        <f t="shared" ca="1" si="37"/>
        <v>#VALUE!</v>
      </c>
      <c r="I295" t="e">
        <f t="shared" ca="1" si="38"/>
        <v>#VALUE!</v>
      </c>
      <c r="J295" s="3" t="e">
        <f t="shared" ca="1" si="40"/>
        <v>#VALUE!</v>
      </c>
      <c r="K295" t="e">
        <f t="shared" ca="1" si="32"/>
        <v>#VALUE!</v>
      </c>
      <c r="L295" t="str">
        <f t="shared" ca="1" si="33"/>
        <v xml:space="preserve">Quental, C. </v>
      </c>
    </row>
    <row r="296" spans="1:14" ht="15.75" customHeight="1">
      <c r="A296">
        <f ca="1">IFERROR(__xludf.DUMMYFUNCTION("""COMPUTED_VALUE"""),9)</f>
        <v>9</v>
      </c>
      <c r="B296" t="str">
        <f ca="1">IFERROR(__xludf.DUMMYFUNCTION("""COMPUTED_VALUE"""),"Gouveia, L. (2015). Explorar e interagir também no digital: um desafio para 
os mais crescidos. Seminário Tecnologias de Informação e Comunicação no 
Processo de ensino/aprendizagem das Línguas no 1º Ciclo do Ensino Básico. 
Aula Magna da Faculdade de Fil"&amp;"osofia e Ciências Sociais (FFCS) da 
Universidade Católica Portuguesa em Braga. 6 de Junho.
[ handle ]")</f>
        <v>Gouveia, L. (2015). Explorar e interagir também no digital: um desafio para 
os mais crescidos. Seminário Tecnologias de Informação e Comunicação no 
Processo de ensino/aprendizagem das Línguas no 1º Ciclo do Ensino Básico. 
Aula Magna da Faculdade de Filosofia e Ciências Sociais (FFCS) da 
Universidade Católica Portuguesa em Braga. 6 de Junho.
[ handle ]</v>
      </c>
      <c r="C296" s="2">
        <f t="shared" ca="1" si="31"/>
        <v>13</v>
      </c>
      <c r="D296" t="str">
        <f t="shared" ca="1" si="39"/>
        <v xml:space="preserve">Gouveia, L. </v>
      </c>
      <c r="E296" t="str">
        <f t="shared" ca="1" si="34"/>
        <v>2015</v>
      </c>
      <c r="F296" t="str">
        <f t="shared" ca="1" si="35"/>
        <v xml:space="preserve"> Explorar e interagir também no digital: um desafio para 
os mais crescidos. </v>
      </c>
      <c r="G296" s="3">
        <f t="shared" ca="1" si="36"/>
        <v>18</v>
      </c>
      <c r="H296" s="2">
        <f t="shared" ca="1" si="37"/>
        <v>95</v>
      </c>
      <c r="I296" t="e">
        <f t="shared" ca="1" si="38"/>
        <v>#VALUE!</v>
      </c>
      <c r="J296" s="3" t="e">
        <f t="shared" ca="1" si="40"/>
        <v>#VALUE!</v>
      </c>
      <c r="K296" t="str">
        <f t="shared" ca="1" si="32"/>
        <v xml:space="preserve">Gouveia, L. </v>
      </c>
      <c r="L296" t="str">
        <f t="shared" ca="1" si="33"/>
        <v xml:space="preserve">Quental, C. </v>
      </c>
    </row>
    <row r="297" spans="1:14" ht="15.75" customHeight="1">
      <c r="A297">
        <f ca="1">IFERROR(__xludf.DUMMYFUNCTION("""COMPUTED_VALUE"""),8)</f>
        <v>8</v>
      </c>
      <c r="B297" t="str">
        <f ca="1">IFERROR(__xludf.DUMMYFUNCTION("""COMPUTED_VALUE"""),"Gouveia, L. (2015).  *Informação digital e segurança. Gerir informação num 
contexto digital, uma reflexão sobre as questões de segurança e defesa*. 
Ciclo de Conferências sobre Segurança e Cidadania. Academia da Guarda - 
Guarda Nacional Republicana. Lis"&amp;"boa, 11 de Março.
[ handle ]")</f>
        <v>Gouveia, L. (2015).  *Informação digital e segurança. Gerir informação num 
contexto digital, uma reflexão sobre as questões de segurança e defesa*. 
Ciclo de Conferências sobre Segurança e Cidadania. Academia da Guarda - 
Guarda Nacional Republicana. Lisboa, 11 de Março.
[ handle ]</v>
      </c>
      <c r="C297" s="2">
        <f t="shared" ca="1" si="31"/>
        <v>13</v>
      </c>
      <c r="D297" t="str">
        <f t="shared" ca="1" si="39"/>
        <v xml:space="preserve">Gouveia, L. </v>
      </c>
      <c r="E297" t="str">
        <f t="shared" ca="1" si="34"/>
        <v>2015</v>
      </c>
      <c r="F297" t="str">
        <f t="shared" ca="1" si="35"/>
        <v xml:space="preserve">  *Informação digital e segurança. </v>
      </c>
      <c r="G297" s="3">
        <f t="shared" ca="1" si="36"/>
        <v>18</v>
      </c>
      <c r="H297" s="2">
        <f t="shared" ca="1" si="37"/>
        <v>53</v>
      </c>
      <c r="I297" t="e">
        <f t="shared" ca="1" si="38"/>
        <v>#VALUE!</v>
      </c>
      <c r="J297" s="3" t="e">
        <f t="shared" ca="1" si="40"/>
        <v>#VALUE!</v>
      </c>
      <c r="K297" t="str">
        <f t="shared" ca="1" si="32"/>
        <v xml:space="preserve">Gouveia, L. </v>
      </c>
      <c r="L297" t="str">
        <f t="shared" ca="1" si="33"/>
        <v xml:space="preserve">Quental, C. </v>
      </c>
    </row>
    <row r="298" spans="1:14" ht="15.75" customHeight="1">
      <c r="A298">
        <f ca="1">IFERROR(__xludf.DUMMYFUNCTION("""COMPUTED_VALUE"""),7)</f>
        <v>7</v>
      </c>
      <c r="B298" t="str">
        <f ca="1">IFERROR(__xludf.DUMMYFUNCTION("""COMPUTED_VALUE"""),"Gouveia, L. (2015). *O digital, a mobilidade e a economia da privacidade*. 
Conferência Privacidade, Inovação e Internet. APDSI - Associação para a 
Promoção e Desenvolvimento da Sociedade da Informação. 30 de Janeiro. 
Culturgest. Lisboa.
[ handle ]")</f>
        <v>Gouveia, L. (2015). *O digital, a mobilidade e a economia da privacidade*. 
Conferência Privacidade, Inovação e Internet. APDSI - Associação para a 
Promoção e Desenvolvimento da Sociedade da Informação. 30 de Janeiro. 
Culturgest. Lisboa.
[ handle ]</v>
      </c>
      <c r="C298" s="2">
        <f t="shared" ca="1" si="31"/>
        <v>13</v>
      </c>
      <c r="D298" t="str">
        <f t="shared" ca="1" si="39"/>
        <v xml:space="preserve">Gouveia, L. </v>
      </c>
      <c r="E298" t="str">
        <f t="shared" ca="1" si="34"/>
        <v>2015</v>
      </c>
      <c r="F298" t="str">
        <f t="shared" ca="1" si="35"/>
        <v xml:space="preserve"> *O digital, a mobilidade e a economia da privacidade*. </v>
      </c>
      <c r="G298" s="3">
        <f t="shared" ca="1" si="36"/>
        <v>18</v>
      </c>
      <c r="H298" s="2">
        <f t="shared" ca="1" si="37"/>
        <v>74</v>
      </c>
      <c r="I298" t="e">
        <f t="shared" ca="1" si="38"/>
        <v>#VALUE!</v>
      </c>
      <c r="J298" s="3" t="e">
        <f t="shared" ca="1" si="40"/>
        <v>#VALUE!</v>
      </c>
      <c r="K298" t="str">
        <f t="shared" ca="1" si="32"/>
        <v xml:space="preserve">Gouveia, L. </v>
      </c>
      <c r="L298" t="str">
        <f t="shared" ca="1" si="33"/>
        <v xml:space="preserve">Quental, C. </v>
      </c>
    </row>
    <row r="299" spans="1:14" ht="15.75" customHeight="1">
      <c r="A299">
        <f ca="1">IFERROR(__xludf.DUMMYFUNCTION("""COMPUTED_VALUE"""),6)</f>
        <v>6</v>
      </c>
      <c r="B299" t="str">
        <f ca="1">IFERROR(__xludf.DUMMYFUNCTION("""COMPUTED_VALUE"""),"Gouveia, L. (2015). *Cidades Inteligentes: a exploração do digital*. Ciclo 
de Conferências Ordem na Informática. O Papel do Engenheiro Informático na 
Construção das Cidades Inteligentes. Conselho Nacional de Colégio de 
Engenharia Informática em parceri"&amp;"a com o Conselho Regional Norte do Colégio 
de Engenharia Informática da Ordem dos Engenheiros. Auditório da Ordem dos 
Engenheiros, Região Norte. 28 de Janeiro. Porto.
[ handle ]")</f>
        <v>Gouveia, L. (2015). *Cidades Inteligentes: a exploração do digital*. Ciclo 
de Conferências Ordem na Informática. O Papel do Engenheiro Informático na 
Construção das Cidades Inteligentes. Conselho Nacional de Colégio de 
Engenharia Informática em parceria com o Conselho Regional Norte do Colégio 
de Engenharia Informática da Ordem dos Engenheiros. Auditório da Ordem dos 
Engenheiros, Região Norte. 28 de Janeiro. Porto.
[ handle ]</v>
      </c>
      <c r="C299" s="2">
        <f t="shared" ca="1" si="31"/>
        <v>13</v>
      </c>
      <c r="D299" t="str">
        <f t="shared" ca="1" si="39"/>
        <v xml:space="preserve">Gouveia, L. </v>
      </c>
      <c r="E299" t="str">
        <f t="shared" ca="1" si="34"/>
        <v>2015</v>
      </c>
      <c r="F299" t="str">
        <f t="shared" ca="1" si="35"/>
        <v xml:space="preserve"> *Cidades Inteligentes: a exploração do digital*. </v>
      </c>
      <c r="G299" s="3">
        <f t="shared" ca="1" si="36"/>
        <v>18</v>
      </c>
      <c r="H299" s="2">
        <f t="shared" ca="1" si="37"/>
        <v>68</v>
      </c>
      <c r="I299" t="e">
        <f t="shared" ca="1" si="38"/>
        <v>#VALUE!</v>
      </c>
      <c r="J299" s="3" t="e">
        <f t="shared" ca="1" si="40"/>
        <v>#VALUE!</v>
      </c>
      <c r="K299" t="str">
        <f t="shared" ca="1" si="32"/>
        <v xml:space="preserve">Gouveia, L. </v>
      </c>
      <c r="L299" t="str">
        <f t="shared" ca="1" si="33"/>
        <v xml:space="preserve">Quental, C. </v>
      </c>
    </row>
    <row r="300" spans="1:14" ht="15.75" customHeight="1">
      <c r="A300">
        <f ca="1">IFERROR(__xludf.DUMMYFUNCTION("""COMPUTED_VALUE"""),5)</f>
        <v>5</v>
      </c>
      <c r="B300" t="str">
        <f ca="1">IFERROR(__xludf.DUMMYFUNCTION("""COMPUTED_VALUE"""),"Gouveia, L. (2014). Negócio e Redes Sociais: fusão ou confusão. Painel 
""Internet, Negócio e Redes Sociais: inovar"". 3ª Conferência Internet, 
Negócio e Redes Sociais ""Confiança e Compromisso nos Canais Digitais"". 
Associação Portuguesa para o Desenvo"&amp;"lvimento da Sociedade da 
Informação(APDSI). 29 de Setembro. Biblioteca Municipal Almeida Garrett, 
Porto.
[ handle ]")</f>
        <v>Gouveia, L. (2014). Negócio e Redes Sociais: fusão ou confusão. Painel 
"Internet, Negócio e Redes Sociais: inovar". 3ª Conferência Internet, 
Negócio e Redes Sociais "Confiança e Compromisso nos Canais Digitais". 
Associação Portuguesa para o Desenvolvimento da Sociedade da 
Informação(APDSI). 29 de Setembro. Biblioteca Municipal Almeida Garrett, 
Porto.
[ handle ]</v>
      </c>
      <c r="C300" s="2">
        <f t="shared" ca="1" si="31"/>
        <v>13</v>
      </c>
      <c r="D300" t="str">
        <f t="shared" ca="1" si="39"/>
        <v xml:space="preserve">Gouveia, L. </v>
      </c>
      <c r="E300" t="str">
        <f t="shared" ca="1" si="34"/>
        <v>2014</v>
      </c>
      <c r="F300" t="str">
        <f t="shared" ca="1" si="35"/>
        <v xml:space="preserve"> Negócio e Redes Sociais: fusão ou confusão. </v>
      </c>
      <c r="G300" s="3">
        <f t="shared" ca="1" si="36"/>
        <v>18</v>
      </c>
      <c r="H300" s="2">
        <f t="shared" ca="1" si="37"/>
        <v>63</v>
      </c>
      <c r="I300" t="str">
        <f t="shared" ca="1" si="38"/>
        <v>Painel 
"Internet, Negócio e Redes Sociais: inovar". 3ª Conferência Internet, 
Negócio e Redes Sociais "Confiança e Compromisso nos Canais Digitais". 
Associação Portuguesa para o Desenvolvimento da Sociedade da 
Informação(APDSI).</v>
      </c>
      <c r="J300" s="3">
        <f t="shared" ca="1" si="40"/>
        <v>294</v>
      </c>
      <c r="K300" t="str">
        <f t="shared" ca="1" si="32"/>
        <v xml:space="preserve">Gouveia, L. </v>
      </c>
      <c r="L300" t="str">
        <f t="shared" ca="1" si="33"/>
        <v xml:space="preserve">Quental, C. </v>
      </c>
    </row>
    <row r="301" spans="1:14" ht="15.75" customHeight="1">
      <c r="A301">
        <f ca="1">IFERROR(__xludf.DUMMYFUNCTION("""COMPUTED_VALUE"""),4)</f>
        <v>4</v>
      </c>
      <c r="B301" t="str">
        <f ca="1">IFERROR(__xludf.DUMMYFUNCTION("""COMPUTED_VALUE"""),"Gouveia, L. (2014). Do local ao global: a tecnologia digital ao serviço do 
conhecimento. Do Artesanal ao Digital. O contributo das Universidades. 
Universidade Fernando Pessoa. Ponte de Lima, 5 de Abril.
[ apresentação ]")</f>
        <v>Gouveia, L. (2014). Do local ao global: a tecnologia digital ao serviço do 
conhecimento. Do Artesanal ao Digital. O contributo das Universidades. 
Universidade Fernando Pessoa. Ponte de Lima, 5 de Abril.
[ apresentação ]</v>
      </c>
      <c r="C301" s="2">
        <f t="shared" ca="1" si="31"/>
        <v>13</v>
      </c>
      <c r="D301" t="str">
        <f t="shared" ca="1" si="39"/>
        <v xml:space="preserve">Gouveia, L. </v>
      </c>
      <c r="E301" t="str">
        <f t="shared" ca="1" si="34"/>
        <v>2014</v>
      </c>
      <c r="F301" t="str">
        <f t="shared" ca="1" si="35"/>
        <v xml:space="preserve"> Do local ao global: a tecnologia digital ao serviço do 
conhecimento. </v>
      </c>
      <c r="G301" s="3">
        <f t="shared" ca="1" si="36"/>
        <v>18</v>
      </c>
      <c r="H301" s="2">
        <f t="shared" ca="1" si="37"/>
        <v>89</v>
      </c>
      <c r="I301" t="e">
        <f t="shared" ca="1" si="38"/>
        <v>#VALUE!</v>
      </c>
      <c r="J301" s="3" t="e">
        <f t="shared" ca="1" si="40"/>
        <v>#VALUE!</v>
      </c>
      <c r="K301" t="str">
        <f t="shared" ca="1" si="32"/>
        <v xml:space="preserve">Gouveia, L. </v>
      </c>
      <c r="L301" t="str">
        <f t="shared" ca="1" si="33"/>
        <v xml:space="preserve">Quental, C. </v>
      </c>
    </row>
    <row r="302" spans="1:14" ht="15.75" customHeight="1">
      <c r="A302">
        <f ca="1">IFERROR(__xludf.DUMMYFUNCTION("""COMPUTED_VALUE"""),3)</f>
        <v>3</v>
      </c>
      <c r="B302" t="str">
        <f ca="1">IFERROR(__xludf.DUMMYFUNCTION("""COMPUTED_VALUE"""),"Gouveia, L. (2014). A Informática e o mercado de trabalho: notas avulsas. 
Comemorações dos 15 anos da ANPRI – Associação Nacional de Professores de 
Informática. 8 de Março. Universidade Portucalense.
[ apresentação ]")</f>
        <v>Gouveia, L. (2014). A Informática e o mercado de trabalho: notas avulsas. 
Comemorações dos 15 anos da ANPRI – Associação Nacional de Professores de 
Informática. 8 de Março. Universidade Portucalense.
[ apresentação ]</v>
      </c>
      <c r="C302" s="2">
        <f t="shared" ca="1" si="31"/>
        <v>13</v>
      </c>
      <c r="D302" t="str">
        <f t="shared" ca="1" si="39"/>
        <v xml:space="preserve">Gouveia, L. </v>
      </c>
      <c r="E302" t="str">
        <f t="shared" ca="1" si="34"/>
        <v>2014</v>
      </c>
      <c r="F302" t="str">
        <f t="shared" ca="1" si="35"/>
        <v xml:space="preserve"> A Informática e o mercado de trabalho: notas avulsas. </v>
      </c>
      <c r="G302" s="3">
        <f t="shared" ca="1" si="36"/>
        <v>18</v>
      </c>
      <c r="H302" s="2">
        <f t="shared" ca="1" si="37"/>
        <v>73</v>
      </c>
      <c r="I302" t="e">
        <f t="shared" ca="1" si="38"/>
        <v>#VALUE!</v>
      </c>
      <c r="J302" s="3" t="e">
        <f t="shared" ca="1" si="40"/>
        <v>#VALUE!</v>
      </c>
      <c r="K302" t="str">
        <f t="shared" ca="1" si="32"/>
        <v xml:space="preserve">Gouveia, L. </v>
      </c>
      <c r="L302" t="str">
        <f t="shared" ca="1" si="33"/>
        <v xml:space="preserve">Quental, C. </v>
      </c>
    </row>
    <row r="303" spans="1:14" ht="15.75" customHeight="1">
      <c r="A303">
        <f ca="1">IFERROR(__xludf.DUMMYFUNCTION("""COMPUTED_VALUE"""),2)</f>
        <v>2</v>
      </c>
      <c r="B303" t="str">
        <f ca="1">IFERROR(__xludf.DUMMYFUNCTION("""COMPUTED_VALUE"""),"Gouveia, L.; Sousa, A. and Agante, P. (2012). Digital Mediation for Public 
Participation. Poster and interactive project demonstration. International 
e-Planning workshop - Citizens, Cities and Technology and Faculty of 
Sciences. University of Lisbon. A"&amp;"pril 23. Lisbon, Portugal.  
apresentação [ slideshare ]")</f>
        <v>Gouveia, L.; Sousa, A. and Agante, P. (2012). Digital Mediation for Public 
Participation. Poster and interactive project demonstration. International 
e-Planning workshop - Citizens, Cities and Technology and Faculty of 
Sciences. University of Lisbon. April 23. Lisbon, Portugal.  
apresentação [ slideshare ]</v>
      </c>
      <c r="C303" s="2">
        <f t="shared" ca="1" si="31"/>
        <v>39</v>
      </c>
      <c r="D303" t="str">
        <f t="shared" ca="1" si="39"/>
        <v xml:space="preserve">Gouveia, L.; Sousa, A. and Agante, P. </v>
      </c>
      <c r="E303" t="str">
        <f t="shared" ca="1" si="34"/>
        <v>2012</v>
      </c>
      <c r="F303" t="str">
        <f t="shared" ca="1" si="35"/>
        <v xml:space="preserve"> Digital Mediation for Public 
Participation. </v>
      </c>
      <c r="G303" s="3">
        <f t="shared" ca="1" si="36"/>
        <v>44</v>
      </c>
      <c r="H303" s="2">
        <f t="shared" ca="1" si="37"/>
        <v>90</v>
      </c>
      <c r="I303" t="e">
        <f t="shared" ca="1" si="38"/>
        <v>#VALUE!</v>
      </c>
      <c r="J303" s="3" t="e">
        <f t="shared" ca="1" si="40"/>
        <v>#VALUE!</v>
      </c>
      <c r="K303" t="str">
        <f t="shared" ca="1" si="32"/>
        <v xml:space="preserve">Gouveia, L.; Sousa, A. ; Agante, P. </v>
      </c>
      <c r="L303" t="str">
        <f t="shared" ca="1" si="33"/>
        <v xml:space="preserve">Quental, C. </v>
      </c>
      <c r="M303" t="str">
        <f ca="1">IFERROR(__xludf.DUMMYFUNCTION("""COMPUTED_VALUE""")," Sousa, A. ")</f>
        <v xml:space="preserve"> Sousa, A. </v>
      </c>
      <c r="N303" t="str">
        <f ca="1">IFERROR(__xludf.DUMMYFUNCTION("""COMPUTED_VALUE""")," Agante, P. ")</f>
        <v xml:space="preserve"> Agante, P. </v>
      </c>
    </row>
    <row r="304" spans="1:14" ht="15.75" customHeight="1">
      <c r="A304">
        <f ca="1">IFERROR(__xludf.DUMMYFUNCTION("""COMPUTED_VALUE"""),1)</f>
        <v>1</v>
      </c>
      <c r="B304" t="str">
        <f ca="1">IFERROR(__xludf.DUMMYFUNCTION("""COMPUTED_VALUE"""),"Gouveia, L. (2003). *Cidades Digitais, promessas e preocupações*. in 
Gouveia, L. e Borges Gouveia, J. e Amaral, L. e Carvalho, J. (2003). 
Workshop Cidades Digitais. Integrado na 4ª Conferência da Associação 
Portuguesa de Sistemas de Informação. Univers"&amp;"idade Portucalense (UPT). 15 
de Outubro, pp 15-18.  Porto, Portugal.")</f>
        <v>Gouveia, L. (2003). *Cidades Digitais, promessas e preocupações*. in 
Gouveia, L. e Borges Gouveia, J. e Amaral, L. e Carvalho, J. (2003). 
Workshop Cidades Digitais. Integrado na 4ª Conferência da Associação 
Portuguesa de Sistemas de Informação. Universidade Portucalense (UPT). 15 
de Outubro, pp 15-18.  Porto, Portugal.</v>
      </c>
      <c r="C304" s="2">
        <f t="shared" ca="1" si="31"/>
        <v>13</v>
      </c>
      <c r="D304" t="str">
        <f t="shared" ca="1" si="39"/>
        <v xml:space="preserve">Gouveia, L. </v>
      </c>
      <c r="E304" t="str">
        <f t="shared" ca="1" si="34"/>
        <v>2003</v>
      </c>
      <c r="F304" t="str">
        <f t="shared" ca="1" si="35"/>
        <v xml:space="preserve"> *Cidades Digitais, promessas e preocupações*. </v>
      </c>
      <c r="G304" s="3">
        <f t="shared" ca="1" si="36"/>
        <v>18</v>
      </c>
      <c r="H304" s="2">
        <f t="shared" ca="1" si="37"/>
        <v>65</v>
      </c>
      <c r="I304" t="str">
        <f t="shared" ca="1" si="38"/>
        <v>in 
Gouveia, L. e Borges Gouveia, J. e Amaral, L. e Carvalho, J. (2003).</v>
      </c>
      <c r="J304" s="3">
        <f t="shared" ca="1" si="40"/>
        <v>137</v>
      </c>
      <c r="K304" t="str">
        <f t="shared" ca="1" si="32"/>
        <v xml:space="preserve">Gouveia, L. </v>
      </c>
      <c r="L304" t="str">
        <f t="shared" ca="1" si="33"/>
        <v xml:space="preserve">Quental, C. </v>
      </c>
    </row>
    <row r="305" spans="1:12" ht="15.75" customHeight="1">
      <c r="A305" t="str">
        <f ca="1">IFERROR(__xludf.DUMMYFUNCTION("""COMPUTED_VALUE"""),"_________")</f>
        <v>_________</v>
      </c>
      <c r="B305" t="str">
        <f ca="1">IFERROR(__xludf.DUMMYFUNCTION("""COMPUTED_VALUE"""),"comunicações / presentation track")</f>
        <v>comunicações / presentation track</v>
      </c>
      <c r="C305" s="2" t="e">
        <f t="shared" ca="1" si="31"/>
        <v>#VALUE!</v>
      </c>
      <c r="D305" t="e">
        <f t="shared" ca="1" si="39"/>
        <v>#VALUE!</v>
      </c>
      <c r="E305" t="e">
        <f t="shared" ca="1" si="34"/>
        <v>#VALUE!</v>
      </c>
      <c r="F305" t="e">
        <f t="shared" ca="1" si="35"/>
        <v>#VALUE!</v>
      </c>
      <c r="G305" s="3" t="e">
        <f t="shared" ca="1" si="36"/>
        <v>#VALUE!</v>
      </c>
      <c r="H305" s="2" t="e">
        <f t="shared" ca="1" si="37"/>
        <v>#VALUE!</v>
      </c>
      <c r="I305" t="e">
        <f t="shared" ca="1" si="38"/>
        <v>#VALUE!</v>
      </c>
      <c r="J305" s="3" t="e">
        <f t="shared" ca="1" si="40"/>
        <v>#VALUE!</v>
      </c>
      <c r="K305" t="e">
        <f t="shared" ca="1" si="32"/>
        <v>#VALUE!</v>
      </c>
      <c r="L305" t="str">
        <f t="shared" ca="1" si="33"/>
        <v xml:space="preserve">Quental, C. </v>
      </c>
    </row>
    <row r="306" spans="1:12" ht="15.75" customHeight="1">
      <c r="A306" t="str">
        <f ca="1">IFERROR(__xludf.DUMMYFUNCTION("""COMPUTED_VALUE"""),"*3*8")</f>
        <v>*3*8</v>
      </c>
      <c r="B306" t="str">
        <f ca="1">IFERROR(__xludf.DUMMYFUNCTION("""COMPUTED_VALUE"""),"Martins, E. e Gouveia, L. (2018). Kahoot na Sala de Aula do Ensino Médio. 
7º Congresso Brasileiro de Tecnologia Educacional da ABT. 10 a 12 de 
Dezembro. Poster. Belo Horizonte, MG. Brasil.
[ paper ]")</f>
        <v>Martins, E. e Gouveia, L. (2018). Kahoot na Sala de Aula do Ensino Médio. 
7º Congresso Brasileiro de Tecnologia Educacional da ABT. 10 a 12 de 
Dezembro. Poster. Belo Horizonte, MG. Brasil.
[ paper ]</v>
      </c>
      <c r="C306" s="2">
        <f t="shared" ca="1" si="31"/>
        <v>27</v>
      </c>
      <c r="D306" t="str">
        <f t="shared" ca="1" si="39"/>
        <v xml:space="preserve">Martins, E. e Gouveia, L. </v>
      </c>
      <c r="E306" t="str">
        <f t="shared" ca="1" si="34"/>
        <v>2018</v>
      </c>
      <c r="F306" t="str">
        <f t="shared" ca="1" si="35"/>
        <v xml:space="preserve"> Kahoot na Sala de Aula do Ensino Médio. </v>
      </c>
      <c r="G306" s="3">
        <f t="shared" ca="1" si="36"/>
        <v>32</v>
      </c>
      <c r="H306" s="2">
        <f t="shared" ca="1" si="37"/>
        <v>73</v>
      </c>
      <c r="I306" t="e">
        <f t="shared" ca="1" si="38"/>
        <v>#VALUE!</v>
      </c>
      <c r="J306" s="3" t="e">
        <f t="shared" ca="1" si="40"/>
        <v>#VALUE!</v>
      </c>
      <c r="K306" t="str">
        <f t="shared" ca="1" si="32"/>
        <v xml:space="preserve">Martins, E. e Gouveia, L. </v>
      </c>
      <c r="L306" t="str">
        <f t="shared" ca="1" si="33"/>
        <v xml:space="preserve">Quental, C. </v>
      </c>
    </row>
    <row r="307" spans="1:12" ht="15.75" customHeight="1">
      <c r="A307" t="str">
        <f ca="1">IFERROR(__xludf.DUMMYFUNCTION("""COMPUTED_VALUE"""),"*3*7")</f>
        <v>*3*7</v>
      </c>
      <c r="B307" t="str">
        <f ca="1">IFERROR(__xludf.DUMMYFUNCTION("""COMPUTED_VALUE"""),"Martins, E. e Gouveia, L. (2018). Uso do Google Drive no Apoio a 
Aprendizagem Colaborativa. 7º Congresso Brasileiro de Tecnologia 
Educacional da ABT. Sessão de Comunicação Oral - Eixo temático: cultura 
digital e comunicação. 10 a 12 de Dezembro. Belo H"&amp;"orizonte, MG. Brasil.
[ paper ]")</f>
        <v>Martins, E. e Gouveia, L. (2018). Uso do Google Drive no Apoio a 
Aprendizagem Colaborativa. 7º Congresso Brasileiro de Tecnologia 
Educacional da ABT. Sessão de Comunicação Oral - Eixo temático: cultura 
digital e comunicação. 10 a 12 de Dezembro. Belo Horizonte, MG. Brasil.
[ paper ]</v>
      </c>
      <c r="C307" s="2">
        <f t="shared" ca="1" si="31"/>
        <v>27</v>
      </c>
      <c r="D307" t="str">
        <f t="shared" ca="1" si="39"/>
        <v xml:space="preserve">Martins, E. e Gouveia, L. </v>
      </c>
      <c r="E307" t="str">
        <f t="shared" ca="1" si="34"/>
        <v>2018</v>
      </c>
      <c r="F307" t="str">
        <f t="shared" ca="1" si="35"/>
        <v xml:space="preserve"> Uso do Google Drive no Apoio a 
Aprendizagem Colaborativa. </v>
      </c>
      <c r="G307" s="3">
        <f t="shared" ca="1" si="36"/>
        <v>32</v>
      </c>
      <c r="H307" s="2">
        <f t="shared" ca="1" si="37"/>
        <v>92</v>
      </c>
      <c r="I307" t="e">
        <f t="shared" ca="1" si="38"/>
        <v>#VALUE!</v>
      </c>
      <c r="J307" s="3" t="e">
        <f t="shared" ca="1" si="40"/>
        <v>#VALUE!</v>
      </c>
      <c r="K307" t="str">
        <f t="shared" ca="1" si="32"/>
        <v xml:space="preserve">Martins, E. e Gouveia, L. </v>
      </c>
      <c r="L307" t="str">
        <f t="shared" ca="1" si="33"/>
        <v xml:space="preserve">Quental, C. </v>
      </c>
    </row>
    <row r="308" spans="1:12" ht="15.75" customHeight="1">
      <c r="A308" t="str">
        <f ca="1">IFERROR(__xludf.DUMMYFUNCTION("""COMPUTED_VALUE"""),"*3*6")</f>
        <v>*3*6</v>
      </c>
      <c r="B308" t="str">
        <f ca="1">IFERROR(__xludf.DUMMYFUNCTION("""COMPUTED_VALUE"""),"Gouveia, L. e Martins, E. (2018). Uso do WhatsApp em Atividades Educativas 
Extraclasse. 7º Congresso Brasileiro de Tecnologia Educacional da ABT. 10 a 
12 Dezembro. Poster. Belo Horizonte, MG. Brasil.
[ paper ]")</f>
        <v>Gouveia, L. e Martins, E. (2018). Uso do WhatsApp em Atividades Educativas 
Extraclasse. 7º Congresso Brasileiro de Tecnologia Educacional da ABT. 10 a 
12 Dezembro. Poster. Belo Horizonte, MG. Brasil.
[ paper ]</v>
      </c>
      <c r="C308" s="2">
        <f t="shared" ca="1" si="31"/>
        <v>27</v>
      </c>
      <c r="D308" t="str">
        <f t="shared" ca="1" si="39"/>
        <v xml:space="preserve">Gouveia, L. e Martins, E. </v>
      </c>
      <c r="E308" t="str">
        <f t="shared" ca="1" si="34"/>
        <v>2018</v>
      </c>
      <c r="F308" t="str">
        <f t="shared" ca="1" si="35"/>
        <v xml:space="preserve"> Uso do WhatsApp em Atividades Educativas 
Extraclasse. </v>
      </c>
      <c r="G308" s="3">
        <f t="shared" ca="1" si="36"/>
        <v>32</v>
      </c>
      <c r="H308" s="2">
        <f t="shared" ca="1" si="37"/>
        <v>88</v>
      </c>
      <c r="I308" t="e">
        <f t="shared" ca="1" si="38"/>
        <v>#VALUE!</v>
      </c>
      <c r="J308" s="3" t="e">
        <f t="shared" ca="1" si="40"/>
        <v>#VALUE!</v>
      </c>
      <c r="K308" t="str">
        <f t="shared" ca="1" si="32"/>
        <v xml:space="preserve">Gouveia, L. e Martins, E. </v>
      </c>
      <c r="L308" t="str">
        <f t="shared" ca="1" si="33"/>
        <v xml:space="preserve">Quental, C. </v>
      </c>
    </row>
    <row r="309" spans="1:12" ht="15.75" customHeight="1">
      <c r="A309" t="str">
        <f ca="1">IFERROR(__xludf.DUMMYFUNCTION("""COMPUTED_VALUE"""),"*35*")</f>
        <v>*35*</v>
      </c>
      <c r="B309" t="str">
        <f ca="1">IFERROR(__xludf.DUMMYFUNCTION("""COMPUTED_VALUE"""),"Martins, E. e Gouveia, L. (2018). O Uso da Rede Social Educativa Edmodo em 
Atividades Extraclasse. In: 15° CONPEEX - Congresso de Ensino, Pesquisa e 
Extensão, 2018, Goiânia. I Encontro das Instituições de Ensino Superior 
Públicas e Filantrópicas Extern"&amp;"as à UFG, v. 1. p. 8-9.
[ paper ]")</f>
        <v>Martins, E. e Gouveia, L. (2018). O Uso da Rede Social Educativa Edmodo em 
Atividades Extraclasse. In: 15° CONPEEX - Congresso de Ensino, Pesquisa e 
Extensão, 2018, Goiânia. I Encontro das Instituições de Ensino Superior 
Públicas e Filantrópicas Externas à UFG, v. 1. p. 8-9.
[ paper ]</v>
      </c>
      <c r="C309" s="2">
        <f t="shared" ca="1" si="31"/>
        <v>27</v>
      </c>
      <c r="D309" t="str">
        <f t="shared" ca="1" si="39"/>
        <v xml:space="preserve">Martins, E. e Gouveia, L. </v>
      </c>
      <c r="E309" t="str">
        <f t="shared" ca="1" si="34"/>
        <v>2018</v>
      </c>
      <c r="F309" t="str">
        <f t="shared" ca="1" si="35"/>
        <v xml:space="preserve"> O Uso da Rede Social Educativa Edmodo em 
Atividades Extraclasse. </v>
      </c>
      <c r="G309" s="3">
        <f t="shared" ca="1" si="36"/>
        <v>32</v>
      </c>
      <c r="H309" s="2">
        <f t="shared" ca="1" si="37"/>
        <v>99</v>
      </c>
      <c r="I309" t="e">
        <f t="shared" ca="1" si="38"/>
        <v>#VALUE!</v>
      </c>
      <c r="J309" s="3" t="e">
        <f t="shared" ca="1" si="40"/>
        <v>#VALUE!</v>
      </c>
      <c r="K309" t="str">
        <f t="shared" ca="1" si="32"/>
        <v xml:space="preserve">Martins, E. e Gouveia, L. </v>
      </c>
      <c r="L309" t="str">
        <f t="shared" ca="1" si="33"/>
        <v xml:space="preserve">Quental, C. </v>
      </c>
    </row>
    <row r="310" spans="1:12" ht="15.75" customHeight="1">
      <c r="A310" t="str">
        <f ca="1">IFERROR(__xludf.DUMMYFUNCTION("""COMPUTED_VALUE"""),"*3*4")</f>
        <v>*3*4</v>
      </c>
      <c r="B310" t="str">
        <f ca="1">IFERROR(__xludf.DUMMYFUNCTION("""COMPUTED_VALUE"""),"Martins, E. e Gouveia, L. (2018). Facebook como Ferramenta de Apoio ao 
Ensino Superior. Artigo Resumido. 10º Congresso Acadêmico de tecnologia e 
Informática CATI2018 e ERIMT 2018. 5-9 de Novembro. Mato Grosso. Brasil. Anais 
do 10º Congresso Acadêmico d"&amp;"e Tecnologia e Informática (CATI 2018). Ciência 
da Computação – UNEMAT – Barra do Bugres – ISSN 2448-119X, pp 86-89.
[ paper ]")</f>
        <v>Martins, E. e Gouveia, L. (2018). Facebook como Ferramenta de Apoio ao 
Ensino Superior. Artigo Resumido. 10º Congresso Acadêmico de tecnologia e 
Informática CATI2018 e ERIMT 2018. 5-9 de Novembro. Mato Grosso. Brasil. Anais 
do 10º Congresso Acadêmico de Tecnologia e Informática (CATI 2018). Ciência 
da Computação – UNEMAT – Barra do Bugres – ISSN 2448-119X, pp 86-89.
[ paper ]</v>
      </c>
      <c r="C310" s="2">
        <f t="shared" ca="1" si="31"/>
        <v>27</v>
      </c>
      <c r="D310" t="str">
        <f t="shared" ca="1" si="39"/>
        <v xml:space="preserve">Martins, E. e Gouveia, L. </v>
      </c>
      <c r="E310" t="str">
        <f t="shared" ca="1" si="34"/>
        <v>2018</v>
      </c>
      <c r="F310" t="str">
        <f t="shared" ca="1" si="35"/>
        <v xml:space="preserve"> Facebook como Ferramenta de Apoio ao 
Ensino Superior. </v>
      </c>
      <c r="G310" s="3">
        <f t="shared" ca="1" si="36"/>
        <v>32</v>
      </c>
      <c r="H310" s="2">
        <f t="shared" ca="1" si="37"/>
        <v>88</v>
      </c>
      <c r="I310" t="str">
        <f t="shared" ca="1" si="38"/>
        <v>Artigo Resumido. 10º Congresso Acadêmico de tecnologia e 
Informática CATI2018 e ERIMT 2018. 5-9 de Novembro. Mato Grosso. Brasil. Anais 
do 10º Congresso Acadêmico de Tecnologia e Informática (CATI 2018).</v>
      </c>
      <c r="J310" s="3">
        <f t="shared" ca="1" si="40"/>
        <v>293</v>
      </c>
      <c r="K310" t="str">
        <f t="shared" ca="1" si="32"/>
        <v xml:space="preserve">Martins, E. e Gouveia, L. </v>
      </c>
      <c r="L310" t="str">
        <f t="shared" ca="1" si="33"/>
        <v xml:space="preserve">Quental, C. </v>
      </c>
    </row>
    <row r="311" spans="1:12" ht="15.75" customHeight="1">
      <c r="A311" t="str">
        <f ca="1">IFERROR(__xludf.DUMMYFUNCTION("""COMPUTED_VALUE"""),"*3*3")</f>
        <v>*3*3</v>
      </c>
      <c r="B311" t="str">
        <f ca="1">IFERROR(__xludf.DUMMYFUNCTION("""COMPUTED_VALUE"""),"Martins , E. e Gouveia, L. (2018). WhatsApp como Apoio a Aprendizagem no 
Ensino Médio. Artigo Resumido. 10º Congresso Acadêmico de tecnologia e 
Informática CAT2018 e ERIMT 2018. 5-9 de Novembro. Mato Grosso. Brasil. Anais 
da IX Escola Regional de Infor"&amp;"mática de Mato Grosso (ERI-MT 2018). SBC – 
UNEMAT – Barra do Bugres – ISSN 2447-5386, pp 143-146.
[ paper ]")</f>
        <v>Martins , E. e Gouveia, L. (2018). WhatsApp como Apoio a Aprendizagem no 
Ensino Médio. Artigo Resumido. 10º Congresso Acadêmico de tecnologia e 
Informática CAT2018 e ERIMT 2018. 5-9 de Novembro. Mato Grosso. Brasil. Anais 
da IX Escola Regional de Informática de Mato Grosso (ERI-MT 2018). SBC – 
UNEMAT – Barra do Bugres – ISSN 2447-5386, pp 143-146.
[ paper ]</v>
      </c>
      <c r="C311" s="2">
        <f t="shared" ca="1" si="31"/>
        <v>28</v>
      </c>
      <c r="D311" t="str">
        <f t="shared" ca="1" si="39"/>
        <v xml:space="preserve">Martins , E. e Gouveia, L. </v>
      </c>
      <c r="E311" t="str">
        <f t="shared" ca="1" si="34"/>
        <v>2018</v>
      </c>
      <c r="F311" t="str">
        <f t="shared" ca="1" si="35"/>
        <v xml:space="preserve"> WhatsApp como Apoio a Aprendizagem no 
Ensino Médio. </v>
      </c>
      <c r="G311" s="3">
        <f t="shared" ca="1" si="36"/>
        <v>33</v>
      </c>
      <c r="H311" s="2">
        <f t="shared" ca="1" si="37"/>
        <v>87</v>
      </c>
      <c r="I311" t="str">
        <f t="shared" ca="1" si="38"/>
        <v>Artigo Resumido. 10º Congresso Acadêmico de tecnologia e 
Informática CAT2018 e ERIMT 2018. 5-9 de Novembro. Mato Grosso. Brasil. Anais 
da IX Escola Regional de Informática de Mato Grosso (ERI-MT 2018).</v>
      </c>
      <c r="J311" s="3">
        <f t="shared" ca="1" si="40"/>
        <v>290</v>
      </c>
      <c r="K311" t="str">
        <f t="shared" ca="1" si="32"/>
        <v xml:space="preserve">Martins , E. e Gouveia, L. </v>
      </c>
      <c r="L311" t="str">
        <f t="shared" ca="1" si="33"/>
        <v xml:space="preserve">Quental, C. </v>
      </c>
    </row>
    <row r="312" spans="1:12" ht="15.75" customHeight="1">
      <c r="A312" t="str">
        <f ca="1">IFERROR(__xludf.DUMMYFUNCTION("""COMPUTED_VALUE"""),"*3*2")</f>
        <v>*3*2</v>
      </c>
      <c r="B312" t="str">
        <f ca="1">IFERROR(__xludf.DUMMYFUNCTION("""COMPUTED_VALUE"""),"Martins, E. e Gouveia, L. (2018). Uso da Ferramenta Kahoot Transformando a 
Aula do Ensino Médio em um Game de Conhecimento. Artigo Resumido. 10º 
Congresso Acadêmico de tecnologia e Informática CAT2018 e ERIMT 2018. 5-9 
de Novembro. Mato Grosso. Brasil."&amp;" Anais da IX Escola Regional de 
Informática de Mato Grosso (ERI-MT 2018). SBC – UNEMAT – Barra do Bugres – 
ISSN 2447-5386, pp 155-158.
[ paper ]")</f>
        <v>Martins, E. e Gouveia, L. (2018). Uso da Ferramenta Kahoot Transformando a 
Aula do Ensino Médio em um Game de Conhecimento. Artigo Resumido. 10º 
Congresso Acadêmico de tecnologia e Informática CAT2018 e ERIMT 2018. 5-9 
de Novembro. Mato Grosso. Brasil. Anais da IX Escola Regional de 
Informática de Mato Grosso (ERI-MT 2018). SBC – UNEMAT – Barra do Bugres – 
ISSN 2447-5386, pp 155-158.
[ paper ]</v>
      </c>
      <c r="C312" s="2">
        <f t="shared" ca="1" si="31"/>
        <v>27</v>
      </c>
      <c r="D312" t="str">
        <f t="shared" ca="1" si="39"/>
        <v xml:space="preserve">Martins, E. e Gouveia, L. </v>
      </c>
      <c r="E312" t="str">
        <f t="shared" ca="1" si="34"/>
        <v>2018</v>
      </c>
      <c r="F312" t="str">
        <f t="shared" ca="1" si="35"/>
        <v xml:space="preserve"> Uso da Ferramenta Kahoot Transformando a 
Aula do Ensino Médio em um Game de Conhecimento. </v>
      </c>
      <c r="G312" s="3">
        <f t="shared" ca="1" si="36"/>
        <v>32</v>
      </c>
      <c r="H312" s="2">
        <f t="shared" ca="1" si="37"/>
        <v>124</v>
      </c>
      <c r="I312" t="str">
        <f t="shared" ca="1" si="38"/>
        <v>Artigo Resumido. 10º 
Congresso Acadêmico de tecnologia e Informática CAT2018 e ERIMT 2018. 5-9 
de Novembro. Mato Grosso. Brasil. Anais da IX Escola Regional de 
Informática de Mato Grosso (ERI-MT 2018).</v>
      </c>
      <c r="J312" s="3">
        <f t="shared" ca="1" si="40"/>
        <v>328</v>
      </c>
      <c r="K312" t="str">
        <f t="shared" ca="1" si="32"/>
        <v xml:space="preserve">Martins, E. e Gouveia, L. </v>
      </c>
      <c r="L312" t="str">
        <f t="shared" ca="1" si="33"/>
        <v xml:space="preserve">Quental, C. </v>
      </c>
    </row>
    <row r="313" spans="1:12" ht="15.75" customHeight="1">
      <c r="A313" t="str">
        <f ca="1">IFERROR(__xludf.DUMMYFUNCTION("""COMPUTED_VALUE"""),"*31*")</f>
        <v>*31*</v>
      </c>
      <c r="B313" t="str">
        <f ca="1">IFERROR(__xludf.DUMMYFUNCTION("""COMPUTED_VALUE"""),"Martins, E. e Gouveia, L. (2018). Tecnologias Móveis em cursos da 
Universidade Aberta. IV Congresso de Ciência e Tecnologia da PUC Goiás. 
Ciência para a redução das desigualdades. 16 a 20 de Outubro.")</f>
        <v>Martins, E. e Gouveia, L. (2018). Tecnologias Móveis em cursos da 
Universidade Aberta. IV Congresso de Ciência e Tecnologia da PUC Goiás. 
Ciência para a redução das desigualdades. 16 a 20 de Outubro.</v>
      </c>
      <c r="C313" s="2">
        <f t="shared" ca="1" si="31"/>
        <v>27</v>
      </c>
      <c r="D313" t="str">
        <f t="shared" ca="1" si="39"/>
        <v xml:space="preserve">Martins, E. e Gouveia, L. </v>
      </c>
      <c r="E313" t="str">
        <f t="shared" ca="1" si="34"/>
        <v>2018</v>
      </c>
      <c r="F313" t="str">
        <f t="shared" ca="1" si="35"/>
        <v xml:space="preserve"> Tecnologias Móveis em cursos da 
Universidade Aberta. </v>
      </c>
      <c r="G313" s="3">
        <f t="shared" ca="1" si="36"/>
        <v>32</v>
      </c>
      <c r="H313" s="2">
        <f t="shared" ca="1" si="37"/>
        <v>87</v>
      </c>
      <c r="I313" t="e">
        <f t="shared" ca="1" si="38"/>
        <v>#VALUE!</v>
      </c>
      <c r="J313" s="3" t="e">
        <f t="shared" ca="1" si="40"/>
        <v>#VALUE!</v>
      </c>
      <c r="K313" t="str">
        <f t="shared" ca="1" si="32"/>
        <v xml:space="preserve">Martins, E. e Gouveia, L. </v>
      </c>
      <c r="L313" t="str">
        <f t="shared" ca="1" si="33"/>
        <v xml:space="preserve">Quental, C. </v>
      </c>
    </row>
    <row r="314" spans="1:12" ht="15.75" customHeight="1">
      <c r="A314" t="str">
        <f ca="1">IFERROR(__xludf.DUMMYFUNCTION("""COMPUTED_VALUE"""),"*30*")</f>
        <v>*30*</v>
      </c>
      <c r="B314" t="str">
        <f ca="1">IFERROR(__xludf.DUMMYFUNCTION("""COMPUTED_VALUE"""),"Oliveira, M. e Gouveia, L. (2018). Uma metodologia para a medição da 
densidade óssea pela técnica de densitometria de raios-X. 8° Congresso da 
Faculdade de Odontologia de Araçatuba – 23 a 26 de maio. Universidade 
Estadual Paulista “Júlio de Mesquita Fi"&amp;"lho” UNESP.")</f>
        <v>Oliveira, M. e Gouveia, L. (2018). Uma metodologia para a medição da 
densidade óssea pela técnica de densitometria de raios-X. 8° Congresso da 
Faculdade de Odontologia de Araçatuba – 23 a 26 de maio. Universidade 
Estadual Paulista “Júlio de Mesquita Filho” UNESP.</v>
      </c>
      <c r="C314" s="2">
        <f t="shared" ca="1" si="31"/>
        <v>28</v>
      </c>
      <c r="D314" t="str">
        <f t="shared" ca="1" si="39"/>
        <v xml:space="preserve">Oliveira, M. e Gouveia, L. </v>
      </c>
      <c r="E314" t="str">
        <f t="shared" ca="1" si="34"/>
        <v>2018</v>
      </c>
      <c r="F314" t="str">
        <f t="shared" ca="1" si="35"/>
        <v xml:space="preserve"> Uma metodologia para a medição da 
densidade óssea pela técnica de densitometria de raios-X. </v>
      </c>
      <c r="G314" s="3">
        <f t="shared" ca="1" si="36"/>
        <v>33</v>
      </c>
      <c r="H314" s="2">
        <f t="shared" ca="1" si="37"/>
        <v>127</v>
      </c>
      <c r="I314" t="e">
        <f t="shared" ca="1" si="38"/>
        <v>#VALUE!</v>
      </c>
      <c r="J314" s="3" t="e">
        <f t="shared" ca="1" si="40"/>
        <v>#VALUE!</v>
      </c>
      <c r="K314" t="str">
        <f t="shared" ca="1" si="32"/>
        <v xml:space="preserve">Oliveira, M. e Gouveia, L. </v>
      </c>
      <c r="L314" t="str">
        <f t="shared" ca="1" si="33"/>
        <v xml:space="preserve">Quental, C. </v>
      </c>
    </row>
    <row r="315" spans="1:12" ht="15.75" customHeight="1">
      <c r="A315" t="str">
        <f ca="1">IFERROR(__xludf.DUMMYFUNCTION("""COMPUTED_VALUE"""),"*29*")</f>
        <v>*29*</v>
      </c>
      <c r="B315" t="str">
        <f ca="1">IFERROR(__xludf.DUMMYFUNCTION("""COMPUTED_VALUE"""),"Oliveira, M. e Gouveia, L. (2018). Uma técnica para medir a densidade óssea 
usando uma imagem radiográfica. 8° Congresso da Faculdade de Odontologia de 
Araçatuba – 23 a 26 de maio. Universidade Estadual Paulista “Júlio de 
Mesquita Filho” UNESP.")</f>
        <v>Oliveira, M. e Gouveia, L. (2018). Uma técnica para medir a densidade óssea 
usando uma imagem radiográfica. 8° Congresso da Faculdade de Odontologia de 
Araçatuba – 23 a 26 de maio. Universidade Estadual Paulista “Júlio de 
Mesquita Filho” UNESP.</v>
      </c>
      <c r="C315" s="2">
        <f t="shared" ca="1" si="31"/>
        <v>28</v>
      </c>
      <c r="D315" t="str">
        <f t="shared" ca="1" si="39"/>
        <v xml:space="preserve">Oliveira, M. e Gouveia, L. </v>
      </c>
      <c r="E315" t="str">
        <f t="shared" ca="1" si="34"/>
        <v>2018</v>
      </c>
      <c r="F315" t="str">
        <f t="shared" ca="1" si="35"/>
        <v xml:space="preserve"> Uma técnica para medir a densidade óssea 
usando uma imagem radiográfica. </v>
      </c>
      <c r="G315" s="3">
        <f t="shared" ca="1" si="36"/>
        <v>33</v>
      </c>
      <c r="H315" s="2">
        <f t="shared" ca="1" si="37"/>
        <v>108</v>
      </c>
      <c r="I315" t="e">
        <f t="shared" ca="1" si="38"/>
        <v>#VALUE!</v>
      </c>
      <c r="J315" s="3" t="e">
        <f t="shared" ca="1" si="40"/>
        <v>#VALUE!</v>
      </c>
      <c r="K315" t="str">
        <f t="shared" ca="1" si="32"/>
        <v xml:space="preserve">Oliveira, M. e Gouveia, L. </v>
      </c>
      <c r="L315" t="str">
        <f t="shared" ca="1" si="33"/>
        <v xml:space="preserve">Quental, C. </v>
      </c>
    </row>
    <row r="316" spans="1:12" ht="15.75" customHeight="1">
      <c r="A316">
        <f ca="1">IFERROR(__xludf.DUMMYFUNCTION("""COMPUTED_VALUE"""),28)</f>
        <v>28</v>
      </c>
      <c r="B316" t="str">
        <f ca="1">IFERROR(__xludf.DUMMYFUNCTION("""COMPUTED_VALUE"""),"Araújo, A. e Gouveia, L. (2018). O Digital nas Instituições de Ensino 
Superior: um diagnóstico sobre a percepção docente em uma instituição de 
ensino superior. Eixo temático: Tecnologias de Informação e Comunicação 
aplicadas à Educação. 2º Congresso Na"&amp;"cional de Educação. 8 e 9 de Junho. 
Poço de Caldas. Minas Gerais. Brasil.
[ paper ]")</f>
        <v>Araújo, A. e Gouveia, L. (2018). O Digital nas Instituições de Ensino 
Superior: um diagnóstico sobre a percepção docente em uma instituição de 
ensino superior. Eixo temático: Tecnologias de Informação e Comunicação 
aplicadas à Educação. 2º Congresso Nacional de Educação. 8 e 9 de Junho. 
Poço de Caldas. Minas Gerais. Brasil.
[ paper ]</v>
      </c>
      <c r="C316" s="2">
        <f t="shared" ca="1" si="31"/>
        <v>26</v>
      </c>
      <c r="D316" t="str">
        <f t="shared" ca="1" si="39"/>
        <v xml:space="preserve">Araújo, A. e Gouveia, L. </v>
      </c>
      <c r="E316" t="str">
        <f t="shared" ca="1" si="34"/>
        <v>2018</v>
      </c>
      <c r="F316" t="str">
        <f t="shared" ca="1" si="35"/>
        <v xml:space="preserve"> O Digital nas Instituições de Ensino 
Superior: um diagnóstico sobre a percepção docente em uma instituição de 
ensino superior. </v>
      </c>
      <c r="G316" s="3">
        <f t="shared" ca="1" si="36"/>
        <v>31</v>
      </c>
      <c r="H316" s="2">
        <f t="shared" ca="1" si="37"/>
        <v>161</v>
      </c>
      <c r="I316" t="e">
        <f t="shared" ca="1" si="38"/>
        <v>#VALUE!</v>
      </c>
      <c r="J316" s="3" t="e">
        <f t="shared" ca="1" si="40"/>
        <v>#VALUE!</v>
      </c>
      <c r="K316" t="str">
        <f t="shared" ca="1" si="32"/>
        <v xml:space="preserve">Araújo, A. e Gouveia, L. </v>
      </c>
      <c r="L316" t="str">
        <f t="shared" ca="1" si="33"/>
        <v xml:space="preserve">Quental, C. </v>
      </c>
    </row>
    <row r="317" spans="1:12" ht="15.75" customHeight="1">
      <c r="A317" t="str">
        <f ca="1">IFERROR(__xludf.DUMMYFUNCTION("""COMPUTED_VALUE"""),"*2**7*")</f>
        <v>*2**7*</v>
      </c>
      <c r="B317" t="str">
        <f ca="1">IFERROR(__xludf.DUMMYFUNCTION("""COMPUTED_VALUE"""),"Alfredo, P. e Gouveia, L. (2017). *Crescimento económico de Angola e as 
TIC: os últimos 12 anos*. In GICD, UAN (2017). Livro de Resumos da 
Conferência Ciêntífica da universidade Agostinho Neto (CCUAN2017). pp 76. 
ISBN: 978-989-761-137-7.")</f>
        <v>Alfredo, P. e Gouveia, L. (2017). *Crescimento económico de Angola e as 
TIC: os últimos 12 anos*. In GICD, UAN (2017). Livro de Resumos da 
Conferência Ciêntífica da universidade Agostinho Neto (CCUAN2017). pp 76. 
ISBN: 978-989-761-137-7.</v>
      </c>
      <c r="C317" s="2">
        <f t="shared" ca="1" si="31"/>
        <v>27</v>
      </c>
      <c r="D317" t="str">
        <f t="shared" ca="1" si="39"/>
        <v xml:space="preserve">Alfredo, P. e Gouveia, L. </v>
      </c>
      <c r="E317" t="str">
        <f t="shared" ca="1" si="34"/>
        <v>2017</v>
      </c>
      <c r="F317" t="str">
        <f t="shared" ca="1" si="35"/>
        <v xml:space="preserve"> *Crescimento económico de Angola e as 
TIC: os últimos 12 anos*. </v>
      </c>
      <c r="G317" s="3">
        <f t="shared" ca="1" si="36"/>
        <v>32</v>
      </c>
      <c r="H317" s="2">
        <f t="shared" ca="1" si="37"/>
        <v>98</v>
      </c>
      <c r="I317" t="str">
        <f t="shared" ca="1" si="38"/>
        <v>In GICD, UAN (2017).</v>
      </c>
      <c r="J317" s="3">
        <f t="shared" ca="1" si="40"/>
        <v>118</v>
      </c>
      <c r="K317" t="str">
        <f t="shared" ca="1" si="32"/>
        <v xml:space="preserve">Alfredo, P. e Gouveia, L. </v>
      </c>
      <c r="L317" t="str">
        <f t="shared" ca="1" si="33"/>
        <v xml:space="preserve">Quental, C. </v>
      </c>
    </row>
    <row r="318" spans="1:12" ht="15.75" customHeight="1">
      <c r="A318" t="str">
        <f ca="1">IFERROR(__xludf.DUMMYFUNCTION("""COMPUTED_VALUE"""),"*26*")</f>
        <v>*26*</v>
      </c>
      <c r="B318" t="str">
        <f ca="1">IFERROR(__xludf.DUMMYFUNCTION("""COMPUTED_VALUE"""),"Alfredo, P. e Gouveia, L. (2017). *Crescimento Económico de Angola: os 
últimos 12 anos.* Comunicação Oral. Conferência Científica Universidade 
Agostinho Neto (UAN). 27 a 29 de Setembro. Hotel Victória Garden. Luanda 
Angola.  
[ handle ]")</f>
        <v>Alfredo, P. e Gouveia, L. (2017). *Crescimento Económico de Angola: os 
últimos 12 anos.* Comunicação Oral. Conferência Científica Universidade 
Agostinho Neto (UAN). 27 a 29 de Setembro. Hotel Victória Garden. Luanda 
Angola.  
[ handle ]</v>
      </c>
      <c r="C318" s="2">
        <f t="shared" ca="1" si="31"/>
        <v>27</v>
      </c>
      <c r="D318" t="str">
        <f t="shared" ca="1" si="39"/>
        <v xml:space="preserve">Alfredo, P. e Gouveia, L. </v>
      </c>
      <c r="E318" t="str">
        <f t="shared" ca="1" si="34"/>
        <v>2017</v>
      </c>
      <c r="F318" t="str">
        <f t="shared" ca="1" si="35"/>
        <v xml:space="preserve"> *Crescimento Económico de Angola: os 
últimos 12 anos.*</v>
      </c>
      <c r="G318" s="3">
        <f t="shared" ca="1" si="36"/>
        <v>32</v>
      </c>
      <c r="H318" s="2">
        <f t="shared" ca="1" si="37"/>
        <v>88</v>
      </c>
      <c r="I318" t="str">
        <f t="shared" ca="1" si="38"/>
        <v xml:space="preserve"> Comunicação Oral. Conferência Científica Universidade 
Agostinho Neto (UAN).</v>
      </c>
      <c r="J318" s="3">
        <f t="shared" ca="1" si="40"/>
        <v>165</v>
      </c>
      <c r="K318" t="str">
        <f t="shared" ca="1" si="32"/>
        <v xml:space="preserve">Alfredo, P. e Gouveia, L. </v>
      </c>
      <c r="L318" t="str">
        <f t="shared" ca="1" si="33"/>
        <v xml:space="preserve">Quental, C. </v>
      </c>
    </row>
    <row r="319" spans="1:12" ht="15.75" customHeight="1">
      <c r="A319" t="str">
        <f ca="1">IFERROR(__xludf.DUMMYFUNCTION("""COMPUTED_VALUE"""),"*2**5*")</f>
        <v>*2**5*</v>
      </c>
      <c r="B319" t="str">
        <f ca="1">IFERROR(__xludf.DUMMYFUNCTION("""COMPUTED_VALUE"""),"Gouveia, L. e Couto, P. (2017). *A importância crescente do Capital Humano, 
Intelectual, Social e Territorial e a sua associação ao conhecimento.* Atlântico 
Business Summit. Edificio Heliântia, Valadares. Vila Nova de Gaia. 28 de 
Setembro.
[ handle ]")</f>
        <v>Gouveia, L. e Couto, P. (2017). *A importância crescente do Capital Humano, 
Intelectual, Social e Territorial e a sua associação ao conhecimento.* Atlântico 
Business Summit. Edificio Heliântia, Valadares. Vila Nova de Gaia. 28 de 
Setembro.
[ handle ]</v>
      </c>
      <c r="C319" s="2">
        <f t="shared" ca="1" si="31"/>
        <v>25</v>
      </c>
      <c r="D319" t="str">
        <f t="shared" ca="1" si="39"/>
        <v xml:space="preserve">Gouveia, L. e Couto, P. </v>
      </c>
      <c r="E319" t="str">
        <f t="shared" ca="1" si="34"/>
        <v>2017</v>
      </c>
      <c r="F319" t="str">
        <f t="shared" ca="1" si="35"/>
        <v xml:space="preserve"> *A importância crescente do Capital Humano, 
Intelectual, Social e Territorial e a sua associação ao conhecimento.*</v>
      </c>
      <c r="G319" s="3">
        <f t="shared" ca="1" si="36"/>
        <v>30</v>
      </c>
      <c r="H319" s="2">
        <f t="shared" ca="1" si="37"/>
        <v>146</v>
      </c>
      <c r="I319" t="e">
        <f t="shared" ca="1" si="38"/>
        <v>#VALUE!</v>
      </c>
      <c r="J319" s="3" t="e">
        <f t="shared" ca="1" si="40"/>
        <v>#VALUE!</v>
      </c>
      <c r="K319" t="str">
        <f t="shared" ca="1" si="32"/>
        <v xml:space="preserve">Gouveia, L. e Couto, P. </v>
      </c>
      <c r="L319" t="str">
        <f t="shared" ca="1" si="33"/>
        <v xml:space="preserve">Quental, C. </v>
      </c>
    </row>
    <row r="320" spans="1:12" ht="15.75" customHeight="1">
      <c r="A320" t="str">
        <f ca="1">IFERROR(__xludf.DUMMYFUNCTION("""COMPUTED_VALUE"""),"*2**4*")</f>
        <v>*2**4*</v>
      </c>
      <c r="B320" t="str">
        <f ca="1">IFERROR(__xludf.DUMMYFUNCTION("""COMPUTED_VALUE"""),"Gouveia, L. e Morgado, R. (2017). *A importância das Ciberarmas no Contexto 
da Ciberdefesa de um Pequeno Estado.* Atlântico Business Summit. Edificio 
Heliântia, Valadares. Vila Nova de Gaia. 28 de Setembro.  
[ handle ]")</f>
        <v>Gouveia, L. e Morgado, R. (2017). *A importância das Ciberarmas no Contexto 
da Ciberdefesa de um Pequeno Estado.* Atlântico Business Summit. Edificio 
Heliântia, Valadares. Vila Nova de Gaia. 28 de Setembro.  
[ handle ]</v>
      </c>
      <c r="C320" s="2">
        <f t="shared" ca="1" si="31"/>
        <v>27</v>
      </c>
      <c r="D320" t="str">
        <f t="shared" ca="1" si="39"/>
        <v xml:space="preserve">Gouveia, L. e Morgado, R. </v>
      </c>
      <c r="E320" t="str">
        <f t="shared" ca="1" si="34"/>
        <v>2017</v>
      </c>
      <c r="F320" t="str">
        <f t="shared" ca="1" si="35"/>
        <v xml:space="preserve"> *A importância das Ciberarmas no Contexto 
da Ciberdefesa de um Pequeno Estado.*</v>
      </c>
      <c r="G320" s="3">
        <f t="shared" ca="1" si="36"/>
        <v>32</v>
      </c>
      <c r="H320" s="2">
        <f t="shared" ca="1" si="37"/>
        <v>113</v>
      </c>
      <c r="I320" t="e">
        <f t="shared" ca="1" si="38"/>
        <v>#VALUE!</v>
      </c>
      <c r="J320" s="3" t="e">
        <f t="shared" ca="1" si="40"/>
        <v>#VALUE!</v>
      </c>
      <c r="K320" t="str">
        <f t="shared" ca="1" si="32"/>
        <v xml:space="preserve">Gouveia, L. e Morgado, R. </v>
      </c>
      <c r="L320" t="str">
        <f t="shared" ca="1" si="33"/>
        <v xml:space="preserve">Quental, C. </v>
      </c>
    </row>
    <row r="321" spans="1:13" ht="15.75" customHeight="1">
      <c r="A321" t="str">
        <f ca="1">IFERROR(__xludf.DUMMYFUNCTION("""COMPUTED_VALUE"""),"*2**3*")</f>
        <v>*2**3*</v>
      </c>
      <c r="B321" t="str">
        <f ca="1">IFERROR(__xludf.DUMMYFUNCTION("""COMPUTED_VALUE"""),"Gouveia, L. e Pinto, C. (2017).*Contributo para a discussão sobre a 
contabilização do Conhecimento e do Capital Humano nas Organizações.* 
Atlântico Business Summit. Edificio Heliântia, Valadares. Vila Nova de 
Gaia. 28 de Setembro.  
[ handle ]")</f>
        <v>Gouveia, L. e Pinto, C. (2017).*Contributo para a discussão sobre a 
contabilização do Conhecimento e do Capital Humano nas Organizações.* 
Atlântico Business Summit. Edificio Heliântia, Valadares. Vila Nova de 
Gaia. 28 de Setembro.  
[ handle ]</v>
      </c>
      <c r="C321" s="2">
        <f t="shared" ca="1" si="31"/>
        <v>25</v>
      </c>
      <c r="D321" t="str">
        <f t="shared" ca="1" si="39"/>
        <v xml:space="preserve">Gouveia, L. e Pinto, C. </v>
      </c>
      <c r="E321" t="str">
        <f t="shared" ca="1" si="34"/>
        <v>2017</v>
      </c>
      <c r="F321" t="str">
        <f t="shared" ca="1" si="35"/>
        <v>*Contributo para a discussão sobre a 
contabilização do Conhecimento e do Capital Humano nas Organizações.*</v>
      </c>
      <c r="G321" s="3">
        <f t="shared" ca="1" si="36"/>
        <v>30</v>
      </c>
      <c r="H321" s="2">
        <f t="shared" ca="1" si="37"/>
        <v>137</v>
      </c>
      <c r="I321" t="e">
        <f t="shared" ca="1" si="38"/>
        <v>#VALUE!</v>
      </c>
      <c r="J321" s="3" t="e">
        <f t="shared" ca="1" si="40"/>
        <v>#VALUE!</v>
      </c>
      <c r="K321" t="str">
        <f t="shared" ca="1" si="32"/>
        <v xml:space="preserve">Gouveia, L. e Pinto, C. </v>
      </c>
      <c r="L321" t="str">
        <f t="shared" ca="1" si="33"/>
        <v xml:space="preserve">Quental, C. </v>
      </c>
    </row>
    <row r="322" spans="1:13" ht="15.75" customHeight="1">
      <c r="A322" t="str">
        <f ca="1">IFERROR(__xludf.DUMMYFUNCTION("""COMPUTED_VALUE"""),"*2**2*")</f>
        <v>*2**2*</v>
      </c>
      <c r="B322" t="str">
        <f ca="1">IFERROR(__xludf.DUMMYFUNCTION("""COMPUTED_VALUE"""),"Martins, O. e Gouveia, L. (2015). A promoção da infoliteracia como 
estratégia de autonomia numa biblioteca do ensino superior. 12º Congresso 
Nacional BAD Bibliotecários, Arquivistas e Documentalistas. 21 a 23 de 
Outubro. Évora.
[ apresentação | paper ]")</f>
        <v>Martins, O. e Gouveia, L. (2015). A promoção da infoliteracia como 
estratégia de autonomia numa biblioteca do ensino superior. 12º Congresso 
Nacional BAD Bibliotecários, Arquivistas e Documentalistas. 21 a 23 de 
Outubro. Évora.
[ apresentação | paper ]</v>
      </c>
      <c r="C322" s="2">
        <f t="shared" ca="1" si="31"/>
        <v>27</v>
      </c>
      <c r="D322" t="str">
        <f t="shared" ca="1" si="39"/>
        <v xml:space="preserve">Martins, O. e Gouveia, L. </v>
      </c>
      <c r="E322" t="str">
        <f t="shared" ca="1" si="34"/>
        <v>2015</v>
      </c>
      <c r="F322" t="str">
        <f t="shared" ca="1" si="35"/>
        <v xml:space="preserve"> A promoção da infoliteracia como 
estratégia de autonomia numa biblioteca do ensino superior. </v>
      </c>
      <c r="G322" s="3">
        <f t="shared" ca="1" si="36"/>
        <v>32</v>
      </c>
      <c r="H322" s="2">
        <f t="shared" ca="1" si="37"/>
        <v>127</v>
      </c>
      <c r="I322" t="e">
        <f t="shared" ca="1" si="38"/>
        <v>#VALUE!</v>
      </c>
      <c r="J322" s="3" t="e">
        <f t="shared" ca="1" si="40"/>
        <v>#VALUE!</v>
      </c>
      <c r="K322" t="str">
        <f t="shared" ca="1" si="32"/>
        <v xml:space="preserve">Martins, O. e Gouveia, L. </v>
      </c>
      <c r="L322" t="str">
        <f t="shared" ca="1" si="33"/>
        <v xml:space="preserve">Quental, C. </v>
      </c>
    </row>
    <row r="323" spans="1:13" ht="15.75" customHeight="1">
      <c r="A323">
        <f ca="1">IFERROR(__xludf.DUMMYFUNCTION("""COMPUTED_VALUE"""),21)</f>
        <v>21</v>
      </c>
      <c r="B323" t="str">
        <f ca="1">IFERROR(__xludf.DUMMYFUNCTION("""COMPUTED_VALUE"""),"Leal, J. e Gouveia, L. (2015). MOOC: Qual o papel na reconceptualização da 
Universidade. 2º Congresso Internacional de Psicologia, Educação e Cultura. 
IspGaya, Vila Nova de Gaia. 18 de Julho. In Almeida, L.; Araújo, A. Cruz, 
J.; Morais, J. e Simões, M."&amp;" (org.) (2015). Atas do 2º Congresso 
Internacional “Psicologia, Educação e Cultura”. Vila Nova de Gaia: Edições 
ISPGaya. ISBN 978-972-8182-17-5, pp 197-206.
[ presentation | paper ]")</f>
        <v>Leal, J. e Gouveia, L. (2015). MOOC: Qual o papel na reconceptualização da 
Universidade. 2º Congresso Internacional de Psicologia, Educação e Cultura. 
IspGaya, Vila Nova de Gaia. 18 de Julho. In Almeida, L.; Araújo, A. Cruz, 
J.; Morais, J. e Simões, M. (org.) (2015). Atas do 2º Congresso 
Internacional “Psicologia, Educação e Cultura”. Vila Nova de Gaia: Edições 
ISPGaya. ISBN 978-972-8182-17-5, pp 197-206.
[ presentation | paper ]</v>
      </c>
      <c r="C323" s="2">
        <f t="shared" ca="1" si="31"/>
        <v>24</v>
      </c>
      <c r="D323" t="str">
        <f t="shared" ca="1" si="39"/>
        <v xml:space="preserve">Leal, J. e Gouveia, L. </v>
      </c>
      <c r="E323" t="str">
        <f t="shared" ref="E323:E386" ca="1" si="41">MID(B323,C323+1,4)</f>
        <v>2015</v>
      </c>
      <c r="F323" t="str">
        <f t="shared" ref="F323:F386" ca="1" si="42">MID(B323,G323+2,H323-G323)</f>
        <v xml:space="preserve"> MOOC: Qual o papel na reconceptualização da 
Universidade. </v>
      </c>
      <c r="G323" s="3">
        <f t="shared" ref="G323:G386" ca="1" si="43">FIND(").",B323)</f>
        <v>29</v>
      </c>
      <c r="H323" s="2">
        <f t="shared" ref="H323:H386" ca="1" si="44">FIND(".",B323,G323+2)</f>
        <v>89</v>
      </c>
      <c r="I323" t="str">
        <f t="shared" ref="I323:I386" ca="1" si="45">MID(B323,H323+2,J323-H323)</f>
        <v>2º Congresso Internacional de Psicologia, Educação e Cultura. 
IspGaya, Vila Nova de Gaia. 18 de Julho. In Almeida, L.; Araújo, A. Cruz, 
J.; Morais, J. e Simões, M. (org.) (2015).</v>
      </c>
      <c r="J323" s="3">
        <f t="shared" ca="1" si="40"/>
        <v>269</v>
      </c>
      <c r="K323" t="str">
        <f t="shared" ca="1" si="32"/>
        <v xml:space="preserve">Leal, J. e Gouveia, L. </v>
      </c>
      <c r="L323" t="str">
        <f t="shared" ca="1" si="33"/>
        <v xml:space="preserve">Quental, C. </v>
      </c>
    </row>
    <row r="324" spans="1:13" ht="15.75" customHeight="1">
      <c r="A324">
        <f ca="1">IFERROR(__xludf.DUMMYFUNCTION("""COMPUTED_VALUE"""),20)</f>
        <v>20</v>
      </c>
      <c r="B324" t="str">
        <f ca="1">IFERROR(__xludf.DUMMYFUNCTION("""COMPUTED_VALUE"""),"Robalo, A. e Gouveia, L. (2014). O contributo das plataformas educativas no 
ensino e formação de professores em Angola: Experiência piloto no ISCED - 
Huambo. Colóquio “Qualidade de Ensino e a formação de professores em 
Angola”. ISCED. 4 e 5 Novembro. H"&amp;"uambo, Angola.
[ handle ]")</f>
        <v>Robalo, A. e Gouveia, L. (2014). O contributo das plataformas educativas no 
ensino e formação de professores em Angola: Experiência piloto no ISCED - 
Huambo. Colóquio “Qualidade de Ensino e a formação de professores em 
Angola”. ISCED. 4 e 5 Novembro. Huambo, Angola.
[ handle ]</v>
      </c>
      <c r="C324" s="2">
        <f t="shared" ca="1" si="31"/>
        <v>26</v>
      </c>
      <c r="D324" t="str">
        <f t="shared" ref="D324:D387" ca="1" si="46">LEFT(B324,FIND("(",B324)-1)</f>
        <v xml:space="preserve">Robalo, A. e Gouveia, L. </v>
      </c>
      <c r="E324" t="str">
        <f t="shared" ca="1" si="41"/>
        <v>2014</v>
      </c>
      <c r="F324" t="str">
        <f t="shared" ca="1" si="42"/>
        <v xml:space="preserve"> O contributo das plataformas educativas no 
ensino e formação de professores em Angola: Experiência piloto no ISCED - 
Huambo. </v>
      </c>
      <c r="G324" s="3">
        <f t="shared" ca="1" si="43"/>
        <v>31</v>
      </c>
      <c r="H324" s="2">
        <f t="shared" ca="1" si="44"/>
        <v>159</v>
      </c>
      <c r="I324" t="e">
        <f t="shared" ca="1" si="45"/>
        <v>#VALUE!</v>
      </c>
      <c r="J324" s="3" t="e">
        <f t="shared" ref="J324:J387" ca="1" si="47">FIND(").",B324,H324+1)</f>
        <v>#VALUE!</v>
      </c>
      <c r="K324" t="str">
        <f t="shared" ca="1" si="32"/>
        <v xml:space="preserve">Robalo, A. e Gouveia, L. </v>
      </c>
      <c r="L324" t="str">
        <f t="shared" ca="1" si="33"/>
        <v xml:space="preserve">Quental, C. </v>
      </c>
    </row>
    <row r="325" spans="1:13" ht="15.75" customHeight="1">
      <c r="A325">
        <f ca="1">IFERROR(__xludf.DUMMYFUNCTION("""COMPUTED_VALUE"""),19)</f>
        <v>19</v>
      </c>
      <c r="B325" t="str">
        <f ca="1">IFERROR(__xludf.DUMMYFUNCTION("""COMPUTED_VALUE"""),"Gouveia, L. (2014). O Excesso de Informação e as suas implicações para 
indivíduos e organizações. 10º Congresso Nacional de Psicologia da Saúde. 
Universidade Fernando Pessoa. 6 a 8 de Fevereiro.
[ apresentação ]")</f>
        <v>Gouveia, L. (2014). O Excesso de Informação e as suas implicações para 
indivíduos e organizações. 10º Congresso Nacional de Psicologia da Saúde. 
Universidade Fernando Pessoa. 6 a 8 de Fevereiro.
[ apresentação ]</v>
      </c>
      <c r="C325" s="2">
        <f t="shared" ca="1" si="31"/>
        <v>13</v>
      </c>
      <c r="D325" t="str">
        <f t="shared" ca="1" si="46"/>
        <v xml:space="preserve">Gouveia, L. </v>
      </c>
      <c r="E325" t="str">
        <f t="shared" ca="1" si="41"/>
        <v>2014</v>
      </c>
      <c r="F325" t="str">
        <f t="shared" ca="1" si="42"/>
        <v xml:space="preserve"> O Excesso de Informação e as suas implicações para 
indivíduos e organizações. </v>
      </c>
      <c r="G325" s="3">
        <f t="shared" ca="1" si="43"/>
        <v>18</v>
      </c>
      <c r="H325" s="2">
        <f t="shared" ca="1" si="44"/>
        <v>98</v>
      </c>
      <c r="I325" t="e">
        <f t="shared" ca="1" si="45"/>
        <v>#VALUE!</v>
      </c>
      <c r="J325" s="3" t="e">
        <f t="shared" ca="1" si="47"/>
        <v>#VALUE!</v>
      </c>
      <c r="K325" t="str">
        <f t="shared" ca="1" si="32"/>
        <v xml:space="preserve">Gouveia, L. </v>
      </c>
      <c r="L325" t="str">
        <f t="shared" ca="1" si="33"/>
        <v xml:space="preserve">Quental, C. </v>
      </c>
    </row>
    <row r="326" spans="1:13" ht="15.75" customHeight="1">
      <c r="A326">
        <f ca="1">IFERROR(__xludf.DUMMYFUNCTION("""COMPUTED_VALUE"""),18)</f>
        <v>18</v>
      </c>
      <c r="B326" t="str">
        <f ca="1">IFERROR(__xludf.DUMMYFUNCTION("""COMPUTED_VALUE"""),"Cardoso, T. e Gouveia, L. (2012). As redes sociais e a Web 2.0 nas 
Bibliotecas Públicas do Distrito de Aveiro. X Congresso da LUSOCOM - 
Comunicação , Cultura e Desenvolvimento. Instituto Superior de Ciências 
Sociais e Políticas. 27-29 de Setembro de 20"&amp;"12. Lisboa, Portugal.
[ slideshare ]")</f>
        <v>Cardoso, T. e Gouveia, L. (2012). As redes sociais e a Web 2.0 nas 
Bibliotecas Públicas do Distrito de Aveiro. X Congresso da LUSOCOM - 
Comunicação , Cultura e Desenvolvimento. Instituto Superior de Ciências 
Sociais e Políticas. 27-29 de Setembro de 2012. Lisboa, Portugal.
[ slideshare ]</v>
      </c>
      <c r="C326" s="2">
        <f t="shared" ca="1" si="31"/>
        <v>27</v>
      </c>
      <c r="D326" t="str">
        <f t="shared" ca="1" si="46"/>
        <v xml:space="preserve">Cardoso, T. e Gouveia, L. </v>
      </c>
      <c r="E326" t="str">
        <f t="shared" ca="1" si="41"/>
        <v>2012</v>
      </c>
      <c r="F326" t="str">
        <f t="shared" ca="1" si="42"/>
        <v xml:space="preserve"> As redes sociais e a Web 2.0</v>
      </c>
      <c r="G326" s="3">
        <f t="shared" ca="1" si="43"/>
        <v>32</v>
      </c>
      <c r="H326" s="2">
        <f t="shared" ca="1" si="44"/>
        <v>61</v>
      </c>
      <c r="I326" t="e">
        <f t="shared" ca="1" si="45"/>
        <v>#VALUE!</v>
      </c>
      <c r="J326" s="3" t="e">
        <f t="shared" ca="1" si="47"/>
        <v>#VALUE!</v>
      </c>
      <c r="K326" t="str">
        <f t="shared" ca="1" si="32"/>
        <v xml:space="preserve">Cardoso, T. e Gouveia, L. </v>
      </c>
      <c r="L326" t="str">
        <f t="shared" ca="1" si="33"/>
        <v xml:space="preserve">Quental, C. </v>
      </c>
    </row>
    <row r="327" spans="1:13" ht="15.75" customHeight="1">
      <c r="A327">
        <f ca="1">IFERROR(__xludf.DUMMYFUNCTION("""COMPUTED_VALUE"""),17)</f>
        <v>17</v>
      </c>
      <c r="B327" t="str">
        <f ca="1">IFERROR(__xludf.DUMMYFUNCTION("""COMPUTED_VALUE"""),"Gouveia, L. (2010). O digital e as redes como mecanismos de inovação na 
participação pública. De Re Publica. Colóquio evocativo dos 100 anos de 
República em Portugal. Universidade Fernando Pessoa. 3 de Novembro. Porto, 
Portugal.
apresentação [ slidesha"&amp;"re ]")</f>
        <v>Gouveia, L. (2010). O digital e as redes como mecanismos de inovação na 
participação pública. De Re Publica. Colóquio evocativo dos 100 anos de 
República em Portugal. Universidade Fernando Pessoa. 3 de Novembro. Porto, 
Portugal.
apresentação [ slideshare ]</v>
      </c>
      <c r="C327" s="2">
        <f t="shared" ca="1" si="31"/>
        <v>13</v>
      </c>
      <c r="D327" t="str">
        <f t="shared" ca="1" si="46"/>
        <v xml:space="preserve">Gouveia, L. </v>
      </c>
      <c r="E327" t="str">
        <f t="shared" ca="1" si="41"/>
        <v>2010</v>
      </c>
      <c r="F327" t="str">
        <f t="shared" ca="1" si="42"/>
        <v xml:space="preserve"> O digital e as redes como mecanismos de inovação na 
participação pública. </v>
      </c>
      <c r="G327" s="3">
        <f t="shared" ca="1" si="43"/>
        <v>18</v>
      </c>
      <c r="H327" s="2">
        <f t="shared" ca="1" si="44"/>
        <v>94</v>
      </c>
      <c r="I327" t="e">
        <f t="shared" ca="1" si="45"/>
        <v>#VALUE!</v>
      </c>
      <c r="J327" s="3" t="e">
        <f t="shared" ca="1" si="47"/>
        <v>#VALUE!</v>
      </c>
      <c r="K327" t="str">
        <f t="shared" ca="1" si="32"/>
        <v xml:space="preserve">Gouveia, L. </v>
      </c>
      <c r="L327" t="str">
        <f t="shared" ca="1" si="33"/>
        <v xml:space="preserve">Quental, C. </v>
      </c>
    </row>
    <row r="328" spans="1:13" ht="15.75" customHeight="1">
      <c r="A328">
        <f ca="1">IFERROR(__xludf.DUMMYFUNCTION("""COMPUTED_VALUE"""),16)</f>
        <v>16</v>
      </c>
      <c r="B328" t="str">
        <f ca="1">IFERROR(__xludf.DUMMYFUNCTION("""COMPUTED_VALUE"""),"Gaio, S.; Gouveia, L. e Gouveia, J. (2010). *A gestão da marca territorial 
sob uma abordagem colaborativa: notas sobre os casos de Cascais, Guimarães, 
Paços de Ferreira e Ponte de Lima*. V Workshop da APDR. Casos de 
Desenvolvimento Regional. Faculdade "&amp;"de Economia da Universidade de Coimbra. 
8 de Fevereiro. Coimbra, Portugal.
apresentação [ slideshare ]")</f>
        <v>Gaio, S.; Gouveia, L. e Gouveia, J. (2010). *A gestão da marca territorial 
sob uma abordagem colaborativa: notas sobre os casos de Cascais, Guimarães, 
Paços de Ferreira e Ponte de Lima*. V Workshop da APDR. Casos de 
Desenvolvimento Regional. Faculdade de Economia da Universidade de Coimbra. 
8 de Fevereiro. Coimbra, Portugal.
apresentação [ slideshare ]</v>
      </c>
      <c r="C328" s="2">
        <f t="shared" ca="1" si="31"/>
        <v>37</v>
      </c>
      <c r="D328" t="str">
        <f t="shared" ca="1" si="46"/>
        <v xml:space="preserve">Gaio, S.; Gouveia, L. e Gouveia, J. </v>
      </c>
      <c r="E328" t="str">
        <f t="shared" ca="1" si="41"/>
        <v>2010</v>
      </c>
      <c r="F328" t="str">
        <f t="shared" ca="1" si="42"/>
        <v xml:space="preserve"> *A gestão da marca territorial 
sob uma abordagem colaborativa: notas sobre os casos de Cascais, Guimarães, 
Paços de Ferreira e Ponte de Lima*. </v>
      </c>
      <c r="G328" s="3">
        <f t="shared" ca="1" si="43"/>
        <v>42</v>
      </c>
      <c r="H328" s="2">
        <f t="shared" ca="1" si="44"/>
        <v>188</v>
      </c>
      <c r="I328" t="e">
        <f t="shared" ca="1" si="45"/>
        <v>#VALUE!</v>
      </c>
      <c r="J328" s="3" t="e">
        <f t="shared" ca="1" si="47"/>
        <v>#VALUE!</v>
      </c>
      <c r="K328" t="str">
        <f t="shared" ca="1" si="32"/>
        <v xml:space="preserve">Gaio, S.; Gouveia, L. e Gouveia, J. </v>
      </c>
      <c r="L328" t="str">
        <f t="shared" ca="1" si="33"/>
        <v xml:space="preserve">Quental, C. </v>
      </c>
      <c r="M328" t="str">
        <f ca="1">IFERROR(__xludf.DUMMYFUNCTION("""COMPUTED_VALUE""")," Gouveia, L. e Gouveia, J. ")</f>
        <v xml:space="preserve"> Gouveia, L. e Gouveia, J. </v>
      </c>
    </row>
    <row r="329" spans="1:13" ht="15.75" customHeight="1">
      <c r="A329">
        <f ca="1">IFERROR(__xludf.DUMMYFUNCTION("""COMPUTED_VALUE"""),15)</f>
        <v>15</v>
      </c>
      <c r="B329" t="str">
        <f ca="1">IFERROR(__xludf.DUMMYFUNCTION("""COMPUTED_VALUE"""),"Gaio, S.; Gouveia, L. e Gouveia, J. (2008). *Network Based Branding: Um 
Modelo Colaborativo para a Edificação de Marcas Territoriais. 14º* 
Congresso da APDR. Desenvolvimento, Administração e Governança Local. 
Instituto Politécnico de Tomar. 4 e 5 de Ju"&amp;"lho de 2008. Tomar, Portugal. 
artigo [ pdf(188KB) ]")</f>
        <v>Gaio, S.; Gouveia, L. e Gouveia, J. (2008). *Network Based Branding: Um 
Modelo Colaborativo para a Edificação de Marcas Territoriais. 14º* 
Congresso da APDR. Desenvolvimento, Administração e Governança Local. 
Instituto Politécnico de Tomar. 4 e 5 de Julho de 2008. Tomar, Portugal. 
artigo [ pdf(188KB) ]</v>
      </c>
      <c r="C329" s="2">
        <f t="shared" ca="1" si="31"/>
        <v>37</v>
      </c>
      <c r="D329" t="str">
        <f t="shared" ca="1" si="46"/>
        <v xml:space="preserve">Gaio, S.; Gouveia, L. e Gouveia, J. </v>
      </c>
      <c r="E329" t="str">
        <f t="shared" ca="1" si="41"/>
        <v>2008</v>
      </c>
      <c r="F329" t="str">
        <f t="shared" ca="1" si="42"/>
        <v xml:space="preserve"> *Network Based Branding: Um 
Modelo Colaborativo para a Edificação de Marcas Territoriais. </v>
      </c>
      <c r="G329" s="3">
        <f t="shared" ca="1" si="43"/>
        <v>42</v>
      </c>
      <c r="H329" s="2">
        <f t="shared" ca="1" si="44"/>
        <v>134</v>
      </c>
      <c r="I329" t="e">
        <f t="shared" ca="1" si="45"/>
        <v>#VALUE!</v>
      </c>
      <c r="J329" s="3" t="e">
        <f t="shared" ca="1" si="47"/>
        <v>#VALUE!</v>
      </c>
      <c r="K329" t="str">
        <f t="shared" ca="1" si="32"/>
        <v xml:space="preserve">Gaio, S.; Gouveia, L. e Gouveia, J. </v>
      </c>
      <c r="L329" t="str">
        <f t="shared" ca="1" si="33"/>
        <v xml:space="preserve">Quental, C. </v>
      </c>
      <c r="M329" t="str">
        <f ca="1">IFERROR(__xludf.DUMMYFUNCTION("""COMPUTED_VALUE""")," Gouveia, L. e Gouveia, J. ")</f>
        <v xml:space="preserve"> Gouveia, L. e Gouveia, J. </v>
      </c>
    </row>
    <row r="330" spans="1:13" ht="15.75" customHeight="1">
      <c r="A330">
        <f ca="1">IFERROR(__xludf.DUMMYFUNCTION("""COMPUTED_VALUE"""),14)</f>
        <v>14</v>
      </c>
      <c r="B330" t="str">
        <f ca="1">IFERROR(__xludf.DUMMYFUNCTION("""COMPUTED_VALUE"""),"Gouveia, L. e Gouveia, J. (2008). *Território e oportunidades de 
desenvolvimento com recurso a práticas de local e-government. 14º* 
Congresso da APDR. Desenvolvimento, Administração e Governança Local. 
Instituto Politécnico de Tomar. 4 e 5 de Julho de "&amp;"2008. Tomar, portugal.
artigo [ pdf (67KB) ]")</f>
        <v>Gouveia, L. e Gouveia, J. (2008). *Território e oportunidades de 
desenvolvimento com recurso a práticas de local e-government. 14º* 
Congresso da APDR. Desenvolvimento, Administração e Governança Local. 
Instituto Politécnico de Tomar. 4 e 5 de Julho de 2008. Tomar, portugal.
artigo [ pdf (67KB) ]</v>
      </c>
      <c r="C330" s="2">
        <f t="shared" ca="1" si="31"/>
        <v>27</v>
      </c>
      <c r="D330" t="str">
        <f t="shared" ca="1" si="46"/>
        <v xml:space="preserve">Gouveia, L. e Gouveia, J. </v>
      </c>
      <c r="E330" t="str">
        <f t="shared" ca="1" si="41"/>
        <v>2008</v>
      </c>
      <c r="F330" t="str">
        <f t="shared" ca="1" si="42"/>
        <v xml:space="preserve"> *Território e oportunidades de 
desenvolvimento com recurso a práticas de local e-government. </v>
      </c>
      <c r="G330" s="3">
        <f t="shared" ca="1" si="43"/>
        <v>32</v>
      </c>
      <c r="H330" s="2">
        <f t="shared" ca="1" si="44"/>
        <v>127</v>
      </c>
      <c r="I330" t="e">
        <f t="shared" ca="1" si="45"/>
        <v>#VALUE!</v>
      </c>
      <c r="J330" s="3" t="e">
        <f t="shared" ca="1" si="47"/>
        <v>#VALUE!</v>
      </c>
      <c r="K330" t="str">
        <f t="shared" ca="1" si="32"/>
        <v xml:space="preserve">Gouveia, L. e Gouveia, J. </v>
      </c>
      <c r="L330" t="str">
        <f t="shared" ca="1" si="33"/>
        <v xml:space="preserve">Quental, C. </v>
      </c>
    </row>
    <row r="331" spans="1:13" ht="15.75" customHeight="1">
      <c r="A331">
        <f ca="1">IFERROR(__xludf.DUMMYFUNCTION("""COMPUTED_VALUE"""),13)</f>
        <v>13</v>
      </c>
      <c r="B331" t="str">
        <f ca="1">IFERROR(__xludf.DUMMYFUNCTION("""COMPUTED_VALUE"""),"Simões, L. e Gouveia, L. (2008). *Consumer Behaviour of the Millennial 
Generation.* III Jornadas de Publicidade e Comunicação. A Publicidade para 
o consumidor do Séc. XXI. Universidade Fernando Pessoa. 10 de Abril. Porto, 
Portugal. 
paper [ pdf (526KB)"&amp;" ] | presentation [ pdf(422KB) ]")</f>
        <v>Simões, L. e Gouveia, L. (2008). *Consumer Behaviour of the Millennial 
Generation.* III Jornadas de Publicidade e Comunicação. A Publicidade para 
o consumidor do Séc. XXI. Universidade Fernando Pessoa. 10 de Abril. Porto, 
Portugal. 
paper [ pdf (526KB) ] | presentation [ pdf(422KB) ]</v>
      </c>
      <c r="C331" s="2">
        <f t="shared" ca="1" si="31"/>
        <v>26</v>
      </c>
      <c r="D331" t="str">
        <f t="shared" ca="1" si="46"/>
        <v xml:space="preserve">Simões, L. e Gouveia, L. </v>
      </c>
      <c r="E331" t="str">
        <f t="shared" ca="1" si="41"/>
        <v>2008</v>
      </c>
      <c r="F331" t="str">
        <f t="shared" ca="1" si="42"/>
        <v xml:space="preserve"> *Consumer Behaviour of the Millennial 
Generation.*</v>
      </c>
      <c r="G331" s="3">
        <f t="shared" ca="1" si="43"/>
        <v>31</v>
      </c>
      <c r="H331" s="2">
        <f t="shared" ca="1" si="44"/>
        <v>83</v>
      </c>
      <c r="I331" t="e">
        <f t="shared" ca="1" si="45"/>
        <v>#VALUE!</v>
      </c>
      <c r="J331" s="3" t="e">
        <f t="shared" ca="1" si="47"/>
        <v>#VALUE!</v>
      </c>
      <c r="K331" t="str">
        <f t="shared" ca="1" si="32"/>
        <v xml:space="preserve">Simões, L. e Gouveia, L. </v>
      </c>
      <c r="L331" t="str">
        <f t="shared" ca="1" si="33"/>
        <v xml:space="preserve">Quental, C. </v>
      </c>
    </row>
    <row r="332" spans="1:13" ht="15.75" customHeight="1">
      <c r="A332">
        <f ca="1">IFERROR(__xludf.DUMMYFUNCTION("""COMPUTED_VALUE"""),12)</f>
        <v>12</v>
      </c>
      <c r="B332" t="str">
        <f ca="1">IFERROR(__xludf.DUMMYFUNCTION("""COMPUTED_VALUE"""),"Gouveia, L. (2004). *A administração pública local de base electrónica: 
questões e desafios*. 2ª Conferência do Instituto Nacional de 
Administração. INA. 4-5 de Novembro. Lisboa, Portugal.
paper: [ pdf (31KB)]")</f>
        <v>Gouveia, L. (2004). *A administração pública local de base electrónica: 
questões e desafios*. 2ª Conferência do Instituto Nacional de 
Administração. INA. 4-5 de Novembro. Lisboa, Portugal.
paper: [ pdf (31KB)]</v>
      </c>
      <c r="C332" s="2">
        <f t="shared" ca="1" si="31"/>
        <v>13</v>
      </c>
      <c r="D332" t="str">
        <f t="shared" ca="1" si="46"/>
        <v xml:space="preserve">Gouveia, L. </v>
      </c>
      <c r="E332" t="str">
        <f t="shared" ca="1" si="41"/>
        <v>2004</v>
      </c>
      <c r="F332" t="str">
        <f t="shared" ca="1" si="42"/>
        <v xml:space="preserve"> *A administração pública local de base electrónica: 
questões e desafios*. </v>
      </c>
      <c r="G332" s="3">
        <f t="shared" ca="1" si="43"/>
        <v>18</v>
      </c>
      <c r="H332" s="2">
        <f t="shared" ca="1" si="44"/>
        <v>94</v>
      </c>
      <c r="I332" t="e">
        <f t="shared" ca="1" si="45"/>
        <v>#VALUE!</v>
      </c>
      <c r="J332" s="3" t="e">
        <f t="shared" ca="1" si="47"/>
        <v>#VALUE!</v>
      </c>
      <c r="K332" t="str">
        <f t="shared" ca="1" si="32"/>
        <v xml:space="preserve">Gouveia, L. </v>
      </c>
      <c r="L332" t="str">
        <f t="shared" ca="1" si="33"/>
        <v xml:space="preserve">Quental, C. </v>
      </c>
    </row>
    <row r="333" spans="1:13" ht="15.75" customHeight="1">
      <c r="A333">
        <f ca="1">IFERROR(__xludf.DUMMYFUNCTION("""COMPUTED_VALUE"""),11)</f>
        <v>11</v>
      </c>
      <c r="B333" t="str">
        <f ca="1">IFERROR(__xludf.DUMMYFUNCTION("""COMPUTED_VALUE"""),"Xavier, J.; e Gouveia, L. e Gouveia, J. (2003). *Contribuição para a 
definição de Cidade e Região Digital*. 4ª Conferência da Associação 
Portuguesa de Sistemas de Informação. Universidade Portucalense (UPT). 15 
de Outubro. Porto, Portugal. Actas em CD-"&amp;"ROM.")</f>
        <v>Xavier, J.; e Gouveia, L. e Gouveia, J. (2003). *Contribuição para a 
definição de Cidade e Região Digital*. 4ª Conferência da Associação 
Portuguesa de Sistemas de Informação. Universidade Portucalense (UPT). 15 
de Outubro. Porto, Portugal. Actas em CD-ROM.</v>
      </c>
      <c r="C333" s="2">
        <f t="shared" ca="1" si="31"/>
        <v>41</v>
      </c>
      <c r="D333" t="str">
        <f t="shared" ca="1" si="46"/>
        <v xml:space="preserve">Xavier, J.; e Gouveia, L. e Gouveia, J. </v>
      </c>
      <c r="E333" t="str">
        <f t="shared" ca="1" si="41"/>
        <v>2003</v>
      </c>
      <c r="F333" t="str">
        <f t="shared" ca="1" si="42"/>
        <v xml:space="preserve"> *Contribuição para a 
definição de Cidade e Região Digital*. </v>
      </c>
      <c r="G333" s="3">
        <f t="shared" ca="1" si="43"/>
        <v>46</v>
      </c>
      <c r="H333" s="2">
        <f t="shared" ca="1" si="44"/>
        <v>108</v>
      </c>
      <c r="I333" t="str">
        <f t="shared" ca="1" si="45"/>
        <v>4ª Conferência da Associação 
Portuguesa de Sistemas de Informação. Universidade Portucalense (UPT).</v>
      </c>
      <c r="J333" s="3">
        <f t="shared" ca="1" si="47"/>
        <v>208</v>
      </c>
      <c r="K333" t="str">
        <f t="shared" ca="1" si="32"/>
        <v xml:space="preserve">Xavier, J.; e Gouveia, L. e Gouveia, J. </v>
      </c>
      <c r="L333" t="str">
        <f t="shared" ca="1" si="33"/>
        <v xml:space="preserve">Quental, C. </v>
      </c>
      <c r="M333" t="str">
        <f ca="1">IFERROR(__xludf.DUMMYFUNCTION("""COMPUTED_VALUE""")," e Gouveia, L. e Gouveia, J. ")</f>
        <v xml:space="preserve"> e Gouveia, L. e Gouveia, J. </v>
      </c>
    </row>
    <row r="334" spans="1:13" ht="15.75" customHeight="1">
      <c r="A334">
        <f ca="1">IFERROR(__xludf.DUMMYFUNCTION("""COMPUTED_VALUE"""),10)</f>
        <v>10</v>
      </c>
      <c r="B334" t="str">
        <f ca="1">IFERROR(__xludf.DUMMYFUNCTION("""COMPUTED_VALUE"""),"Gouveia, L. e Gouveia, J. (2002). *Connecting the Real and the Virtual 
World: a discussion on measuring Digital Cities impact.* Workshop sobre 
Abordagens Sócio-Técnicas em SI. *3ª* Conferência da Associação Portuguesa 
de Sistemas de Informação. Univers"&amp;"idade de Coimbra.  20-22 Novembro. 
Coimbra, Portugal. Actas em CD-ROM ISBN 972-97548-7-X. 
paper [ pdf(17KB)]")</f>
        <v>Gouveia, L. e Gouveia, J. (2002). *Connecting the Real and the Virtual 
World: a discussion on measuring Digital Cities impact.* Workshop sobre 
Abordagens Sócio-Técnicas em SI. *3ª* Conferência da Associação Portuguesa 
de Sistemas de Informação. Universidade de Coimbra.  20-22 Novembro. 
Coimbra, Portugal. Actas em CD-ROM ISBN 972-97548-7-X. 
paper [ pdf(17KB)]</v>
      </c>
      <c r="C334" s="2">
        <f t="shared" ca="1" si="31"/>
        <v>27</v>
      </c>
      <c r="D334" t="str">
        <f t="shared" ca="1" si="46"/>
        <v xml:space="preserve">Gouveia, L. e Gouveia, J. </v>
      </c>
      <c r="E334" t="str">
        <f t="shared" ca="1" si="41"/>
        <v>2002</v>
      </c>
      <c r="F334" t="str">
        <f t="shared" ca="1" si="42"/>
        <v xml:space="preserve"> *Connecting the Real and the Virtual 
World: a discussion on measuring Digital Cities impact.*</v>
      </c>
      <c r="G334" s="3">
        <f t="shared" ca="1" si="43"/>
        <v>32</v>
      </c>
      <c r="H334" s="2">
        <f t="shared" ca="1" si="44"/>
        <v>127</v>
      </c>
      <c r="I334" t="e">
        <f t="shared" ca="1" si="45"/>
        <v>#VALUE!</v>
      </c>
      <c r="J334" s="3" t="e">
        <f t="shared" ca="1" si="47"/>
        <v>#VALUE!</v>
      </c>
      <c r="K334" t="str">
        <f t="shared" ca="1" si="32"/>
        <v xml:space="preserve">Gouveia, L. e Gouveia, J. </v>
      </c>
      <c r="L334" t="str">
        <f t="shared" ca="1" si="33"/>
        <v xml:space="preserve">Quental, C. </v>
      </c>
    </row>
    <row r="335" spans="1:13" ht="15.75" customHeight="1">
      <c r="A335">
        <f ca="1">IFERROR(__xludf.DUMMYFUNCTION("""COMPUTED_VALUE"""),9)</f>
        <v>9</v>
      </c>
      <c r="B335" t="str">
        <f ca="1">IFERROR(__xludf.DUMMYFUNCTION("""COMPUTED_VALUE"""),"Gouveia, L. (2001). *Virtual Environments and Knowledge Sharing.* 1ª 
Congresso Nacional de Comércio Electrónico - E-Portugal. IST, Taguspark. 11 
e 12 de Outubro. Oeiras, Portugal. 
apresentação [ pdf(295KB)]")</f>
        <v>Gouveia, L. (2001). *Virtual Environments and Knowledge Sharing.* 1ª 
Congresso Nacional de Comércio Electrónico - E-Portugal. IST, Taguspark. 11 
e 12 de Outubro. Oeiras, Portugal. 
apresentação [ pdf(295KB)]</v>
      </c>
      <c r="C335" s="2">
        <f t="shared" ca="1" si="31"/>
        <v>13</v>
      </c>
      <c r="D335" t="str">
        <f t="shared" ca="1" si="46"/>
        <v xml:space="preserve">Gouveia, L. </v>
      </c>
      <c r="E335" t="str">
        <f t="shared" ca="1" si="41"/>
        <v>2001</v>
      </c>
      <c r="F335" t="str">
        <f t="shared" ca="1" si="42"/>
        <v xml:space="preserve"> *Virtual Environments and Knowledge Sharing.*</v>
      </c>
      <c r="G335" s="3">
        <f t="shared" ca="1" si="43"/>
        <v>18</v>
      </c>
      <c r="H335" s="2">
        <f t="shared" ca="1" si="44"/>
        <v>64</v>
      </c>
      <c r="I335" t="e">
        <f t="shared" ca="1" si="45"/>
        <v>#VALUE!</v>
      </c>
      <c r="J335" s="3" t="e">
        <f t="shared" ca="1" si="47"/>
        <v>#VALUE!</v>
      </c>
      <c r="K335" t="str">
        <f t="shared" ca="1" si="32"/>
        <v xml:space="preserve">Gouveia, L. </v>
      </c>
      <c r="L335" t="str">
        <f t="shared" ca="1" si="33"/>
        <v xml:space="preserve">Quental, C. </v>
      </c>
    </row>
    <row r="336" spans="1:13" ht="15.75" customHeight="1">
      <c r="A336">
        <f ca="1">IFERROR(__xludf.DUMMYFUNCTION("""COMPUTED_VALUE"""),8)</f>
        <v>8</v>
      </c>
      <c r="B336" t="str">
        <f ca="1">IFERROR(__xludf.DUMMYFUNCTION("""COMPUTED_VALUE"""),"Gouveia, F. e Gouveia, L. (2001). *O património cultural como um activo.* 
1ª Congresso Nacional de Comércio Electrónico - E-Portugal. IST, Taguspark. 
11 e 12 de Outubro. Oeiras, Portugal.
apresentação [ pdf(59KB)]")</f>
        <v>Gouveia, F. e Gouveia, L. (2001). *O património cultural como um activo.* 
1ª Congresso Nacional de Comércio Electrónico - E-Portugal. IST, Taguspark. 
11 e 12 de Outubro. Oeiras, Portugal.
apresentação [ pdf(59KB)]</v>
      </c>
      <c r="C336" s="2">
        <f t="shared" ca="1" si="31"/>
        <v>27</v>
      </c>
      <c r="D336" t="str">
        <f t="shared" ca="1" si="46"/>
        <v xml:space="preserve">Gouveia, F. e Gouveia, L. </v>
      </c>
      <c r="E336" t="str">
        <f t="shared" ca="1" si="41"/>
        <v>2001</v>
      </c>
      <c r="F336" t="str">
        <f t="shared" ca="1" si="42"/>
        <v xml:space="preserve"> *O património cultural como um activo.*</v>
      </c>
      <c r="G336" s="3">
        <f t="shared" ca="1" si="43"/>
        <v>32</v>
      </c>
      <c r="H336" s="2">
        <f t="shared" ca="1" si="44"/>
        <v>72</v>
      </c>
      <c r="I336" t="e">
        <f t="shared" ca="1" si="45"/>
        <v>#VALUE!</v>
      </c>
      <c r="J336" s="3" t="e">
        <f t="shared" ca="1" si="47"/>
        <v>#VALUE!</v>
      </c>
      <c r="K336" t="str">
        <f t="shared" ca="1" si="32"/>
        <v xml:space="preserve">Gouveia, F. e Gouveia, L. </v>
      </c>
      <c r="L336" t="str">
        <f t="shared" ca="1" si="33"/>
        <v xml:space="preserve">Quental, C. </v>
      </c>
    </row>
    <row r="337" spans="1:13" ht="15.75" customHeight="1">
      <c r="A337">
        <f ca="1">IFERROR(__xludf.DUMMYFUNCTION("""COMPUTED_VALUE"""),7)</f>
        <v>7</v>
      </c>
      <c r="B337" t="str">
        <f ca="1">IFERROR(__xludf.DUMMYFUNCTION("""COMPUTED_VALUE"""),"Gouveia, L. e Gouveia, J. (2001). *E-learning: uma perspectiva sobre o 
ensino, formação e treino mediado por computador*. 1ª Congresso Nacional de 
Comércio Electrónico - E-Portugal. IST, Taguspark. 11 e 12 de Outubro. 
Oeiras, Portugal.
apresentação [ p"&amp;"df(20KB)]")</f>
        <v>Gouveia, L. e Gouveia, J. (2001). *E-learning: uma perspectiva sobre o 
ensino, formação e treino mediado por computador*. 1ª Congresso Nacional de 
Comércio Electrónico - E-Portugal. IST, Taguspark. 11 e 12 de Outubro. 
Oeiras, Portugal.
apresentação [ pdf(20KB)]</v>
      </c>
      <c r="C337" s="2">
        <f t="shared" ca="1" si="31"/>
        <v>27</v>
      </c>
      <c r="D337" t="str">
        <f t="shared" ca="1" si="46"/>
        <v xml:space="preserve">Gouveia, L. e Gouveia, J. </v>
      </c>
      <c r="E337" t="str">
        <f t="shared" ca="1" si="41"/>
        <v>2001</v>
      </c>
      <c r="F337" t="str">
        <f t="shared" ca="1" si="42"/>
        <v xml:space="preserve"> *E-learning: uma perspectiva sobre o 
ensino, formação e treino mediado por computador*. </v>
      </c>
      <c r="G337" s="3">
        <f t="shared" ca="1" si="43"/>
        <v>32</v>
      </c>
      <c r="H337" s="2">
        <f t="shared" ca="1" si="44"/>
        <v>122</v>
      </c>
      <c r="I337" t="e">
        <f t="shared" ca="1" si="45"/>
        <v>#VALUE!</v>
      </c>
      <c r="J337" s="3" t="e">
        <f t="shared" ca="1" si="47"/>
        <v>#VALUE!</v>
      </c>
      <c r="K337" t="str">
        <f t="shared" ca="1" si="32"/>
        <v xml:space="preserve">Gouveia, L. e Gouveia, J. </v>
      </c>
      <c r="L337" t="str">
        <f t="shared" ca="1" si="33"/>
        <v xml:space="preserve">Quental, C. </v>
      </c>
    </row>
    <row r="338" spans="1:13" ht="15.75" customHeight="1">
      <c r="A338">
        <f ca="1">IFERROR(__xludf.DUMMYFUNCTION("""COMPUTED_VALUE"""),6)</f>
        <v>6</v>
      </c>
      <c r="B338" t="str">
        <f ca="1">IFERROR(__xludf.DUMMYFUNCTION("""COMPUTED_VALUE"""),"Gouveia, J.; Restivo, F. e Gouveia, L. (1999). *Integração e Convergência 
no Ensino, Formação e Treino. Uma proposta para a criação de redes de 
competência.* 2ª Conferência sobre Redes de Computadores. CRC'99. 
Universidade de Évora. 18 - 19 de Outubro."&amp;" Évora, Portugal.
paper [ pdf (54KB)]")</f>
        <v>Gouveia, J.; Restivo, F. e Gouveia, L. (1999). *Integração e Convergência 
no Ensino, Formação e Treino. Uma proposta para a criação de redes de 
competência.* 2ª Conferência sobre Redes de Computadores. CRC'99. 
Universidade de Évora. 18 - 19 de Outubro. Évora, Portugal.
paper [ pdf (54KB)]</v>
      </c>
      <c r="C338" s="2">
        <f t="shared" ca="1" si="31"/>
        <v>40</v>
      </c>
      <c r="D338" t="str">
        <f t="shared" ca="1" si="46"/>
        <v xml:space="preserve">Gouveia, J.; Restivo, F. e Gouveia, L. </v>
      </c>
      <c r="E338" t="str">
        <f t="shared" ca="1" si="41"/>
        <v>1999</v>
      </c>
      <c r="F338" t="str">
        <f t="shared" ca="1" si="42"/>
        <v xml:space="preserve"> *Integração e Convergência 
no Ensino, Formação e Treino. </v>
      </c>
      <c r="G338" s="3">
        <f t="shared" ca="1" si="43"/>
        <v>45</v>
      </c>
      <c r="H338" s="2">
        <f t="shared" ca="1" si="44"/>
        <v>104</v>
      </c>
      <c r="I338" t="e">
        <f t="shared" ca="1" si="45"/>
        <v>#VALUE!</v>
      </c>
      <c r="J338" s="3" t="e">
        <f t="shared" ca="1" si="47"/>
        <v>#VALUE!</v>
      </c>
      <c r="K338" t="str">
        <f t="shared" ca="1" si="32"/>
        <v xml:space="preserve">Gouveia, J.; Restivo, F. e Gouveia, L. </v>
      </c>
      <c r="L338" t="str">
        <f t="shared" ca="1" si="33"/>
        <v xml:space="preserve">Quental, C. </v>
      </c>
      <c r="M338" t="str">
        <f ca="1">IFERROR(__xludf.DUMMYFUNCTION("""COMPUTED_VALUE""")," Restivo, F. e Gouveia, L. ")</f>
        <v xml:space="preserve"> Restivo, F. e Gouveia, L. </v>
      </c>
    </row>
    <row r="339" spans="1:13" ht="15.75" customHeight="1">
      <c r="A339">
        <f ca="1">IFERROR(__xludf.DUMMYFUNCTION("""COMPUTED_VALUE"""),5)</f>
        <v>5</v>
      </c>
      <c r="B339" t="str">
        <f ca="1">IFERROR(__xludf.DUMMYFUNCTION("""COMPUTED_VALUE"""),"Lamas, D.; Gouveia, F. e Gouveia, L. (1999). *O Símbolo e a Interactividade 
no uso de computadores*. Congresso Internacional Literatura, Cinema e 
Outras Artes. Universidade Fernando Pessoa. 31 de Maio - 2 de Junho. Porto, 
Portugal.
paper [ pdf (26KB) ]")</f>
        <v>Lamas, D.; Gouveia, F. e Gouveia, L. (1999). *O Símbolo e a Interactividade 
no uso de computadores*. Congresso Internacional Literatura, Cinema e 
Outras Artes. Universidade Fernando Pessoa. 31 de Maio - 2 de Junho. Porto, 
Portugal.
paper [ pdf (26KB) ]</v>
      </c>
      <c r="C339" s="2">
        <f t="shared" ca="1" si="31"/>
        <v>38</v>
      </c>
      <c r="D339" t="str">
        <f t="shared" ca="1" si="46"/>
        <v xml:space="preserve">Lamas, D.; Gouveia, F. e Gouveia, L. </v>
      </c>
      <c r="E339" t="str">
        <f t="shared" ca="1" si="41"/>
        <v>1999</v>
      </c>
      <c r="F339" t="str">
        <f t="shared" ca="1" si="42"/>
        <v xml:space="preserve"> *O Símbolo e a Interactividade 
no uso de computadores*. </v>
      </c>
      <c r="G339" s="3">
        <f t="shared" ca="1" si="43"/>
        <v>43</v>
      </c>
      <c r="H339" s="2">
        <f t="shared" ca="1" si="44"/>
        <v>101</v>
      </c>
      <c r="I339" t="e">
        <f t="shared" ca="1" si="45"/>
        <v>#VALUE!</v>
      </c>
      <c r="J339" s="3" t="e">
        <f t="shared" ca="1" si="47"/>
        <v>#VALUE!</v>
      </c>
      <c r="K339" t="str">
        <f t="shared" ca="1" si="32"/>
        <v xml:space="preserve">Lamas, D.; Gouveia, F. e Gouveia, L. </v>
      </c>
      <c r="L339" t="str">
        <f t="shared" ca="1" si="33"/>
        <v xml:space="preserve">Quental, C. </v>
      </c>
      <c r="M339" t="str">
        <f ca="1">IFERROR(__xludf.DUMMYFUNCTION("""COMPUTED_VALUE""")," Gouveia, F. e Gouveia, L. ")</f>
        <v xml:space="preserve"> Gouveia, F. e Gouveia, L. </v>
      </c>
    </row>
    <row r="340" spans="1:13" ht="15.75" customHeight="1">
      <c r="A340">
        <f ca="1">IFERROR(__xludf.DUMMYFUNCTION("""COMPUTED_VALUE"""),4)</f>
        <v>4</v>
      </c>
      <c r="B340" t="str">
        <f ca="1">IFERROR(__xludf.DUMMYFUNCTION("""COMPUTED_VALUE"""),"Gouveia, L. (1998). *Uma proposta para a avaliação e diagnóstico mediada 
por computador.* 1ª Conferência sobre redes de Computadores - CRC'98. 
Universidade de Coimbra. Coimbra, 9 - 10 de Novembro. Porto, Portugal. Actas 
em CD ROM.
texto: [ pdf (60KB) ]"&amp;" transparências: [ pdf (124KB) ]")</f>
        <v>Gouveia, L. (1998). *Uma proposta para a avaliação e diagnóstico mediada 
por computador.* 1ª Conferência sobre redes de Computadores - CRC'98. 
Universidade de Coimbra. Coimbra, 9 - 10 de Novembro. Porto, Portugal. Actas 
em CD ROM.
texto: [ pdf (60KB) ] transparências: [ pdf (124KB) ]</v>
      </c>
      <c r="C340" s="2">
        <f t="shared" ca="1" si="31"/>
        <v>13</v>
      </c>
      <c r="D340" t="str">
        <f t="shared" ca="1" si="46"/>
        <v xml:space="preserve">Gouveia, L. </v>
      </c>
      <c r="E340" t="str">
        <f t="shared" ca="1" si="41"/>
        <v>1998</v>
      </c>
      <c r="F340" t="str">
        <f t="shared" ca="1" si="42"/>
        <v xml:space="preserve"> *Uma proposta para a avaliação e diagnóstico mediada 
por computador.*</v>
      </c>
      <c r="G340" s="3">
        <f t="shared" ca="1" si="43"/>
        <v>18</v>
      </c>
      <c r="H340" s="2">
        <f t="shared" ca="1" si="44"/>
        <v>89</v>
      </c>
      <c r="I340" t="e">
        <f t="shared" ca="1" si="45"/>
        <v>#VALUE!</v>
      </c>
      <c r="J340" s="3" t="e">
        <f t="shared" ca="1" si="47"/>
        <v>#VALUE!</v>
      </c>
      <c r="K340" t="str">
        <f t="shared" ca="1" si="32"/>
        <v xml:space="preserve">Gouveia, L. </v>
      </c>
      <c r="L340" t="str">
        <f t="shared" ca="1" si="33"/>
        <v xml:space="preserve">Quental, C. </v>
      </c>
    </row>
    <row r="341" spans="1:13" ht="15.75" customHeight="1">
      <c r="A341">
        <f ca="1">IFERROR(__xludf.DUMMYFUNCTION("""COMPUTED_VALUE"""),3)</f>
        <v>3</v>
      </c>
      <c r="B341" t="str">
        <f ca="1">IFERROR(__xludf.DUMMYFUNCTION("""COMPUTED_VALUE"""),"Camacho, L. e Gouveia, L. (1998). *Criação de espaços de informação 
interactivos. Ambiente de aprendizagem para a cadeira de Sistemas de 
Informação*. 3º Simpósio de I&amp;D de Software Educativo, Universidade de 
Évora. Évora, 3 - 5 de Setembro. Porto, Port"&amp;"ugal. Actas em CD ROM.
texto: [ pdf (11KB) ] transparências: [ pdf (118KB) ]
versão elaborada: [ pdf (19KB) ]")</f>
        <v>Camacho, L. e Gouveia, L. (1998). *Criação de espaços de informação 
interactivos. Ambiente de aprendizagem para a cadeira de Sistemas de 
Informação*. 3º Simpósio de I&amp;D de Software Educativo, Universidade de 
Évora. Évora, 3 - 5 de Setembro. Porto, Portugal. Actas em CD ROM.
texto: [ pdf (11KB) ] transparências: [ pdf (118KB) ]
versão elaborada: [ pdf (19KB) ]</v>
      </c>
      <c r="C341" s="2">
        <f t="shared" ca="1" si="31"/>
        <v>27</v>
      </c>
      <c r="D341" t="str">
        <f t="shared" ca="1" si="46"/>
        <v xml:space="preserve">Camacho, L. e Gouveia, L. </v>
      </c>
      <c r="E341" t="str">
        <f t="shared" ca="1" si="41"/>
        <v>1998</v>
      </c>
      <c r="F341" t="str">
        <f t="shared" ca="1" si="42"/>
        <v xml:space="preserve"> *Criação de espaços de informação 
interactivos. </v>
      </c>
      <c r="G341" s="3">
        <f t="shared" ca="1" si="43"/>
        <v>32</v>
      </c>
      <c r="H341" s="2">
        <f t="shared" ca="1" si="44"/>
        <v>82</v>
      </c>
      <c r="I341" t="e">
        <f t="shared" ca="1" si="45"/>
        <v>#VALUE!</v>
      </c>
      <c r="J341" s="3" t="e">
        <f t="shared" ca="1" si="47"/>
        <v>#VALUE!</v>
      </c>
      <c r="K341" t="str">
        <f t="shared" ca="1" si="32"/>
        <v xml:space="preserve">Camacho, L. e Gouveia, L. </v>
      </c>
      <c r="L341" t="str">
        <f t="shared" ca="1" si="33"/>
        <v xml:space="preserve">Quental, C. </v>
      </c>
    </row>
    <row r="342" spans="1:13" ht="15.75" customHeight="1">
      <c r="A342">
        <f ca="1">IFERROR(__xludf.DUMMYFUNCTION("""COMPUTED_VALUE"""),2)</f>
        <v>2</v>
      </c>
      <c r="B342" t="str">
        <f ca="1">IFERROR(__xludf.DUMMYFUNCTION("""COMPUTED_VALUE"""),"Gouveia, L. (1998). *Será a Internet/Intranet uma plataforma viável para a 
sala de aula? Lições retiradas do uso de computadores portáteis e da web em 
sala de aula*. 3º Simpósio de I&amp;D de Software Educativo, Universidade de 
Évora. Évora, 3 - 5 de Setem"&amp;"bro.Actas em CD ROM.
texto: [ pdf (58KB) ] transparências: [ pdf (114KB) ]")</f>
        <v>Gouveia, L. (1998). *Será a Internet/Intranet uma plataforma viável para a 
sala de aula? Lições retiradas do uso de computadores portáteis e da web em 
sala de aula*. 3º Simpósio de I&amp;D de Software Educativo, Universidade de 
Évora. Évora, 3 - 5 de Setembro.Actas em CD ROM.
texto: [ pdf (58KB) ] transparências: [ pdf (114KB) ]</v>
      </c>
      <c r="C342" s="2">
        <f t="shared" ca="1" si="31"/>
        <v>13</v>
      </c>
      <c r="D342" t="str">
        <f t="shared" ca="1" si="46"/>
        <v xml:space="preserve">Gouveia, L. </v>
      </c>
      <c r="E342" t="str">
        <f t="shared" ca="1" si="41"/>
        <v>1998</v>
      </c>
      <c r="F342" t="str">
        <f t="shared" ca="1" si="42"/>
        <v xml:space="preserve"> *Será a Internet/Intranet uma plataforma viável para a 
sala de aula? Lições retiradas do uso de computadores portáteis e da web em 
sala de aula*. </v>
      </c>
      <c r="G342" s="3">
        <f t="shared" ca="1" si="43"/>
        <v>18</v>
      </c>
      <c r="H342" s="2">
        <f t="shared" ca="1" si="44"/>
        <v>167</v>
      </c>
      <c r="I342" t="e">
        <f t="shared" ca="1" si="45"/>
        <v>#VALUE!</v>
      </c>
      <c r="J342" s="3" t="e">
        <f t="shared" ca="1" si="47"/>
        <v>#VALUE!</v>
      </c>
      <c r="K342" t="str">
        <f t="shared" ca="1" si="32"/>
        <v xml:space="preserve">Gouveia, L. </v>
      </c>
      <c r="L342" t="str">
        <f t="shared" ca="1" si="33"/>
        <v xml:space="preserve">Quental, C. </v>
      </c>
    </row>
    <row r="343" spans="1:13" ht="15.75" customHeight="1">
      <c r="A343">
        <f ca="1">IFERROR(__xludf.DUMMYFUNCTION("""COMPUTED_VALUE"""),1)</f>
        <v>1</v>
      </c>
      <c r="B343" t="str">
        <f ca="1">IFERROR(__xludf.DUMMYFUNCTION("""COMPUTED_VALUE"""),"Gouveia, L. (1996). *Utilização de Computadores Portáteis em ambiente 
universitário: reflexão inicial e perspectivas*. 1º Simpósio de I&amp;D de 
Software Educativo, Universidade Nova de Lisboa, 7-9 de Outubro. Costa da 
Caparica.Actas em CD ROM.
texto: [ pd"&amp;"f (22KB)] transparências: [ pdf (252KB)]")</f>
        <v>Gouveia, L. (1996). *Utilização de Computadores Portáteis em ambiente 
universitário: reflexão inicial e perspectivas*. 1º Simpósio de I&amp;D de 
Software Educativo, Universidade Nova de Lisboa, 7-9 de Outubro. Costa da 
Caparica.Actas em CD ROM.
texto: [ pdf (22KB)] transparências: [ pdf (252KB)]</v>
      </c>
      <c r="C343" s="2">
        <f t="shared" ca="1" si="31"/>
        <v>13</v>
      </c>
      <c r="D343" t="str">
        <f t="shared" ca="1" si="46"/>
        <v xml:space="preserve">Gouveia, L. </v>
      </c>
      <c r="E343" t="str">
        <f t="shared" ca="1" si="41"/>
        <v>1996</v>
      </c>
      <c r="F343" t="str">
        <f t="shared" ca="1" si="42"/>
        <v xml:space="preserve"> *Utilização de Computadores Portáteis em ambiente 
universitário: reflexão inicial e perspectivas*. </v>
      </c>
      <c r="G343" s="3">
        <f t="shared" ca="1" si="43"/>
        <v>18</v>
      </c>
      <c r="H343" s="2">
        <f t="shared" ca="1" si="44"/>
        <v>119</v>
      </c>
      <c r="I343" t="e">
        <f t="shared" ca="1" si="45"/>
        <v>#VALUE!</v>
      </c>
      <c r="J343" s="3" t="e">
        <f t="shared" ca="1" si="47"/>
        <v>#VALUE!</v>
      </c>
      <c r="K343" t="str">
        <f t="shared" ca="1" si="32"/>
        <v xml:space="preserve">Gouveia, L. </v>
      </c>
      <c r="L343" t="str">
        <f t="shared" ca="1" si="33"/>
        <v xml:space="preserve">Quental, C. </v>
      </c>
    </row>
    <row r="344" spans="1:13" ht="15.75" customHeight="1">
      <c r="A344" t="str">
        <f ca="1">IFERROR(__xludf.DUMMYFUNCTION("""COMPUTED_VALUE"""),"[ top ]")</f>
        <v>[ top ]</v>
      </c>
      <c r="B344" t="str">
        <f ca="1">IFERROR(__xludf.DUMMYFUNCTION("""COMPUTED_VALUE"""),"*Eventos Internacionais* / *International meetings*")</f>
        <v>*Eventos Internacionais* / *International meetings*</v>
      </c>
      <c r="C344" s="2" t="e">
        <f t="shared" ca="1" si="31"/>
        <v>#VALUE!</v>
      </c>
      <c r="D344" t="e">
        <f t="shared" ca="1" si="46"/>
        <v>#VALUE!</v>
      </c>
      <c r="E344" t="e">
        <f t="shared" ca="1" si="41"/>
        <v>#VALUE!</v>
      </c>
      <c r="F344" t="e">
        <f t="shared" ca="1" si="42"/>
        <v>#VALUE!</v>
      </c>
      <c r="G344" s="3" t="e">
        <f t="shared" ca="1" si="43"/>
        <v>#VALUE!</v>
      </c>
      <c r="H344" s="2" t="e">
        <f t="shared" ca="1" si="44"/>
        <v>#VALUE!</v>
      </c>
      <c r="I344" t="e">
        <f t="shared" ca="1" si="45"/>
        <v>#VALUE!</v>
      </c>
      <c r="J344" s="3" t="e">
        <f t="shared" ca="1" si="47"/>
        <v>#VALUE!</v>
      </c>
      <c r="K344" t="e">
        <f t="shared" ca="1" si="32"/>
        <v>#VALUE!</v>
      </c>
      <c r="L344" t="str">
        <f t="shared" ca="1" si="33"/>
        <v xml:space="preserve">Quental, C. </v>
      </c>
    </row>
    <row r="345" spans="1:13" ht="15.75" customHeight="1">
      <c r="A345" t="str">
        <f ca="1">IFERROR(__xludf.DUMMYFUNCTION("""COMPUTED_VALUE"""),"_________")</f>
        <v>_________</v>
      </c>
      <c r="B345" t="str">
        <f ca="1">IFERROR(__xludf.DUMMYFUNCTION("""COMPUTED_VALUE"""),"comunicações / talks")</f>
        <v>comunicações / talks</v>
      </c>
      <c r="C345" s="2" t="e">
        <f t="shared" ca="1" si="31"/>
        <v>#VALUE!</v>
      </c>
      <c r="D345" t="e">
        <f t="shared" ca="1" si="46"/>
        <v>#VALUE!</v>
      </c>
      <c r="E345" t="e">
        <f t="shared" ca="1" si="41"/>
        <v>#VALUE!</v>
      </c>
      <c r="F345" t="e">
        <f t="shared" ca="1" si="42"/>
        <v>#VALUE!</v>
      </c>
      <c r="G345" s="3" t="e">
        <f t="shared" ca="1" si="43"/>
        <v>#VALUE!</v>
      </c>
      <c r="H345" s="2" t="e">
        <f t="shared" ca="1" si="44"/>
        <v>#VALUE!</v>
      </c>
      <c r="I345" t="e">
        <f t="shared" ca="1" si="45"/>
        <v>#VALUE!</v>
      </c>
      <c r="J345" s="3" t="e">
        <f t="shared" ca="1" si="47"/>
        <v>#VALUE!</v>
      </c>
      <c r="K345" t="e">
        <f t="shared" ca="1" si="32"/>
        <v>#VALUE!</v>
      </c>
      <c r="L345" t="str">
        <f t="shared" ca="1" si="33"/>
        <v xml:space="preserve">Quental, C. </v>
      </c>
    </row>
    <row r="346" spans="1:13" ht="15.75" customHeight="1">
      <c r="A346">
        <f ca="1">IFERROR(__xludf.DUMMYFUNCTION("""COMPUTED_VALUE"""),28)</f>
        <v>28</v>
      </c>
      <c r="B346" t="str">
        <f ca="1">IFERROR(__xludf.DUMMYFUNCTION("""COMPUTED_VALUE"""),"Daradkeh, Y. and Gouveia, L. (2018). Getting Mobile: a critical challenge 
for the higher education classroom. The VI International Congress 
TELECOMTREND. Mobile and Wireless Technologies Trends and Prospects. 
October 31.
[ handle ]")</f>
        <v>Daradkeh, Y. and Gouveia, L. (2018). Getting Mobile: a critical challenge 
for the higher education classroom. The VI International Congress 
TELECOMTREND. Mobile and Wireless Technologies Trends and Prospects. 
October 31.
[ handle ]</v>
      </c>
      <c r="C346" s="2">
        <f t="shared" ca="1" si="31"/>
        <v>30</v>
      </c>
      <c r="D346" t="str">
        <f t="shared" ca="1" si="46"/>
        <v xml:space="preserve">Daradkeh, Y. and Gouveia, L. </v>
      </c>
      <c r="E346" t="str">
        <f t="shared" ca="1" si="41"/>
        <v>2018</v>
      </c>
      <c r="F346" t="str">
        <f t="shared" ca="1" si="42"/>
        <v xml:space="preserve"> Getting Mobile: a critical challenge 
for the higher education classroom. </v>
      </c>
      <c r="G346" s="3">
        <f t="shared" ca="1" si="43"/>
        <v>35</v>
      </c>
      <c r="H346" s="2">
        <f t="shared" ca="1" si="44"/>
        <v>110</v>
      </c>
      <c r="I346" t="e">
        <f t="shared" ca="1" si="45"/>
        <v>#VALUE!</v>
      </c>
      <c r="J346" s="3" t="e">
        <f t="shared" ca="1" si="47"/>
        <v>#VALUE!</v>
      </c>
      <c r="K346" t="str">
        <f t="shared" ca="1" si="32"/>
        <v xml:space="preserve">Daradkeh, Y. ; Gouveia, L. </v>
      </c>
      <c r="L346" t="str">
        <f t="shared" ca="1" si="33"/>
        <v xml:space="preserve">Quental, C. </v>
      </c>
      <c r="M346" t="str">
        <f ca="1">IFERROR(__xludf.DUMMYFUNCTION("""COMPUTED_VALUE""")," Gouveia, L. ")</f>
        <v xml:space="preserve"> Gouveia, L. </v>
      </c>
    </row>
    <row r="347" spans="1:13" ht="15.75" customHeight="1">
      <c r="A347">
        <f ca="1">IFERROR(__xludf.DUMMYFUNCTION("""COMPUTED_VALUE"""),27)</f>
        <v>27</v>
      </c>
      <c r="B347" t="str">
        <f ca="1">IFERROR(__xludf.DUMMYFUNCTION("""COMPUTED_VALUE"""),"Gouveia, L. (2018). *Open access and social media: challenges and 
opportunities for information management*. UFP Erasmus Librarian Week. 27 
Junho. Universidade Fernando Pessoa. 
[ handle ]")</f>
        <v>Gouveia, L. (2018). *Open access and social media: challenges and 
opportunities for information management*. UFP Erasmus Librarian Week. 27 
Junho. Universidade Fernando Pessoa. 
[ handle ]</v>
      </c>
      <c r="C347" s="2">
        <f t="shared" ca="1" si="31"/>
        <v>13</v>
      </c>
      <c r="D347" t="str">
        <f t="shared" ca="1" si="46"/>
        <v xml:space="preserve">Gouveia, L. </v>
      </c>
      <c r="E347" t="str">
        <f t="shared" ca="1" si="41"/>
        <v>2018</v>
      </c>
      <c r="F347" t="str">
        <f t="shared" ca="1" si="42"/>
        <v xml:space="preserve"> *Open access and social media: challenges and 
opportunities for information management*. </v>
      </c>
      <c r="G347" s="3">
        <f t="shared" ca="1" si="43"/>
        <v>18</v>
      </c>
      <c r="H347" s="2">
        <f t="shared" ca="1" si="44"/>
        <v>109</v>
      </c>
      <c r="I347" t="e">
        <f t="shared" ca="1" si="45"/>
        <v>#VALUE!</v>
      </c>
      <c r="J347" s="3" t="e">
        <f t="shared" ca="1" si="47"/>
        <v>#VALUE!</v>
      </c>
      <c r="K347" t="str">
        <f t="shared" ca="1" si="32"/>
        <v xml:space="preserve">Gouveia, L. </v>
      </c>
      <c r="L347" t="str">
        <f t="shared" ca="1" si="33"/>
        <v xml:space="preserve">Quental, C. </v>
      </c>
    </row>
    <row r="348" spans="1:13" ht="15.75" customHeight="1">
      <c r="A348">
        <f ca="1">IFERROR(__xludf.DUMMYFUNCTION("""COMPUTED_VALUE"""),26)</f>
        <v>26</v>
      </c>
      <c r="B348" t="str">
        <f ca="1">IFERROR(__xludf.DUMMYFUNCTION("""COMPUTED_VALUE"""),"Gouveia, L. (2017). *Challenges in Higher Education as a Transformative 
Ecosystem for Students and Professors*. Presentation at Kazakh University 
of Economics, Finance and International Trade, Astana, Kazakhstan. 11th 
October. 
[ handle ]")</f>
        <v>Gouveia, L. (2017). *Challenges in Higher Education as a Transformative 
Ecosystem for Students and Professors*. Presentation at Kazakh University 
of Economics, Finance and International Trade, Astana, Kazakhstan. 11th 
October. 
[ handle ]</v>
      </c>
      <c r="C348" s="2">
        <f t="shared" ca="1" si="31"/>
        <v>13</v>
      </c>
      <c r="D348" t="str">
        <f t="shared" ca="1" si="46"/>
        <v xml:space="preserve">Gouveia, L. </v>
      </c>
      <c r="E348" t="str">
        <f t="shared" ca="1" si="41"/>
        <v>2017</v>
      </c>
      <c r="F348" t="str">
        <f t="shared" ca="1" si="42"/>
        <v xml:space="preserve"> *Challenges in Higher Education as a Transformative 
Ecosystem for Students and Professors*. </v>
      </c>
      <c r="G348" s="3">
        <f t="shared" ca="1" si="43"/>
        <v>18</v>
      </c>
      <c r="H348" s="2">
        <f t="shared" ca="1" si="44"/>
        <v>112</v>
      </c>
      <c r="I348" t="e">
        <f t="shared" ca="1" si="45"/>
        <v>#VALUE!</v>
      </c>
      <c r="J348" s="3" t="e">
        <f t="shared" ca="1" si="47"/>
        <v>#VALUE!</v>
      </c>
      <c r="K348" t="str">
        <f t="shared" ca="1" si="32"/>
        <v xml:space="preserve">Gouveia, L. </v>
      </c>
      <c r="L348" t="str">
        <f t="shared" ca="1" si="33"/>
        <v xml:space="preserve">Quental, C. </v>
      </c>
    </row>
    <row r="349" spans="1:13" ht="15.75" customHeight="1">
      <c r="A349">
        <f ca="1">IFERROR(__xludf.DUMMYFUNCTION("""COMPUTED_VALUE"""),25)</f>
        <v>25</v>
      </c>
      <c r="B349" t="str">
        <f ca="1">IFERROR(__xludf.DUMMYFUNCTION("""COMPUTED_VALUE"""),"Gouveia, L. (2017). *Going Open in University &amp; Libraries: challenges and 
applications. UFP's Erasmus Staff Week for Librarians*. 7th June. 
University Fernando Pessoa. 
[ handle ]")</f>
        <v>Gouveia, L. (2017). *Going Open in University &amp; Libraries: challenges and 
applications. UFP's Erasmus Staff Week for Librarians*. 7th June. 
University Fernando Pessoa. 
[ handle ]</v>
      </c>
      <c r="C349" s="2">
        <f t="shared" ca="1" si="31"/>
        <v>13</v>
      </c>
      <c r="D349" t="str">
        <f t="shared" ca="1" si="46"/>
        <v xml:space="preserve">Gouveia, L. </v>
      </c>
      <c r="E349" t="str">
        <f t="shared" ca="1" si="41"/>
        <v>2017</v>
      </c>
      <c r="F349" t="str">
        <f t="shared" ca="1" si="42"/>
        <v xml:space="preserve"> *Going Open in University &amp; Libraries: challenges and 
applications. </v>
      </c>
      <c r="G349" s="3">
        <f t="shared" ca="1" si="43"/>
        <v>18</v>
      </c>
      <c r="H349" s="2">
        <f t="shared" ca="1" si="44"/>
        <v>88</v>
      </c>
      <c r="I349" t="e">
        <f t="shared" ca="1" si="45"/>
        <v>#VALUE!</v>
      </c>
      <c r="J349" s="3" t="e">
        <f t="shared" ca="1" si="47"/>
        <v>#VALUE!</v>
      </c>
      <c r="K349" t="str">
        <f t="shared" ca="1" si="32"/>
        <v xml:space="preserve">Gouveia, L. </v>
      </c>
      <c r="L349" t="str">
        <f t="shared" ca="1" si="33"/>
        <v xml:space="preserve">Quental, C. </v>
      </c>
    </row>
    <row r="350" spans="1:13" ht="15.75" customHeight="1">
      <c r="A350">
        <f ca="1">IFERROR(__xludf.DUMMYFUNCTION("""COMPUTED_VALUE"""),24)</f>
        <v>24</v>
      </c>
      <c r="B350" t="str">
        <f ca="1">IFERROR(__xludf.DUMMYFUNCTION("""COMPUTED_VALUE"""),"Gouveia, L. (2016). *Higher Education in the XXI century: challenging 
everything and also the library role.* Erasmus Librarians Week. University 
Fernando Pessoa. 29th June. 
[ handle ]")</f>
        <v>Gouveia, L. (2016). *Higher Education in the XXI century: challenging 
everything and also the library role.* Erasmus Librarians Week. University 
Fernando Pessoa. 29th June. 
[ handle ]</v>
      </c>
      <c r="C350" s="2">
        <f t="shared" ca="1" si="31"/>
        <v>13</v>
      </c>
      <c r="D350" t="str">
        <f t="shared" ca="1" si="46"/>
        <v xml:space="preserve">Gouveia, L. </v>
      </c>
      <c r="E350" t="str">
        <f t="shared" ca="1" si="41"/>
        <v>2016</v>
      </c>
      <c r="F350" t="str">
        <f t="shared" ca="1" si="42"/>
        <v xml:space="preserve"> *Higher Education in the XXI century: challenging 
everything and also the library role.*</v>
      </c>
      <c r="G350" s="3">
        <f t="shared" ca="1" si="43"/>
        <v>18</v>
      </c>
      <c r="H350" s="2">
        <f t="shared" ca="1" si="44"/>
        <v>108</v>
      </c>
      <c r="I350" t="e">
        <f t="shared" ca="1" si="45"/>
        <v>#VALUE!</v>
      </c>
      <c r="J350" s="3" t="e">
        <f t="shared" ca="1" si="47"/>
        <v>#VALUE!</v>
      </c>
      <c r="K350" t="str">
        <f t="shared" ca="1" si="32"/>
        <v xml:space="preserve">Gouveia, L. </v>
      </c>
      <c r="L350" t="str">
        <f t="shared" ca="1" si="33"/>
        <v xml:space="preserve">Quental, C. </v>
      </c>
    </row>
    <row r="351" spans="1:13" ht="15.75" customHeight="1">
      <c r="A351">
        <f ca="1">IFERROR(__xludf.DUMMYFUNCTION("""COMPUTED_VALUE"""),23)</f>
        <v>23</v>
      </c>
      <c r="B351" t="str">
        <f ca="1">IFERROR(__xludf.DUMMYFUNCTION("""COMPUTED_VALUE"""),"Gouveia, L. (2015). *The  Library and Higher Education: where and how to 
rethink relationships*. 3rd Erasmus Staff Week for Librarians. Workshop on 
5th May. University Fernando Pessoa 
[ handle ]")</f>
        <v>Gouveia, L. (2015). *The  Library and Higher Education: where and how to 
rethink relationships*. 3rd Erasmus Staff Week for Librarians. Workshop on 
5th May. University Fernando Pessoa 
[ handle ]</v>
      </c>
      <c r="C351" s="2">
        <f t="shared" ca="1" si="31"/>
        <v>13</v>
      </c>
      <c r="D351" t="str">
        <f t="shared" ca="1" si="46"/>
        <v xml:space="preserve">Gouveia, L. </v>
      </c>
      <c r="E351" t="str">
        <f t="shared" ca="1" si="41"/>
        <v>2015</v>
      </c>
      <c r="F351" t="str">
        <f t="shared" ca="1" si="42"/>
        <v xml:space="preserve"> *The  Library and Higher Education: where and how to 
rethink relationships*. </v>
      </c>
      <c r="G351" s="3">
        <f t="shared" ca="1" si="43"/>
        <v>18</v>
      </c>
      <c r="H351" s="2">
        <f t="shared" ca="1" si="44"/>
        <v>97</v>
      </c>
      <c r="I351" t="e">
        <f t="shared" ca="1" si="45"/>
        <v>#VALUE!</v>
      </c>
      <c r="J351" s="3" t="e">
        <f t="shared" ca="1" si="47"/>
        <v>#VALUE!</v>
      </c>
      <c r="K351" t="str">
        <f t="shared" ca="1" si="32"/>
        <v xml:space="preserve">Gouveia, L. </v>
      </c>
      <c r="L351" t="str">
        <f t="shared" ca="1" si="33"/>
        <v xml:space="preserve">Quental, C. </v>
      </c>
    </row>
    <row r="352" spans="1:13" ht="15.75" customHeight="1">
      <c r="A352">
        <f ca="1">IFERROR(__xludf.DUMMYFUNCTION("""COMPUTED_VALUE"""),22)</f>
        <v>22</v>
      </c>
      <c r="B352" t="str">
        <f ca="1">IFERROR(__xludf.DUMMYFUNCTION("""COMPUTED_VALUE"""),"Gouveia, L. (2014). *O caso do Gaia Global (2000-2005) um testemunho da 
exploração do digital para benefício do território*. Propor projetos que 
gerem valor. ADRAT - Associação para o Desenvolvimento do Alto Tâmega, 5 de 
Novembro. Chaves.
[ handle ]")</f>
        <v>Gouveia, L. (2014). *O caso do Gaia Global (2000-2005) um testemunho da 
exploração do digital para benefício do território*. Propor projetos que 
gerem valor. ADRAT - Associação para o Desenvolvimento do Alto Tâmega, 5 de 
Novembro. Chaves.
[ handle ]</v>
      </c>
      <c r="C352" s="2">
        <f t="shared" ca="1" si="31"/>
        <v>13</v>
      </c>
      <c r="D352" t="str">
        <f t="shared" ca="1" si="46"/>
        <v xml:space="preserve">Gouveia, L. </v>
      </c>
      <c r="E352" t="str">
        <f t="shared" ca="1" si="41"/>
        <v>2014</v>
      </c>
      <c r="F352" t="str">
        <f t="shared" ca="1" si="42"/>
        <v xml:space="preserve"> *O caso do Gaia Global (2000-2005) um testemunho da 
exploração do digital para benefício do território*. </v>
      </c>
      <c r="G352" s="3">
        <f t="shared" ca="1" si="43"/>
        <v>18</v>
      </c>
      <c r="H352" s="2">
        <f t="shared" ca="1" si="44"/>
        <v>125</v>
      </c>
      <c r="I352" t="e">
        <f t="shared" ca="1" si="45"/>
        <v>#VALUE!</v>
      </c>
      <c r="J352" s="3" t="e">
        <f t="shared" ca="1" si="47"/>
        <v>#VALUE!</v>
      </c>
      <c r="K352" t="str">
        <f t="shared" ca="1" si="32"/>
        <v xml:space="preserve">Gouveia, L. </v>
      </c>
      <c r="L352" t="str">
        <f t="shared" ca="1" si="33"/>
        <v xml:space="preserve">Quental, C. </v>
      </c>
    </row>
    <row r="353" spans="1:16" ht="15.75" customHeight="1">
      <c r="A353">
        <f ca="1">IFERROR(__xludf.DUMMYFUNCTION("""COMPUTED_VALUE"""),21)</f>
        <v>21</v>
      </c>
      <c r="B353" t="str">
        <f ca="1">IFERROR(__xludf.DUMMYFUNCTION("""COMPUTED_VALUE"""),"Gouveia, L. (2013). *Adoção e Inovação em Tecnologias de Informação. Uma 
contribuição para a avaliação de tecnologia com exemplo da computação em 
nuvem*. Apresentação no âmbito da disciplina de Gestão de sistemas de 
Informação. Mestrado em Engenharia I"&amp;"nformática, Universidade de Vigo. 
Ourense. Espanha. 17 de Dezembro.
[ apresentação ]")</f>
        <v>Gouveia, L. (2013). *Adoção e Inovação em Tecnologias de Informação. Uma 
contribuição para a avaliação de tecnologia com exemplo da computação em 
nuvem*. Apresentação no âmbito da disciplina de Gestão de sistemas de 
Informação. Mestrado em Engenharia Informática, Universidade de Vigo. 
Ourense. Espanha. 17 de Dezembro.
[ apresentação ]</v>
      </c>
      <c r="C353" s="2">
        <f t="shared" ca="1" si="31"/>
        <v>13</v>
      </c>
      <c r="D353" t="str">
        <f t="shared" ca="1" si="46"/>
        <v xml:space="preserve">Gouveia, L. </v>
      </c>
      <c r="E353" t="str">
        <f t="shared" ca="1" si="41"/>
        <v>2013</v>
      </c>
      <c r="F353" t="str">
        <f t="shared" ca="1" si="42"/>
        <v xml:space="preserve"> *Adoção e Inovação em Tecnologias de Informação. </v>
      </c>
      <c r="G353" s="3">
        <f t="shared" ca="1" si="43"/>
        <v>18</v>
      </c>
      <c r="H353" s="2">
        <f t="shared" ca="1" si="44"/>
        <v>68</v>
      </c>
      <c r="I353" t="e">
        <f t="shared" ca="1" si="45"/>
        <v>#VALUE!</v>
      </c>
      <c r="J353" s="3" t="e">
        <f t="shared" ca="1" si="47"/>
        <v>#VALUE!</v>
      </c>
      <c r="K353" t="str">
        <f t="shared" ca="1" si="32"/>
        <v xml:space="preserve">Gouveia, L. </v>
      </c>
      <c r="L353" t="str">
        <f t="shared" ca="1" si="33"/>
        <v xml:space="preserve">Quental, C. </v>
      </c>
    </row>
    <row r="354" spans="1:16" ht="15.75" customHeight="1">
      <c r="A354">
        <f ca="1">IFERROR(__xludf.DUMMYFUNCTION("""COMPUTED_VALUE"""),20)</f>
        <v>20</v>
      </c>
      <c r="B354" t="str">
        <f ca="1">IFERROR(__xludf.DUMMYFUNCTION("""COMPUTED_VALUE"""),"Gouveia, L. (2014). *Digital Libraries and the quest for information 
curation*. UFP’s Erasmus Staff Week for Librarians. University Fernando 
Pessoa. Workshop on 8th April. 
[ presentation ]")</f>
        <v>Gouveia, L. (2014). *Digital Libraries and the quest for information 
curation*. UFP’s Erasmus Staff Week for Librarians. University Fernando 
Pessoa. Workshop on 8th April. 
[ presentation ]</v>
      </c>
      <c r="C354" s="2">
        <f t="shared" ca="1" si="31"/>
        <v>13</v>
      </c>
      <c r="D354" t="str">
        <f t="shared" ca="1" si="46"/>
        <v xml:space="preserve">Gouveia, L. </v>
      </c>
      <c r="E354" t="str">
        <f t="shared" ca="1" si="41"/>
        <v>2014</v>
      </c>
      <c r="F354" t="str">
        <f t="shared" ca="1" si="42"/>
        <v xml:space="preserve"> *Digital Libraries and the quest for information 
curation*. </v>
      </c>
      <c r="G354" s="3">
        <f t="shared" ca="1" si="43"/>
        <v>18</v>
      </c>
      <c r="H354" s="2">
        <f t="shared" ca="1" si="44"/>
        <v>80</v>
      </c>
      <c r="I354" t="e">
        <f t="shared" ca="1" si="45"/>
        <v>#VALUE!</v>
      </c>
      <c r="J354" s="3" t="e">
        <f t="shared" ca="1" si="47"/>
        <v>#VALUE!</v>
      </c>
      <c r="K354" t="str">
        <f t="shared" ca="1" si="32"/>
        <v xml:space="preserve">Gouveia, L. </v>
      </c>
      <c r="L354" t="str">
        <f t="shared" ca="1" si="33"/>
        <v xml:space="preserve">Quental, C. </v>
      </c>
    </row>
    <row r="355" spans="1:16" ht="15.75" customHeight="1">
      <c r="A355">
        <f ca="1">IFERROR(__xludf.DUMMYFUNCTION("""COMPUTED_VALUE"""),19)</f>
        <v>19</v>
      </c>
      <c r="B355" t="str">
        <f ca="1">IFERROR(__xludf.DUMMYFUNCTION("""COMPUTED_VALUE"""),"Gouveia, L. (2013). *Some issues on Bibliometrics: the way I would like to 
be helped as a University Professor*. Eramus Librarian Week. University 
Fernando Pessoa. 4th December. 
[ presentation ]")</f>
        <v>Gouveia, L. (2013). *Some issues on Bibliometrics: the way I would like to 
be helped as a University Professor*. Eramus Librarian Week. University 
Fernando Pessoa. 4th December. 
[ presentation ]</v>
      </c>
      <c r="C355" s="2">
        <f t="shared" ca="1" si="31"/>
        <v>13</v>
      </c>
      <c r="D355" t="str">
        <f t="shared" ca="1" si="46"/>
        <v xml:space="preserve">Gouveia, L. </v>
      </c>
      <c r="E355" t="str">
        <f t="shared" ca="1" si="41"/>
        <v>2013</v>
      </c>
      <c r="F355" t="str">
        <f t="shared" ca="1" si="42"/>
        <v xml:space="preserve"> *Some issues on Bibliometrics: the way I would like to 
be helped as a University Professor*. </v>
      </c>
      <c r="G355" s="3">
        <f t="shared" ca="1" si="43"/>
        <v>18</v>
      </c>
      <c r="H355" s="2">
        <f t="shared" ca="1" si="44"/>
        <v>113</v>
      </c>
      <c r="I355" t="e">
        <f t="shared" ca="1" si="45"/>
        <v>#VALUE!</v>
      </c>
      <c r="J355" s="3" t="e">
        <f t="shared" ca="1" si="47"/>
        <v>#VALUE!</v>
      </c>
      <c r="K355" t="str">
        <f t="shared" ca="1" si="32"/>
        <v xml:space="preserve">Gouveia, L. </v>
      </c>
      <c r="L355" t="str">
        <f t="shared" ca="1" si="33"/>
        <v xml:space="preserve">Quental, C. </v>
      </c>
    </row>
    <row r="356" spans="1:16" ht="15.75" customHeight="1">
      <c r="A356">
        <f ca="1">IFERROR(__xludf.DUMMYFUNCTION("""COMPUTED_VALUE"""),18)</f>
        <v>18</v>
      </c>
      <c r="B356" t="str">
        <f ca="1">IFERROR(__xludf.DUMMYFUNCTION("""COMPUTED_VALUE"""),"Gouveia, L. (2010). *Digital Paradox: why place matters, putting place in 
its place!* Switch conference. Polo II University of Coimbra. Coimbra, 16th 
May. 
presentation [ slideshare ] [ vídeo ]")</f>
        <v>Gouveia, L. (2010). *Digital Paradox: why place matters, putting place in 
its place!* Switch conference. Polo II University of Coimbra. Coimbra, 16th 
May. 
presentation [ slideshare ] [ vídeo ]</v>
      </c>
      <c r="C356" s="2">
        <f t="shared" ca="1" si="31"/>
        <v>13</v>
      </c>
      <c r="D356" t="str">
        <f t="shared" ca="1" si="46"/>
        <v xml:space="preserve">Gouveia, L. </v>
      </c>
      <c r="E356" t="str">
        <f t="shared" ca="1" si="41"/>
        <v>2010</v>
      </c>
      <c r="F356" t="str">
        <f t="shared" ca="1" si="42"/>
        <v xml:space="preserve"> *Digital Paradox: why place matters, putting place in 
its place!* Switch conference. </v>
      </c>
      <c r="G356" s="3">
        <f t="shared" ca="1" si="43"/>
        <v>18</v>
      </c>
      <c r="H356" s="2">
        <f t="shared" ca="1" si="44"/>
        <v>105</v>
      </c>
      <c r="I356" t="e">
        <f t="shared" ca="1" si="45"/>
        <v>#VALUE!</v>
      </c>
      <c r="J356" s="3" t="e">
        <f t="shared" ca="1" si="47"/>
        <v>#VALUE!</v>
      </c>
      <c r="K356" t="str">
        <f t="shared" ca="1" si="32"/>
        <v xml:space="preserve">Gouveia, L. </v>
      </c>
      <c r="L356" t="str">
        <f t="shared" ca="1" si="33"/>
        <v xml:space="preserve">Quental, C. </v>
      </c>
    </row>
    <row r="357" spans="1:16" ht="15.75" customHeight="1">
      <c r="A357">
        <f ca="1">IFERROR(__xludf.DUMMYFUNCTION("""COMPUTED_VALUE"""),17)</f>
        <v>17</v>
      </c>
      <c r="B357" t="str">
        <f ca="1">IFERROR(__xludf.DUMMYFUNCTION("""COMPUTED_VALUE"""),"Fernandes, N.; Gouveia, F.; Gouveia, L. and Martinez, D. (2010). *Site 
Stats: the power of event tracking at a single click in Sakai*. European 
Sakai Conference. Valencia. 1-3 March. 
presentation [ slideshare ]")</f>
        <v>Fernandes, N.; Gouveia, F.; Gouveia, L. and Martinez, D. (2010). *Site 
Stats: the power of event tracking at a single click in Sakai*. European 
Sakai Conference. Valencia. 1-3 March. 
presentation [ slideshare ]</v>
      </c>
      <c r="C357" s="2">
        <f t="shared" ca="1" si="31"/>
        <v>58</v>
      </c>
      <c r="D357" t="str">
        <f t="shared" ca="1" si="46"/>
        <v xml:space="preserve">Fernandes, N.; Gouveia, F.; Gouveia, L. and Martinez, D. </v>
      </c>
      <c r="E357" t="str">
        <f t="shared" ca="1" si="41"/>
        <v>2010</v>
      </c>
      <c r="F357" t="str">
        <f t="shared" ca="1" si="42"/>
        <v xml:space="preserve"> *Site 
Stats: the power of event tracking at a single click in Sakai*. </v>
      </c>
      <c r="G357" s="3">
        <f t="shared" ca="1" si="43"/>
        <v>63</v>
      </c>
      <c r="H357" s="2">
        <f t="shared" ca="1" si="44"/>
        <v>135</v>
      </c>
      <c r="I357" t="e">
        <f t="shared" ca="1" si="45"/>
        <v>#VALUE!</v>
      </c>
      <c r="J357" s="3" t="e">
        <f t="shared" ca="1" si="47"/>
        <v>#VALUE!</v>
      </c>
      <c r="K357" t="str">
        <f t="shared" ca="1" si="32"/>
        <v xml:space="preserve">Fern;es, N.; Gouveia, F.; Gouveia, L. ; Martinez, D. </v>
      </c>
      <c r="L357" t="str">
        <f t="shared" ca="1" si="33"/>
        <v xml:space="preserve">Quental, C. </v>
      </c>
      <c r="M357" t="str">
        <f ca="1">IFERROR(__xludf.DUMMYFUNCTION("""COMPUTED_VALUE"""),"es, N.")</f>
        <v>es, N.</v>
      </c>
      <c r="N357" t="str">
        <f ca="1">IFERROR(__xludf.DUMMYFUNCTION("""COMPUTED_VALUE""")," Gouveia, F.")</f>
        <v xml:space="preserve"> Gouveia, F.</v>
      </c>
      <c r="O357" t="str">
        <f ca="1">IFERROR(__xludf.DUMMYFUNCTION("""COMPUTED_VALUE""")," Gouveia, L. ")</f>
        <v xml:space="preserve"> Gouveia, L. </v>
      </c>
      <c r="P357" t="str">
        <f ca="1">IFERROR(__xludf.DUMMYFUNCTION("""COMPUTED_VALUE""")," Martinez, D. ")</f>
        <v xml:space="preserve"> Martinez, D. </v>
      </c>
    </row>
    <row r="358" spans="1:16" ht="15.75" customHeight="1">
      <c r="A358">
        <f ca="1">IFERROR(__xludf.DUMMYFUNCTION("""COMPUTED_VALUE"""),16)</f>
        <v>16</v>
      </c>
      <c r="B358" t="str">
        <f ca="1">IFERROR(__xludf.DUMMYFUNCTION("""COMPUTED_VALUE"""),"Gouveia, F.; Gouveia, L. and Fernandes, N. (2010). *My students and shared 
resources: design of a supervision tool*. European Sakai Conference. 
Valencia. 1-3 March. 
presentation [ slideshare ]")</f>
        <v>Gouveia, F.; Gouveia, L. and Fernandes, N. (2010). *My students and shared 
resources: design of a supervision tool*. European Sakai Conference. 
Valencia. 1-3 March. 
presentation [ slideshare ]</v>
      </c>
      <c r="C358" s="2">
        <f t="shared" ca="1" si="31"/>
        <v>44</v>
      </c>
      <c r="D358" t="str">
        <f t="shared" ca="1" si="46"/>
        <v xml:space="preserve">Gouveia, F.; Gouveia, L. and Fernandes, N. </v>
      </c>
      <c r="E358" t="str">
        <f t="shared" ca="1" si="41"/>
        <v>2010</v>
      </c>
      <c r="F358" t="str">
        <f t="shared" ca="1" si="42"/>
        <v xml:space="preserve"> *My students and shared 
resources: design of a supervision tool*. </v>
      </c>
      <c r="G358" s="3">
        <f t="shared" ca="1" si="43"/>
        <v>49</v>
      </c>
      <c r="H358" s="2">
        <f t="shared" ca="1" si="44"/>
        <v>117</v>
      </c>
      <c r="I358" t="e">
        <f t="shared" ca="1" si="45"/>
        <v>#VALUE!</v>
      </c>
      <c r="J358" s="3" t="e">
        <f t="shared" ca="1" si="47"/>
        <v>#VALUE!</v>
      </c>
      <c r="K358" t="str">
        <f t="shared" ca="1" si="32"/>
        <v xml:space="preserve">Gouveia, F.; Gouveia, L. ; Fern;es, N. </v>
      </c>
      <c r="L358" t="str">
        <f t="shared" ca="1" si="33"/>
        <v xml:space="preserve">Quental, C. </v>
      </c>
      <c r="M358" t="str">
        <f ca="1">IFERROR(__xludf.DUMMYFUNCTION("""COMPUTED_VALUE""")," Gouveia, L. ")</f>
        <v xml:space="preserve"> Gouveia, L. </v>
      </c>
      <c r="N358" t="str">
        <f ca="1">IFERROR(__xludf.DUMMYFUNCTION("""COMPUTED_VALUE""")," Fern")</f>
        <v xml:space="preserve"> Fern</v>
      </c>
      <c r="O358" t="str">
        <f ca="1">IFERROR(__xludf.DUMMYFUNCTION("""COMPUTED_VALUE"""),"es, N. ")</f>
        <v xml:space="preserve">es, N. </v>
      </c>
    </row>
    <row r="359" spans="1:16" ht="15.75" customHeight="1">
      <c r="A359">
        <f ca="1">IFERROR(__xludf.DUMMYFUNCTION("""COMPUTED_VALUE"""),15)</f>
        <v>15</v>
      </c>
      <c r="B359" t="str">
        <f ca="1">IFERROR(__xludf.DUMMYFUNCTION("""COMPUTED_VALUE"""),"Simões, L. e Gouveia, L. (2008). *Targeting the Millennial Generation.* III 
Jornadas de Publicidade e Comunicação. A Publicidade para o consumidor do 
Séc. XXI. UFP. Porto. 10 de Abril. 
paper [ pdf (1709KB) ] | presentation [ pdf(179KB) ]")</f>
        <v>Simões, L. e Gouveia, L. (2008). *Targeting the Millennial Generation.* III 
Jornadas de Publicidade e Comunicação. A Publicidade para o consumidor do 
Séc. XXI. UFP. Porto. 10 de Abril. 
paper [ pdf (1709KB) ] | presentation [ pdf(179KB) ]</v>
      </c>
      <c r="C359" s="2">
        <f t="shared" ca="1" si="31"/>
        <v>26</v>
      </c>
      <c r="D359" t="str">
        <f t="shared" ca="1" si="46"/>
        <v xml:space="preserve">Simões, L. e Gouveia, L. </v>
      </c>
      <c r="E359" t="str">
        <f t="shared" ca="1" si="41"/>
        <v>2008</v>
      </c>
      <c r="F359" t="str">
        <f t="shared" ca="1" si="42"/>
        <v xml:space="preserve"> *Targeting the Millennial Generation.*</v>
      </c>
      <c r="G359" s="3">
        <f t="shared" ca="1" si="43"/>
        <v>31</v>
      </c>
      <c r="H359" s="2">
        <f t="shared" ca="1" si="44"/>
        <v>70</v>
      </c>
      <c r="I359" t="e">
        <f t="shared" ca="1" si="45"/>
        <v>#VALUE!</v>
      </c>
      <c r="J359" s="3" t="e">
        <f t="shared" ca="1" si="47"/>
        <v>#VALUE!</v>
      </c>
      <c r="K359" t="str">
        <f t="shared" ca="1" si="32"/>
        <v xml:space="preserve">Simões, L. e Gouveia, L. </v>
      </c>
      <c r="L359" t="str">
        <f t="shared" ca="1" si="33"/>
        <v xml:space="preserve">Quental, C. </v>
      </c>
    </row>
    <row r="360" spans="1:16" ht="15.75" customHeight="1">
      <c r="A360">
        <f ca="1">IFERROR(__xludf.DUMMYFUNCTION("""COMPUTED_VALUE"""),14)</f>
        <v>14</v>
      </c>
      <c r="B360" t="str">
        <f ca="1">IFERROR(__xludf.DUMMYFUNCTION("""COMPUTED_VALUE"""),"Simões, L. and Gouveia, L. (2008). *The University and the Social Web 
challenge*. Global University Network for Innovation. GUNI Newsletter, 
Issue 40 December 30. Available at 
*http://web.guni2005.upc.es/news/detail.php?chlang=en&amp;id=1289*. 
paper [ pdf"&amp;"(28KB) ]")</f>
        <v>Simões, L. and Gouveia, L. (2008). *The University and the Social Web 
challenge*. Global University Network for Innovation. GUNI Newsletter, 
Issue 40 December 30. Available at 
*http://web.guni2005.upc.es/news/detail.php?chlang=en&amp;id=1289*. 
paper [ pdf(28KB) ]</v>
      </c>
      <c r="C360" s="2">
        <f t="shared" ca="1" si="31"/>
        <v>28</v>
      </c>
      <c r="D360" t="str">
        <f t="shared" ca="1" si="46"/>
        <v xml:space="preserve">Simões, L. and Gouveia, L. </v>
      </c>
      <c r="E360" t="str">
        <f t="shared" ca="1" si="41"/>
        <v>2008</v>
      </c>
      <c r="F360" t="str">
        <f t="shared" ca="1" si="42"/>
        <v xml:space="preserve"> *The University and the Social Web 
challenge*. </v>
      </c>
      <c r="G360" s="3">
        <f t="shared" ca="1" si="43"/>
        <v>33</v>
      </c>
      <c r="H360" s="2">
        <f t="shared" ca="1" si="44"/>
        <v>82</v>
      </c>
      <c r="I360" t="e">
        <f t="shared" ca="1" si="45"/>
        <v>#VALUE!</v>
      </c>
      <c r="J360" s="3" t="e">
        <f t="shared" ca="1" si="47"/>
        <v>#VALUE!</v>
      </c>
      <c r="K360" t="str">
        <f t="shared" ca="1" si="32"/>
        <v xml:space="preserve">Simões, L. ; Gouveia, L. </v>
      </c>
      <c r="L360" t="str">
        <f t="shared" ca="1" si="33"/>
        <v xml:space="preserve">Quental, C. </v>
      </c>
      <c r="M360" t="str">
        <f ca="1">IFERROR(__xludf.DUMMYFUNCTION("""COMPUTED_VALUE""")," Gouveia, L. ")</f>
        <v xml:space="preserve"> Gouveia, L. </v>
      </c>
    </row>
    <row r="361" spans="1:16" ht="15.75" customHeight="1">
      <c r="A361">
        <f ca="1">IFERROR(__xludf.DUMMYFUNCTION("""COMPUTED_VALUE"""),13)</f>
        <v>13</v>
      </c>
      <c r="B361" t="str">
        <f ca="1">IFERROR(__xludf.DUMMYFUNCTION("""COMPUTED_VALUE"""),"Gouveia, L. (2008). *Intelligent cities: from digital to social analogic.* 
Contemporary Architectural Challenges, CAC 08. 22-24 September, FAUP. Porto. 
presentation [ pdf(716KB) ]")</f>
        <v>Gouveia, L. (2008). *Intelligent cities: from digital to social analogic.* 
Contemporary Architectural Challenges, CAC 08. 22-24 September, FAUP. Porto. 
presentation [ pdf(716KB) ]</v>
      </c>
      <c r="C361" s="2">
        <f t="shared" ca="1" si="31"/>
        <v>13</v>
      </c>
      <c r="D361" t="str">
        <f t="shared" ca="1" si="46"/>
        <v xml:space="preserve">Gouveia, L. </v>
      </c>
      <c r="E361" t="str">
        <f t="shared" ca="1" si="41"/>
        <v>2008</v>
      </c>
      <c r="F361" t="str">
        <f t="shared" ca="1" si="42"/>
        <v xml:space="preserve"> *Intelligent cities: from digital to social analogic.*</v>
      </c>
      <c r="G361" s="3">
        <f t="shared" ca="1" si="43"/>
        <v>18</v>
      </c>
      <c r="H361" s="2">
        <f t="shared" ca="1" si="44"/>
        <v>73</v>
      </c>
      <c r="I361" t="e">
        <f t="shared" ca="1" si="45"/>
        <v>#VALUE!</v>
      </c>
      <c r="J361" s="3" t="e">
        <f t="shared" ca="1" si="47"/>
        <v>#VALUE!</v>
      </c>
      <c r="K361" t="str">
        <f t="shared" ca="1" si="32"/>
        <v xml:space="preserve">Gouveia, L. </v>
      </c>
      <c r="L361" t="str">
        <f t="shared" ca="1" si="33"/>
        <v xml:space="preserve">Quental, C. </v>
      </c>
    </row>
    <row r="362" spans="1:16" ht="15.75" customHeight="1">
      <c r="A362">
        <f ca="1">IFERROR(__xludf.DUMMYFUNCTION("""COMPUTED_VALUE"""),12)</f>
        <v>12</v>
      </c>
      <c r="B362" t="str">
        <f ca="1">IFERROR(__xludf.DUMMYFUNCTION("""COMPUTED_VALUE"""),"Gouveia, L. and Gouveia, F. (2008). *Distance Learning with Sakai.* 9th 
Sakai Conference Universite et Pierre Marie Curie. Paris, France, 1-3 July 
2008. 
presentation [ pdf(732KB) ]")</f>
        <v>Gouveia, L. and Gouveia, F. (2008). *Distance Learning with Sakai.* 9th 
Sakai Conference Universite et Pierre Marie Curie. Paris, France, 1-3 July 
2008. 
presentation [ pdf(732KB) ]</v>
      </c>
      <c r="C362" s="2">
        <f t="shared" ca="1" si="31"/>
        <v>29</v>
      </c>
      <c r="D362" t="str">
        <f t="shared" ca="1" si="46"/>
        <v xml:space="preserve">Gouveia, L. and Gouveia, F. </v>
      </c>
      <c r="E362" t="str">
        <f t="shared" ca="1" si="41"/>
        <v>2008</v>
      </c>
      <c r="F362" t="str">
        <f t="shared" ca="1" si="42"/>
        <v xml:space="preserve"> *Distance Learning with Sakai.*</v>
      </c>
      <c r="G362" s="3">
        <f t="shared" ca="1" si="43"/>
        <v>34</v>
      </c>
      <c r="H362" s="2">
        <f t="shared" ca="1" si="44"/>
        <v>66</v>
      </c>
      <c r="I362" t="e">
        <f t="shared" ca="1" si="45"/>
        <v>#VALUE!</v>
      </c>
      <c r="J362" s="3" t="e">
        <f t="shared" ca="1" si="47"/>
        <v>#VALUE!</v>
      </c>
      <c r="K362" t="str">
        <f t="shared" ca="1" si="32"/>
        <v xml:space="preserve">Gouveia, L. ; Gouveia, F. </v>
      </c>
      <c r="L362" t="str">
        <f t="shared" ca="1" si="33"/>
        <v xml:space="preserve">Quental, C. </v>
      </c>
      <c r="M362" t="str">
        <f ca="1">IFERROR(__xludf.DUMMYFUNCTION("""COMPUTED_VALUE""")," Gouveia, F. ")</f>
        <v xml:space="preserve"> Gouveia, F. </v>
      </c>
    </row>
    <row r="363" spans="1:16" ht="15.75" customHeight="1">
      <c r="A363">
        <f ca="1">IFERROR(__xludf.DUMMYFUNCTION("""COMPUTED_VALUE"""),11)</f>
        <v>11</v>
      </c>
      <c r="B363" t="str">
        <f ca="1">IFERROR(__xludf.DUMMYFUNCTION("""COMPUTED_VALUE"""),"Gouveia, F.; Gouveia, L. and Fernandes, N. (2008). *UFPUV contribution for 
the Deployment Sakai panel: an implementation Panel: the Sakai journey Part 
II.* 9th Sakai Conference Universite et Pierre Marie Curie. Paris, France, 
1-3 July 2008. 
presentati"&amp;"on [ pdf( 83KB) ]")</f>
        <v>Gouveia, F.; Gouveia, L. and Fernandes, N. (2008). *UFPUV contribution for 
the Deployment Sakai panel: an implementation Panel: the Sakai journey Part 
II.* 9th Sakai Conference Universite et Pierre Marie Curie. Paris, France, 
1-3 July 2008. 
presentation [ pdf( 83KB) ]</v>
      </c>
      <c r="C363" s="2">
        <f t="shared" ca="1" si="31"/>
        <v>44</v>
      </c>
      <c r="D363" t="str">
        <f t="shared" ca="1" si="46"/>
        <v xml:space="preserve">Gouveia, F.; Gouveia, L. and Fernandes, N. </v>
      </c>
      <c r="E363" t="str">
        <f t="shared" ca="1" si="41"/>
        <v>2008</v>
      </c>
      <c r="F363" t="str">
        <f t="shared" ca="1" si="42"/>
        <v xml:space="preserve"> *UFPUV contribution for 
the Deployment Sakai panel: an implementation Panel: the Sakai journey Part 
II.*</v>
      </c>
      <c r="G363" s="3">
        <f t="shared" ca="1" si="43"/>
        <v>49</v>
      </c>
      <c r="H363" s="2">
        <f t="shared" ca="1" si="44"/>
        <v>156</v>
      </c>
      <c r="I363" t="e">
        <f t="shared" ca="1" si="45"/>
        <v>#VALUE!</v>
      </c>
      <c r="J363" s="3" t="e">
        <f t="shared" ca="1" si="47"/>
        <v>#VALUE!</v>
      </c>
      <c r="K363" t="str">
        <f t="shared" ca="1" si="32"/>
        <v xml:space="preserve">Gouveia, F.; Gouveia, L. ; Fern;es, N. </v>
      </c>
      <c r="L363" t="str">
        <f t="shared" ca="1" si="33"/>
        <v xml:space="preserve">Quental, C. </v>
      </c>
      <c r="M363" t="str">
        <f ca="1">IFERROR(__xludf.DUMMYFUNCTION("""COMPUTED_VALUE""")," Gouveia, L. ")</f>
        <v xml:space="preserve"> Gouveia, L. </v>
      </c>
      <c r="N363" t="str">
        <f ca="1">IFERROR(__xludf.DUMMYFUNCTION("""COMPUTED_VALUE""")," Fern")</f>
        <v xml:space="preserve"> Fern</v>
      </c>
      <c r="O363" t="str">
        <f ca="1">IFERROR(__xludf.DUMMYFUNCTION("""COMPUTED_VALUE"""),"es, N. ")</f>
        <v xml:space="preserve">es, N. </v>
      </c>
    </row>
    <row r="364" spans="1:16" ht="15.75" customHeight="1">
      <c r="A364">
        <f ca="1">IFERROR(__xludf.DUMMYFUNCTION("""COMPUTED_VALUE"""),10)</f>
        <v>10</v>
      </c>
      <c r="B364" t="str">
        <f ca="1">IFERROR(__xludf.DUMMYFUNCTION("""COMPUTED_VALUE"""),"Gouveia, L. (2007). *The use of Sakai to deploy the UFP Virtual University 
Initiative*. GUIDE thematic workshop European area. 21th March. Krakow. 
Poland.
presentation [ pdf (384MB) ]")</f>
        <v>Gouveia, L. (2007). *The use of Sakai to deploy the UFP Virtual University 
Initiative*. GUIDE thematic workshop European area. 21th March. Krakow. 
Poland.
presentation [ pdf (384MB) ]</v>
      </c>
      <c r="C364" s="2">
        <f t="shared" ca="1" si="31"/>
        <v>13</v>
      </c>
      <c r="D364" t="str">
        <f t="shared" ca="1" si="46"/>
        <v xml:space="preserve">Gouveia, L. </v>
      </c>
      <c r="E364" t="str">
        <f t="shared" ca="1" si="41"/>
        <v>2007</v>
      </c>
      <c r="F364" t="str">
        <f t="shared" ca="1" si="42"/>
        <v xml:space="preserve"> *The use of Sakai to deploy the UFP Virtual University 
Initiative*. </v>
      </c>
      <c r="G364" s="3">
        <f t="shared" ca="1" si="43"/>
        <v>18</v>
      </c>
      <c r="H364" s="2">
        <f t="shared" ca="1" si="44"/>
        <v>88</v>
      </c>
      <c r="I364" t="e">
        <f t="shared" ca="1" si="45"/>
        <v>#VALUE!</v>
      </c>
      <c r="J364" s="3" t="e">
        <f t="shared" ca="1" si="47"/>
        <v>#VALUE!</v>
      </c>
      <c r="K364" t="str">
        <f t="shared" ca="1" si="32"/>
        <v xml:space="preserve">Gouveia, L. </v>
      </c>
      <c r="L364" t="str">
        <f t="shared" ca="1" si="33"/>
        <v xml:space="preserve">Quental, C. </v>
      </c>
    </row>
    <row r="365" spans="1:16" ht="15.75" customHeight="1">
      <c r="A365">
        <f ca="1">IFERROR(__xludf.DUMMYFUNCTION("""COMPUTED_VALUE"""),9)</f>
        <v>9</v>
      </c>
      <c r="B365" t="str">
        <f ca="1">IFERROR(__xludf.DUMMYFUNCTION("""COMPUTED_VALUE"""),"Gouveia, F. e Gouveia, L. (2006). *Sakay in practice at an European 
University: UFP*. 1st European Sakai Day, 6-7 September 2006, Lüebeck. 
Germany.
apresentação [ pdf (732KB) ]")</f>
        <v>Gouveia, F. e Gouveia, L. (2006). *Sakay in practice at an European 
University: UFP*. 1st European Sakai Day, 6-7 September 2006, Lüebeck. 
Germany.
apresentação [ pdf (732KB) ]</v>
      </c>
      <c r="C365" s="2">
        <f t="shared" ca="1" si="31"/>
        <v>27</v>
      </c>
      <c r="D365" t="str">
        <f t="shared" ca="1" si="46"/>
        <v xml:space="preserve">Gouveia, F. e Gouveia, L. </v>
      </c>
      <c r="E365" t="str">
        <f t="shared" ca="1" si="41"/>
        <v>2006</v>
      </c>
      <c r="F365" t="str">
        <f t="shared" ca="1" si="42"/>
        <v xml:space="preserve"> *Sakay in practice at an European 
University: UFP*. </v>
      </c>
      <c r="G365" s="3">
        <f t="shared" ca="1" si="43"/>
        <v>32</v>
      </c>
      <c r="H365" s="2">
        <f t="shared" ca="1" si="44"/>
        <v>86</v>
      </c>
      <c r="I365" t="e">
        <f t="shared" ca="1" si="45"/>
        <v>#VALUE!</v>
      </c>
      <c r="J365" s="3" t="e">
        <f t="shared" ca="1" si="47"/>
        <v>#VALUE!</v>
      </c>
      <c r="K365" t="str">
        <f t="shared" ca="1" si="32"/>
        <v xml:space="preserve">Gouveia, F. e Gouveia, L. </v>
      </c>
      <c r="L365" t="str">
        <f t="shared" ca="1" si="33"/>
        <v xml:space="preserve">Quental, C. </v>
      </c>
    </row>
    <row r="366" spans="1:16" ht="15.75" customHeight="1">
      <c r="A366">
        <f ca="1">IFERROR(__xludf.DUMMYFUNCTION("""COMPUTED_VALUE"""),8)</f>
        <v>8</v>
      </c>
      <c r="B366" t="str">
        <f ca="1">IFERROR(__xludf.DUMMYFUNCTION("""COMPUTED_VALUE"""),"Gouveia, L. (2004).  *Cidades Digitais, o digital e implicações para o 
território*. Seminário Internacional Novas Tecnologias e Desenvolvimento 
Regional e Local Centro de Estudos Euro-Regionais Galiza-Norte de Portugal 
(CEER). 20 de Dezembro de 2004.
a"&amp;"presentação [ pdf (2540KB) ]")</f>
        <v>Gouveia, L. (2004).  *Cidades Digitais, o digital e implicações para o 
território*. Seminário Internacional Novas Tecnologias e Desenvolvimento 
Regional e Local Centro de Estudos Euro-Regionais Galiza-Norte de Portugal 
(CEER). 20 de Dezembro de 2004.
apresentação [ pdf (2540KB) ]</v>
      </c>
      <c r="C366" s="2">
        <f t="shared" ca="1" si="31"/>
        <v>13</v>
      </c>
      <c r="D366" t="str">
        <f t="shared" ca="1" si="46"/>
        <v xml:space="preserve">Gouveia, L. </v>
      </c>
      <c r="E366" t="str">
        <f t="shared" ca="1" si="41"/>
        <v>2004</v>
      </c>
      <c r="F366" t="str">
        <f t="shared" ca="1" si="42"/>
        <v xml:space="preserve">  *Cidades Digitais, o digital e implicações para o 
território*. </v>
      </c>
      <c r="G366" s="3">
        <f t="shared" ca="1" si="43"/>
        <v>18</v>
      </c>
      <c r="H366" s="2">
        <f t="shared" ca="1" si="44"/>
        <v>84</v>
      </c>
      <c r="I366" t="str">
        <f t="shared" ca="1" si="45"/>
        <v>Seminário Internacional Novas Tecnologias e Desenvolvimento 
Regional e Local Centro de Estudos Euro-Regionais Galiza-Norte de Portugal 
(CEER).</v>
      </c>
      <c r="J366" s="3">
        <f t="shared" ca="1" si="47"/>
        <v>228</v>
      </c>
      <c r="K366" t="str">
        <f t="shared" ca="1" si="32"/>
        <v xml:space="preserve">Gouveia, L. </v>
      </c>
      <c r="L366" t="str">
        <f t="shared" ca="1" si="33"/>
        <v xml:space="preserve">Quental, C. </v>
      </c>
    </row>
    <row r="367" spans="1:16" ht="15.75" customHeight="1">
      <c r="A367">
        <f ca="1">IFERROR(__xludf.DUMMYFUNCTION("""COMPUTED_VALUE"""),7)</f>
        <v>7</v>
      </c>
      <c r="B367" t="str">
        <f ca="1">IFERROR(__xludf.DUMMYFUNCTION("""COMPUTED_VALUE"""),"Gouveia, L. (2003). *Identidade para quê? Desafios ao território na 
Sociedade da Informação*. Workshop Sociedade da Informação: balanço e 
implicações. Universidade Fernando Pessoa. 11 e 12 de Dezembro.")</f>
        <v>Gouveia, L. (2003). *Identidade para quê? Desafios ao território na 
Sociedade da Informação*. Workshop Sociedade da Informação: balanço e 
implicações. Universidade Fernando Pessoa. 11 e 12 de Dezembro.</v>
      </c>
      <c r="C367" s="2">
        <f t="shared" ca="1" si="31"/>
        <v>13</v>
      </c>
      <c r="D367" t="str">
        <f t="shared" ca="1" si="46"/>
        <v xml:space="preserve">Gouveia, L. </v>
      </c>
      <c r="E367" t="str">
        <f t="shared" ca="1" si="41"/>
        <v>2003</v>
      </c>
      <c r="F367" t="str">
        <f t="shared" ca="1" si="42"/>
        <v xml:space="preserve"> *Identidade para quê? Desafios ao território na 
Sociedade da Informação*. </v>
      </c>
      <c r="G367" s="3">
        <f t="shared" ca="1" si="43"/>
        <v>18</v>
      </c>
      <c r="H367" s="2">
        <f t="shared" ca="1" si="44"/>
        <v>94</v>
      </c>
      <c r="I367" t="e">
        <f t="shared" ca="1" si="45"/>
        <v>#VALUE!</v>
      </c>
      <c r="J367" s="3" t="e">
        <f t="shared" ca="1" si="47"/>
        <v>#VALUE!</v>
      </c>
      <c r="K367" t="str">
        <f t="shared" ca="1" si="32"/>
        <v xml:space="preserve">Gouveia, L. </v>
      </c>
      <c r="L367" t="str">
        <f t="shared" ca="1" si="33"/>
        <v xml:space="preserve">Quental, C. </v>
      </c>
    </row>
    <row r="368" spans="1:16" ht="15.75" customHeight="1">
      <c r="A368">
        <f ca="1">IFERROR(__xludf.DUMMYFUNCTION("""COMPUTED_VALUE"""),6)</f>
        <v>6</v>
      </c>
      <c r="B368" t="str">
        <f ca="1">IFERROR(__xludf.DUMMYFUNCTION("""COMPUTED_VALUE"""),"Gouveia, L. (2003). *Agregar o Digital, o Virtual e o Real: reinventar o 
espaço e o tempo*. ExperimentaDesign 2003 – Bienal de Lisboa. 1000 
Plateaux. MULTIPLE SCALES PLUG IN – Escala Infinito / Desenho do Espaço 
Cibernético. Cinema São Jorge, Lisboa. 2"&amp;"1 de Setembro.
texto [ pdf (16KB) ]")</f>
        <v>Gouveia, L. (2003). *Agregar o Digital, o Virtual e o Real: reinventar o 
espaço e o tempo*. ExperimentaDesign 2003 – Bienal de Lisboa. 1000 
Plateaux. MULTIPLE SCALES PLUG IN – Escala Infinito / Desenho do Espaço 
Cibernético. Cinema São Jorge, Lisboa. 21 de Setembro.
texto [ pdf (16KB) ]</v>
      </c>
      <c r="C368" s="2">
        <f t="shared" ca="1" si="31"/>
        <v>13</v>
      </c>
      <c r="D368" t="str">
        <f t="shared" ca="1" si="46"/>
        <v xml:space="preserve">Gouveia, L. </v>
      </c>
      <c r="E368" t="str">
        <f t="shared" ca="1" si="41"/>
        <v>2003</v>
      </c>
      <c r="F368" t="str">
        <f t="shared" ca="1" si="42"/>
        <v xml:space="preserve"> *Agregar o Digital, o Virtual e o Real: reinventar o 
espaço e o tempo*. </v>
      </c>
      <c r="G368" s="3">
        <f t="shared" ca="1" si="43"/>
        <v>18</v>
      </c>
      <c r="H368" s="2">
        <f t="shared" ca="1" si="44"/>
        <v>92</v>
      </c>
      <c r="I368" t="e">
        <f t="shared" ca="1" si="45"/>
        <v>#VALUE!</v>
      </c>
      <c r="J368" s="3" t="e">
        <f t="shared" ca="1" si="47"/>
        <v>#VALUE!</v>
      </c>
      <c r="K368" t="str">
        <f t="shared" ca="1" si="32"/>
        <v xml:space="preserve">Gouveia, L. </v>
      </c>
      <c r="L368" t="str">
        <f t="shared" ca="1" si="33"/>
        <v xml:space="preserve">Quental, C. </v>
      </c>
    </row>
    <row r="369" spans="1:15" ht="15.75" customHeight="1">
      <c r="A369">
        <f ca="1">IFERROR(__xludf.DUMMYFUNCTION("""COMPUTED_VALUE"""),5)</f>
        <v>5</v>
      </c>
      <c r="B369" t="str">
        <f ca="1">IFERROR(__xludf.DUMMYFUNCTION("""COMPUTED_VALUE"""),"Gouveia, J. and Gouveia, L. (2001). *EFTWeb: an environment to support 
context sharing for education settings*. e-business and e-work virtual 
conference. NEWEMMSEC. At 
*http://www.cheshirehenbury.com/ebew/virtconf.html*. 
edited paper [ pdf(29KB) ]")</f>
        <v>Gouveia, J. and Gouveia, L. (2001). *EFTWeb: an environment to support 
context sharing for education settings*. e-business and e-work virtual 
conference. NEWEMMSEC. At 
*http://www.cheshirehenbury.com/ebew/virtconf.html*. 
edited paper [ pdf(29KB) ]</v>
      </c>
      <c r="C369" s="2">
        <f t="shared" ca="1" si="31"/>
        <v>29</v>
      </c>
      <c r="D369" t="str">
        <f t="shared" ca="1" si="46"/>
        <v xml:space="preserve">Gouveia, J. and Gouveia, L. </v>
      </c>
      <c r="E369" t="str">
        <f t="shared" ca="1" si="41"/>
        <v>2001</v>
      </c>
      <c r="F369" t="str">
        <f t="shared" ca="1" si="42"/>
        <v xml:space="preserve"> *EFTWeb: an environment to support 
context sharing for education settings*. </v>
      </c>
      <c r="G369" s="3">
        <f t="shared" ca="1" si="43"/>
        <v>34</v>
      </c>
      <c r="H369" s="2">
        <f t="shared" ca="1" si="44"/>
        <v>112</v>
      </c>
      <c r="I369" t="e">
        <f t="shared" ca="1" si="45"/>
        <v>#VALUE!</v>
      </c>
      <c r="J369" s="3" t="e">
        <f t="shared" ca="1" si="47"/>
        <v>#VALUE!</v>
      </c>
      <c r="K369" t="str">
        <f t="shared" ca="1" si="32"/>
        <v xml:space="preserve">Gouveia, J. ; Gouveia, L. </v>
      </c>
      <c r="L369" t="str">
        <f t="shared" ca="1" si="33"/>
        <v xml:space="preserve">Quental, C. </v>
      </c>
      <c r="M369" t="str">
        <f ca="1">IFERROR(__xludf.DUMMYFUNCTION("""COMPUTED_VALUE""")," Gouveia, L. ")</f>
        <v xml:space="preserve"> Gouveia, L. </v>
      </c>
    </row>
    <row r="370" spans="1:15" ht="15.75" customHeight="1">
      <c r="A370">
        <f ca="1">IFERROR(__xludf.DUMMYFUNCTION("""COMPUTED_VALUE"""),4)</f>
        <v>4</v>
      </c>
      <c r="B370" t="str">
        <f ca="1">IFERROR(__xludf.DUMMYFUNCTION("""COMPUTED_VALUE"""),"Gouveia, L. (2001). *Divulgar conteúdos e partilhar experiências usando a 
World Wide Web*. I Seminário sobre o Estado da Sociedade da Informação em 
Portugal e Espanha. FEUP. Porto, 24 e 25 de Setembro.
paper [ pdf (10KB) ] | apresentação [ pdf (26KB) ]")</f>
        <v>Gouveia, L. (2001). *Divulgar conteúdos e partilhar experiências usando a 
World Wide Web*. I Seminário sobre o Estado da Sociedade da Informação em 
Portugal e Espanha. FEUP. Porto, 24 e 25 de Setembro.
paper [ pdf (10KB) ] | apresentação [ pdf (26KB) ]</v>
      </c>
      <c r="C370" s="2">
        <f t="shared" ca="1" si="31"/>
        <v>13</v>
      </c>
      <c r="D370" t="str">
        <f t="shared" ca="1" si="46"/>
        <v xml:space="preserve">Gouveia, L. </v>
      </c>
      <c r="E370" t="str">
        <f t="shared" ca="1" si="41"/>
        <v>2001</v>
      </c>
      <c r="F370" t="str">
        <f t="shared" ca="1" si="42"/>
        <v xml:space="preserve"> *Divulgar conteúdos e partilhar experiências usando a 
World Wide Web*. </v>
      </c>
      <c r="G370" s="3">
        <f t="shared" ca="1" si="43"/>
        <v>18</v>
      </c>
      <c r="H370" s="2">
        <f t="shared" ca="1" si="44"/>
        <v>91</v>
      </c>
      <c r="I370" t="e">
        <f t="shared" ca="1" si="45"/>
        <v>#VALUE!</v>
      </c>
      <c r="J370" s="3" t="e">
        <f t="shared" ca="1" si="47"/>
        <v>#VALUE!</v>
      </c>
      <c r="K370" t="str">
        <f t="shared" ca="1" si="32"/>
        <v xml:space="preserve">Gouveia, L. </v>
      </c>
      <c r="L370" t="str">
        <f t="shared" ca="1" si="33"/>
        <v xml:space="preserve">Quental, C. </v>
      </c>
    </row>
    <row r="371" spans="1:15" ht="15.75" customHeight="1">
      <c r="A371">
        <f ca="1">IFERROR(__xludf.DUMMYFUNCTION("""COMPUTED_VALUE"""),3)</f>
        <v>3</v>
      </c>
      <c r="B371" t="str">
        <f ca="1">IFERROR(__xludf.DUMMYFUNCTION("""COMPUTED_VALUE"""),"Gouveia, L. (2001).*Is a virtual environment feasible to support knowledge 
sharing?* SSGRR 2001 International Conference on Advances in Infrastructure 
for Electronic Business, Science, and Education on the Internet, Scuola 
Superiore Guglielmo Reiss Rom"&amp;"oli, L'Aquila, Italy, August, 6-12. ISBN: 
88-85280-61-7 
paper [ pdf (140KB)] | presentation [ pdf (492KB)] Also, invited for a 
plenary session pdf(459KB)")</f>
        <v>Gouveia, L. (2001).*Is a virtual environment feasible to support knowledge 
sharing?* SSGRR 2001 International Conference on Advances in Infrastructure 
for Electronic Business, Science, and Education on the Internet, Scuola 
Superiore Guglielmo Reiss Romoli, L'Aquila, Italy, August, 6-12. ISBN: 
88-85280-61-7 
paper [ pdf (140KB)] | presentation [ pdf (492KB)] Also, invited for a 
plenary session pdf(459KB)</v>
      </c>
      <c r="C371" s="2">
        <f t="shared" ca="1" si="31"/>
        <v>13</v>
      </c>
      <c r="D371" t="str">
        <f t="shared" ca="1" si="46"/>
        <v xml:space="preserve">Gouveia, L. </v>
      </c>
      <c r="E371" t="str">
        <f t="shared" ca="1" si="41"/>
        <v>2001</v>
      </c>
      <c r="F371" t="str">
        <f t="shared" ca="1" si="42"/>
        <v xml:space="preserve">*Is a virtual environment feasible to support knowledge 
sharing?* SSGRR 2001 International Conference on Advances in Infrastructure 
for Electronic Business, Science, and Education on the Internet, Scuola 
Superiore Guglielmo Reiss Romoli, L'Aquila, Italy, August, 6-12. </v>
      </c>
      <c r="G371" s="3">
        <f t="shared" ca="1" si="43"/>
        <v>18</v>
      </c>
      <c r="H371" s="2">
        <f t="shared" ca="1" si="44"/>
        <v>290</v>
      </c>
      <c r="I371" t="e">
        <f t="shared" ca="1" si="45"/>
        <v>#VALUE!</v>
      </c>
      <c r="J371" s="3" t="e">
        <f t="shared" ca="1" si="47"/>
        <v>#VALUE!</v>
      </c>
      <c r="K371" t="str">
        <f t="shared" ca="1" si="32"/>
        <v xml:space="preserve">Gouveia, L. </v>
      </c>
      <c r="L371" t="str">
        <f t="shared" ca="1" si="33"/>
        <v xml:space="preserve">Quental, C. </v>
      </c>
    </row>
    <row r="372" spans="1:15" ht="15.75" customHeight="1">
      <c r="A372">
        <f ca="1">IFERROR(__xludf.DUMMYFUNCTION("""COMPUTED_VALUE"""),2)</f>
        <v>2</v>
      </c>
      <c r="B372" t="str">
        <f ca="1">IFERROR(__xludf.DUMMYFUNCTION("""COMPUTED_VALUE"""),"Gouveia, L. (1999). *Beyond the NetLab: how to involve the community 
producers*. International Workshop on Distance Learning and Training (DLT) 
Porto, Portugal. 25 - 26 February. 
presentation: [ pdf(27KB) ]")</f>
        <v>Gouveia, L. (1999). *Beyond the NetLab: how to involve the community 
producers*. International Workshop on Distance Learning and Training (DLT) 
Porto, Portugal. 25 - 26 February. 
presentation: [ pdf(27KB) ]</v>
      </c>
      <c r="C372" s="2">
        <f t="shared" ca="1" si="31"/>
        <v>13</v>
      </c>
      <c r="D372" t="str">
        <f t="shared" ca="1" si="46"/>
        <v xml:space="preserve">Gouveia, L. </v>
      </c>
      <c r="E372" t="str">
        <f t="shared" ca="1" si="41"/>
        <v>1999</v>
      </c>
      <c r="F372" t="str">
        <f t="shared" ca="1" si="42"/>
        <v xml:space="preserve"> *Beyond the NetLab: how to involve the community 
producers*. </v>
      </c>
      <c r="G372" s="3">
        <f t="shared" ca="1" si="43"/>
        <v>18</v>
      </c>
      <c r="H372" s="2">
        <f t="shared" ca="1" si="44"/>
        <v>81</v>
      </c>
      <c r="I372" t="e">
        <f t="shared" ca="1" si="45"/>
        <v>#VALUE!</v>
      </c>
      <c r="J372" s="3" t="e">
        <f t="shared" ca="1" si="47"/>
        <v>#VALUE!</v>
      </c>
      <c r="K372" t="str">
        <f t="shared" ca="1" si="32"/>
        <v xml:space="preserve">Gouveia, L. </v>
      </c>
      <c r="L372" t="str">
        <f t="shared" ca="1" si="33"/>
        <v xml:space="preserve">Quental, C. </v>
      </c>
    </row>
    <row r="373" spans="1:15" ht="15.75" customHeight="1">
      <c r="A373">
        <f ca="1">IFERROR(__xludf.DUMMYFUNCTION("""COMPUTED_VALUE"""),1)</f>
        <v>1</v>
      </c>
      <c r="B373" t="str">
        <f ca="1">IFERROR(__xludf.DUMMYFUNCTION("""COMPUTED_VALUE"""),"Gouveia, L. (1998). *The Role of Teachers in Rich Technological 
Environments.* 1st Workshop on Current Advances/Practice on 
Internet/Intranet Based ODL Porto, Portugal. 26th June. Proceedings in CD 
ROM edited by UNED IPP. 
paper: [ pdf (15KB) ] present"&amp;"ation: [ zipped postscript (20KB) ]")</f>
        <v>Gouveia, L. (1998). *The Role of Teachers in Rich Technological 
Environments.* 1st Workshop on Current Advances/Practice on 
Internet/Intranet Based ODL Porto, Portugal. 26th June. Proceedings in CD 
ROM edited by UNED IPP. 
paper: [ pdf (15KB) ] presentation: [ zipped postscript (20KB) ]</v>
      </c>
      <c r="C373" s="2">
        <f t="shared" ca="1" si="31"/>
        <v>13</v>
      </c>
      <c r="D373" t="str">
        <f t="shared" ca="1" si="46"/>
        <v xml:space="preserve">Gouveia, L. </v>
      </c>
      <c r="E373" t="str">
        <f t="shared" ca="1" si="41"/>
        <v>1998</v>
      </c>
      <c r="F373" t="str">
        <f t="shared" ca="1" si="42"/>
        <v xml:space="preserve"> *The Role of Teachers in Rich Technological 
Environments.*</v>
      </c>
      <c r="G373" s="3">
        <f t="shared" ca="1" si="43"/>
        <v>18</v>
      </c>
      <c r="H373" s="2">
        <f t="shared" ca="1" si="44"/>
        <v>78</v>
      </c>
      <c r="I373" t="e">
        <f t="shared" ca="1" si="45"/>
        <v>#VALUE!</v>
      </c>
      <c r="J373" s="3" t="e">
        <f t="shared" ca="1" si="47"/>
        <v>#VALUE!</v>
      </c>
      <c r="K373" t="str">
        <f t="shared" ca="1" si="32"/>
        <v xml:space="preserve">Gouveia, L. </v>
      </c>
      <c r="L373" t="str">
        <f t="shared" ca="1" si="33"/>
        <v xml:space="preserve">Quental, C. </v>
      </c>
    </row>
    <row r="374" spans="1:15" ht="15.75" customHeight="1">
      <c r="A374" t="str">
        <f ca="1">IFERROR(__xludf.DUMMYFUNCTION("""COMPUTED_VALUE"""),"_________")</f>
        <v>_________</v>
      </c>
      <c r="B374" t="str">
        <f ca="1">IFERROR(__xludf.DUMMYFUNCTION("""COMPUTED_VALUE"""),"paineis e mesas redondas / panels and roundtables")</f>
        <v>paineis e mesas redondas / panels and roundtables</v>
      </c>
      <c r="C374" s="2" t="e">
        <f t="shared" ca="1" si="31"/>
        <v>#VALUE!</v>
      </c>
      <c r="D374" t="e">
        <f t="shared" ca="1" si="46"/>
        <v>#VALUE!</v>
      </c>
      <c r="E374" t="e">
        <f t="shared" ca="1" si="41"/>
        <v>#VALUE!</v>
      </c>
      <c r="F374" t="e">
        <f t="shared" ca="1" si="42"/>
        <v>#VALUE!</v>
      </c>
      <c r="G374" s="3" t="e">
        <f t="shared" ca="1" si="43"/>
        <v>#VALUE!</v>
      </c>
      <c r="H374" s="2" t="e">
        <f t="shared" ca="1" si="44"/>
        <v>#VALUE!</v>
      </c>
      <c r="I374" t="e">
        <f t="shared" ca="1" si="45"/>
        <v>#VALUE!</v>
      </c>
      <c r="J374" s="3" t="e">
        <f t="shared" ca="1" si="47"/>
        <v>#VALUE!</v>
      </c>
      <c r="K374" t="e">
        <f t="shared" ca="1" si="32"/>
        <v>#VALUE!</v>
      </c>
      <c r="L374" t="str">
        <f t="shared" ca="1" si="33"/>
        <v xml:space="preserve">Quental, C. </v>
      </c>
    </row>
    <row r="375" spans="1:15" ht="15.75" customHeight="1">
      <c r="A375">
        <f ca="1">IFERROR(__xludf.DUMMYFUNCTION("""COMPUTED_VALUE"""),11)</f>
        <v>11</v>
      </c>
      <c r="B375" t="str">
        <f ca="1">IFERROR(__xludf.DUMMYFUNCTION("""COMPUTED_VALUE"""),"Mascaranhas, R. et al. (2016). *Privacidade, cibersegurança e 
regulamentação económica*. Fórum da Arrábida: repensar o futuro da 
Sociedade da Informação. 15ª edição. APDSI. Convento da Arrábida. 7 de 
Outubro. 
[ documento ]")</f>
        <v>Mascaranhas, R. et al. (2016). *Privacidade, cibersegurança e 
regulamentação económica*. Fórum da Arrábida: repensar o futuro da 
Sociedade da Informação. 15ª edição. APDSI. Convento da Arrábida. 7 de 
Outubro. 
[ documento ]</v>
      </c>
      <c r="C375" s="2">
        <f t="shared" ca="1" si="31"/>
        <v>24</v>
      </c>
      <c r="D375" t="str">
        <f t="shared" ca="1" si="46"/>
        <v xml:space="preserve">Mascaranhas, R. et al. </v>
      </c>
      <c r="E375" t="str">
        <f t="shared" ca="1" si="41"/>
        <v>2016</v>
      </c>
      <c r="F375" t="str">
        <f t="shared" ca="1" si="42"/>
        <v xml:space="preserve"> *Privacidade, cibersegurança e 
regulamentação económica*. </v>
      </c>
      <c r="G375" s="3">
        <f t="shared" ca="1" si="43"/>
        <v>29</v>
      </c>
      <c r="H375" s="2">
        <f t="shared" ca="1" si="44"/>
        <v>89</v>
      </c>
      <c r="I375" t="e">
        <f t="shared" ca="1" si="45"/>
        <v>#VALUE!</v>
      </c>
      <c r="J375" s="3" t="e">
        <f t="shared" ca="1" si="47"/>
        <v>#VALUE!</v>
      </c>
      <c r="K375" t="str">
        <f t="shared" ca="1" si="32"/>
        <v xml:space="preserve">Mascaranhas, R. et al. </v>
      </c>
      <c r="L375" t="str">
        <f t="shared" ca="1" si="33"/>
        <v xml:space="preserve">Quental, C. </v>
      </c>
    </row>
    <row r="376" spans="1:15" ht="15.75" customHeight="1">
      <c r="A376">
        <f ca="1">IFERROR(__xludf.DUMMYFUNCTION("""COMPUTED_VALUE"""),10)</f>
        <v>10</v>
      </c>
      <c r="B376" t="str">
        <f ca="1">IFERROR(__xludf.DUMMYFUNCTION("""COMPUTED_VALUE"""),"Gouveia, L. (2016).  Grupo de reflexão Privacidade e Cibersegurança 
(apresentação e moderação do grupo). Fórum da Arrábida: repensar o futuro 
da Sociedade da Informação. 15ª edição. APDSI. Convento da Arrábida. 7 de 
Outubro. 
[ apresentação ]")</f>
        <v>Gouveia, L. (2016).  Grupo de reflexão Privacidade e Cibersegurança 
(apresentação e moderação do grupo). Fórum da Arrábida: repensar o futuro 
da Sociedade da Informação. 15ª edição. APDSI. Convento da Arrábida. 7 de 
Outubro. 
[ apresentação ]</v>
      </c>
      <c r="C376" s="2">
        <f t="shared" ca="1" si="31"/>
        <v>13</v>
      </c>
      <c r="D376" t="str">
        <f t="shared" ca="1" si="46"/>
        <v xml:space="preserve">Gouveia, L. </v>
      </c>
      <c r="E376" t="str">
        <f t="shared" ca="1" si="41"/>
        <v>2016</v>
      </c>
      <c r="F376" t="str">
        <f t="shared" ca="1" si="42"/>
        <v xml:space="preserve">  Grupo de reflexão Privacidade e Cibersegurança 
(apresentação e moderação do grupo). </v>
      </c>
      <c r="G376" s="3">
        <f t="shared" ca="1" si="43"/>
        <v>18</v>
      </c>
      <c r="H376" s="2">
        <f t="shared" ca="1" si="44"/>
        <v>105</v>
      </c>
      <c r="I376" t="e">
        <f t="shared" ca="1" si="45"/>
        <v>#VALUE!</v>
      </c>
      <c r="J376" s="3" t="e">
        <f t="shared" ca="1" si="47"/>
        <v>#VALUE!</v>
      </c>
      <c r="K376" t="str">
        <f t="shared" ca="1" si="32"/>
        <v xml:space="preserve">Gouveia, L. </v>
      </c>
      <c r="L376" t="str">
        <f t="shared" ca="1" si="33"/>
        <v xml:space="preserve">Quental, C. </v>
      </c>
    </row>
    <row r="377" spans="1:15" ht="15.75" customHeight="1">
      <c r="A377">
        <f ca="1">IFERROR(__xludf.DUMMYFUNCTION("""COMPUTED_VALUE"""),9)</f>
        <v>9</v>
      </c>
      <c r="B377" t="str">
        <f ca="1">IFERROR(__xludf.DUMMYFUNCTION("""COMPUTED_VALUE"""),"Gouveia, L. et al. (2016). Ciclo de Debates Arquivos, Bibliotecas e Museus: 
acesso à Informação. Arquivo Distrital do Porto. Associação Portuguesa de 
Bibliotecários, Arquivistas e Documentalistas e a Acesso Cultura. 21 de 
Junho. Porto. Participação com"&amp;"o moderador.")</f>
        <v>Gouveia, L. et al. (2016). Ciclo de Debates Arquivos, Bibliotecas e Museus: 
acesso à Informação. Arquivo Distrital do Porto. Associação Portuguesa de 
Bibliotecários, Arquivistas e Documentalistas e a Acesso Cultura. 21 de 
Junho. Porto. Participação como moderador.</v>
      </c>
      <c r="C377" s="2">
        <f t="shared" ca="1" si="31"/>
        <v>20</v>
      </c>
      <c r="D377" t="str">
        <f t="shared" ca="1" si="46"/>
        <v xml:space="preserve">Gouveia, L. et al. </v>
      </c>
      <c r="E377" t="str">
        <f t="shared" ca="1" si="41"/>
        <v>2016</v>
      </c>
      <c r="F377" t="str">
        <f t="shared" ca="1" si="42"/>
        <v xml:space="preserve"> Ciclo de Debates Arquivos, Bibliotecas e Museus: 
acesso à Informação. </v>
      </c>
      <c r="G377" s="3">
        <f t="shared" ca="1" si="43"/>
        <v>25</v>
      </c>
      <c r="H377" s="2">
        <f t="shared" ca="1" si="44"/>
        <v>97</v>
      </c>
      <c r="I377" t="e">
        <f t="shared" ca="1" si="45"/>
        <v>#VALUE!</v>
      </c>
      <c r="J377" s="3" t="e">
        <f t="shared" ca="1" si="47"/>
        <v>#VALUE!</v>
      </c>
      <c r="K377" t="str">
        <f t="shared" ca="1" si="32"/>
        <v xml:space="preserve">Gouveia, L. et al. </v>
      </c>
      <c r="L377" t="str">
        <f t="shared" ca="1" si="33"/>
        <v xml:space="preserve">Quental, C. </v>
      </c>
    </row>
    <row r="378" spans="1:15" ht="15.75" customHeight="1">
      <c r="A378">
        <f ca="1">IFERROR(__xludf.DUMMYFUNCTION("""COMPUTED_VALUE"""),8)</f>
        <v>8</v>
      </c>
      <c r="B378" t="str">
        <f ca="1">IFERROR(__xludf.DUMMYFUNCTION("""COMPUTED_VALUE"""),"Mascaranhas, R. et al. (2015). *Mercado único digital europeu: 
transformações económicas, competências e empregabilidade*. Fórum da 
Arrábida: repensar o futuro da Sociedade da Informação. 14ª edição. APDSI. 
Convento da Arrábida. 16 de Outubro. 
[ docum"&amp;"ento ]")</f>
        <v>Mascaranhas, R. et al. (2015). *Mercado único digital europeu: 
transformações económicas, competências e empregabilidade*. Fórum da 
Arrábida: repensar o futuro da Sociedade da Informação. 14ª edição. APDSI. 
Convento da Arrábida. 16 de Outubro. 
[ documento ]</v>
      </c>
      <c r="C378" s="2">
        <f t="shared" ca="1" si="31"/>
        <v>24</v>
      </c>
      <c r="D378" t="str">
        <f t="shared" ca="1" si="46"/>
        <v xml:space="preserve">Mascaranhas, R. et al. </v>
      </c>
      <c r="E378" t="str">
        <f t="shared" ca="1" si="41"/>
        <v>2015</v>
      </c>
      <c r="F378" t="str">
        <f t="shared" ca="1" si="42"/>
        <v xml:space="preserve"> *Mercado único digital europeu: 
transformações económicas, competências e empregabilidade*. </v>
      </c>
      <c r="G378" s="3">
        <f t="shared" ca="1" si="43"/>
        <v>29</v>
      </c>
      <c r="H378" s="2">
        <f t="shared" ca="1" si="44"/>
        <v>123</v>
      </c>
      <c r="I378" t="e">
        <f t="shared" ca="1" si="45"/>
        <v>#VALUE!</v>
      </c>
      <c r="J378" s="3" t="e">
        <f t="shared" ca="1" si="47"/>
        <v>#VALUE!</v>
      </c>
      <c r="K378" t="str">
        <f t="shared" ca="1" si="32"/>
        <v xml:space="preserve">Mascaranhas, R. et al. </v>
      </c>
      <c r="L378" t="str">
        <f t="shared" ca="1" si="33"/>
        <v xml:space="preserve">Quental, C. </v>
      </c>
    </row>
    <row r="379" spans="1:15" ht="15.75" customHeight="1">
      <c r="A379">
        <f ca="1">IFERROR(__xludf.DUMMYFUNCTION("""COMPUTED_VALUE"""),7)</f>
        <v>7</v>
      </c>
      <c r="B379" t="str">
        <f ca="1">IFERROR(__xludf.DUMMYFUNCTION("""COMPUTED_VALUE"""),"Gouveia, L. (2015). Grupo de reflexão eSkills (apresentação e moderação do 
grupo). Fórum da Arrábida: repensar o futuro da Sociedade da Informação. 
14ª edição. APDSI. Convento da Arrábida. 16 de Outubro. 
[ apresentação ]")</f>
        <v>Gouveia, L. (2015). Grupo de reflexão eSkills (apresentação e moderação do 
grupo). Fórum da Arrábida: repensar o futuro da Sociedade da Informação. 
14ª edição. APDSI. Convento da Arrábida. 16 de Outubro. 
[ apresentação ]</v>
      </c>
      <c r="C379" s="2">
        <f t="shared" ca="1" si="31"/>
        <v>13</v>
      </c>
      <c r="D379" t="str">
        <f t="shared" ca="1" si="46"/>
        <v xml:space="preserve">Gouveia, L. </v>
      </c>
      <c r="E379" t="str">
        <f t="shared" ca="1" si="41"/>
        <v>2015</v>
      </c>
      <c r="F379" t="str">
        <f t="shared" ca="1" si="42"/>
        <v xml:space="preserve"> Grupo de reflexão eSkills (apresentação e moderação do 
grupo). </v>
      </c>
      <c r="G379" s="3">
        <f t="shared" ca="1" si="43"/>
        <v>18</v>
      </c>
      <c r="H379" s="2">
        <f t="shared" ca="1" si="44"/>
        <v>83</v>
      </c>
      <c r="I379" t="e">
        <f t="shared" ca="1" si="45"/>
        <v>#VALUE!</v>
      </c>
      <c r="J379" s="3" t="e">
        <f t="shared" ca="1" si="47"/>
        <v>#VALUE!</v>
      </c>
      <c r="K379" t="str">
        <f t="shared" ca="1" si="32"/>
        <v xml:space="preserve">Gouveia, L. </v>
      </c>
      <c r="L379" t="str">
        <f t="shared" ca="1" si="33"/>
        <v xml:space="preserve">Quental, C. </v>
      </c>
    </row>
    <row r="380" spans="1:15" ht="15.75" customHeight="1">
      <c r="A380">
        <f ca="1">IFERROR(__xludf.DUMMYFUNCTION("""COMPUTED_VALUE"""),6)</f>
        <v>6</v>
      </c>
      <c r="B380" t="str">
        <f ca="1">IFERROR(__xludf.DUMMYFUNCTION("""COMPUTED_VALUE"""),"Gouveia, L. (2015). Ponto prévio ao grupo de reflexão eSkills 
(apresentação). Fórum da Arrábida: repensar o futuro da Sociedade da 
Informação. 14ª edição. APDSI. Convento da Arrábida. 16 de Outubro. 
[ apresentação ]")</f>
        <v>Gouveia, L. (2015). Ponto prévio ao grupo de reflexão eSkills 
(apresentação). Fórum da Arrábida: repensar o futuro da Sociedade da 
Informação. 14ª edição. APDSI. Convento da Arrábida. 16 de Outubro. 
[ apresentação ]</v>
      </c>
      <c r="C380" s="2">
        <f t="shared" ca="1" si="31"/>
        <v>13</v>
      </c>
      <c r="D380" t="str">
        <f t="shared" ca="1" si="46"/>
        <v xml:space="preserve">Gouveia, L. </v>
      </c>
      <c r="E380" t="str">
        <f t="shared" ca="1" si="41"/>
        <v>2015</v>
      </c>
      <c r="F380" t="str">
        <f t="shared" ca="1" si="42"/>
        <v xml:space="preserve"> Ponto prévio ao grupo de reflexão eSkills 
(apresentação). </v>
      </c>
      <c r="G380" s="3">
        <f t="shared" ca="1" si="43"/>
        <v>18</v>
      </c>
      <c r="H380" s="2">
        <f t="shared" ca="1" si="44"/>
        <v>78</v>
      </c>
      <c r="I380" t="e">
        <f t="shared" ca="1" si="45"/>
        <v>#VALUE!</v>
      </c>
      <c r="J380" s="3" t="e">
        <f t="shared" ca="1" si="47"/>
        <v>#VALUE!</v>
      </c>
      <c r="K380" t="str">
        <f t="shared" ca="1" si="32"/>
        <v xml:space="preserve">Gouveia, L. </v>
      </c>
      <c r="L380" t="str">
        <f t="shared" ca="1" si="33"/>
        <v xml:space="preserve">Quental, C. </v>
      </c>
    </row>
    <row r="381" spans="1:15" ht="15.75" customHeight="1">
      <c r="A381">
        <f ca="1">IFERROR(__xludf.DUMMYFUNCTION("""COMPUTED_VALUE"""),5)</f>
        <v>5</v>
      </c>
      <c r="B381" t="str">
        <f ca="1">IFERROR(__xludf.DUMMYFUNCTION("""COMPUTED_VALUE"""),"Amaral, L.; Neves, A.; Gouveia, L.; Nascimento, J. e Leal, D. (2010). *Workshop 
sobre Participação*. Integrado no evento Portugal 2.0. Museu do Oriente. 
Lisboa. 23 de Novembro.
paper [ slideshare ]")</f>
        <v>Amaral, L.; Neves, A.; Gouveia, L.; Nascimento, J. e Leal, D. (2010). *Workshop 
sobre Participação*. Integrado no evento Portugal 2.0. Museu do Oriente. 
Lisboa. 23 de Novembro.
paper [ slideshare ]</v>
      </c>
      <c r="C381" s="2">
        <f t="shared" ca="1" si="31"/>
        <v>63</v>
      </c>
      <c r="D381" t="str">
        <f t="shared" ca="1" si="46"/>
        <v xml:space="preserve">Amaral, L.; Neves, A.; Gouveia, L.; Nascimento, J. e Leal, D. </v>
      </c>
      <c r="E381" t="str">
        <f t="shared" ca="1" si="41"/>
        <v>2010</v>
      </c>
      <c r="F381" t="str">
        <f t="shared" ca="1" si="42"/>
        <v xml:space="preserve"> *Workshop 
sobre Participação*. </v>
      </c>
      <c r="G381" s="3">
        <f t="shared" ca="1" si="43"/>
        <v>68</v>
      </c>
      <c r="H381" s="2">
        <f t="shared" ca="1" si="44"/>
        <v>101</v>
      </c>
      <c r="I381" t="e">
        <f t="shared" ca="1" si="45"/>
        <v>#VALUE!</v>
      </c>
      <c r="J381" s="3" t="e">
        <f t="shared" ca="1" si="47"/>
        <v>#VALUE!</v>
      </c>
      <c r="K381" t="str">
        <f t="shared" ca="1" si="32"/>
        <v xml:space="preserve">Amaral, L.; Neves, A.; Gouveia, L.; Nascimento, J. e Leal, D. </v>
      </c>
      <c r="L381" t="str">
        <f t="shared" ca="1" si="33"/>
        <v xml:space="preserve">Quental, C. </v>
      </c>
      <c r="M381" t="str">
        <f ca="1">IFERROR(__xludf.DUMMYFUNCTION("""COMPUTED_VALUE""")," Neves, A.")</f>
        <v xml:space="preserve"> Neves, A.</v>
      </c>
      <c r="N381" t="str">
        <f ca="1">IFERROR(__xludf.DUMMYFUNCTION("""COMPUTED_VALUE""")," Gouveia, L.")</f>
        <v xml:space="preserve"> Gouveia, L.</v>
      </c>
      <c r="O381" t="str">
        <f ca="1">IFERROR(__xludf.DUMMYFUNCTION("""COMPUTED_VALUE""")," Nascimento, J. e Leal, D. ")</f>
        <v xml:space="preserve"> Nascimento, J. e Leal, D. </v>
      </c>
    </row>
    <row r="382" spans="1:15" ht="15.75" customHeight="1">
      <c r="A382">
        <f ca="1">IFERROR(__xludf.DUMMYFUNCTION("""COMPUTED_VALUE"""),4)</f>
        <v>4</v>
      </c>
      <c r="B382" t="str">
        <f ca="1">IFERROR(__xludf.DUMMYFUNCTION("""COMPUTED_VALUE"""),"Gouveia, L. (coord.) (2009). *Competência na Sociedade da Informação para 
Superar a Crise.* Fórum da Arrábida. Repensar o futuro da Sociedade da 
Informação. O papel da Sociedade da Informação na superação da Crise. 9 e 
10 de Outubro. Arrábida.
apresent"&amp;"ação [ slideshare | vídeo ]")</f>
        <v>Gouveia, L. (coord.) (2009). *Competência na Sociedade da Informação para 
Superar a Crise.* Fórum da Arrábida. Repensar o futuro da Sociedade da 
Informação. O papel da Sociedade da Informação na superação da Crise. 9 e 
10 de Outubro. Arrábida.
apresentação [ slideshare | vídeo ]</v>
      </c>
      <c r="C382" s="2">
        <f t="shared" ca="1" si="31"/>
        <v>13</v>
      </c>
      <c r="D382" t="str">
        <f t="shared" ca="1" si="46"/>
        <v xml:space="preserve">Gouveia, L. </v>
      </c>
      <c r="E382" t="str">
        <f t="shared" ca="1" si="41"/>
        <v>coor</v>
      </c>
      <c r="F382" t="str">
        <f t="shared" ca="1" si="42"/>
        <v xml:space="preserve"> *Competência na Sociedade da Informação para 
Superar a Crise.*</v>
      </c>
      <c r="G382" s="3">
        <f t="shared" ca="1" si="43"/>
        <v>27</v>
      </c>
      <c r="H382" s="2">
        <f t="shared" ca="1" si="44"/>
        <v>91</v>
      </c>
      <c r="I382" t="e">
        <f t="shared" ca="1" si="45"/>
        <v>#VALUE!</v>
      </c>
      <c r="J382" s="3" t="e">
        <f t="shared" ca="1" si="47"/>
        <v>#VALUE!</v>
      </c>
      <c r="K382" t="str">
        <f t="shared" ca="1" si="32"/>
        <v xml:space="preserve">Gouveia, L. </v>
      </c>
      <c r="L382" t="str">
        <f t="shared" ca="1" si="33"/>
        <v xml:space="preserve">Quental, C. </v>
      </c>
    </row>
    <row r="383" spans="1:15" ht="15.75" customHeight="1">
      <c r="A383">
        <f ca="1">IFERROR(__xludf.DUMMYFUNCTION("""COMPUTED_VALUE"""),3)</f>
        <v>3</v>
      </c>
      <c r="B383" t="str">
        <f ca="1">IFERROR(__xludf.DUMMYFUNCTION("""COMPUTED_VALUE"""),"Gouveia, L. (2007). *Painel Virtual Universities. EATIS 2007*. Universidade 
do Algarve. 15 de Maio. Faro.
apresentação [ pdf (24KB) ]")</f>
        <v>Gouveia, L. (2007). *Painel Virtual Universities. EATIS 2007*. Universidade 
do Algarve. 15 de Maio. Faro.
apresentação [ pdf (24KB) ]</v>
      </c>
      <c r="C383" s="2">
        <f t="shared" ca="1" si="31"/>
        <v>13</v>
      </c>
      <c r="D383" t="str">
        <f t="shared" ca="1" si="46"/>
        <v xml:space="preserve">Gouveia, L. </v>
      </c>
      <c r="E383" t="str">
        <f t="shared" ca="1" si="41"/>
        <v>2007</v>
      </c>
      <c r="F383" t="str">
        <f t="shared" ca="1" si="42"/>
        <v xml:space="preserve"> *Painel Virtual Universities. </v>
      </c>
      <c r="G383" s="3">
        <f t="shared" ca="1" si="43"/>
        <v>18</v>
      </c>
      <c r="H383" s="2">
        <f t="shared" ca="1" si="44"/>
        <v>49</v>
      </c>
      <c r="I383" t="e">
        <f t="shared" ca="1" si="45"/>
        <v>#VALUE!</v>
      </c>
      <c r="J383" s="3" t="e">
        <f t="shared" ca="1" si="47"/>
        <v>#VALUE!</v>
      </c>
      <c r="K383" t="str">
        <f t="shared" ca="1" si="32"/>
        <v xml:space="preserve">Gouveia, L. </v>
      </c>
      <c r="L383" t="str">
        <f t="shared" ca="1" si="33"/>
        <v xml:space="preserve">Quental, C. </v>
      </c>
    </row>
    <row r="384" spans="1:15" ht="15.75" customHeight="1">
      <c r="A384">
        <f ca="1">IFERROR(__xludf.DUMMYFUNCTION("""COMPUTED_VALUE"""),2)</f>
        <v>2</v>
      </c>
      <c r="B384" t="str">
        <f ca="1">IFERROR(__xludf.DUMMYFUNCTION("""COMPUTED_VALUE"""),"Gouveia, L. and Gouveia, J. (2005). *Gaia Global: a digital cities project*. 
IANIS Newsletter, nº 33, June 2005, pp 15-16.
texto [ pdf (76KB) ]")</f>
        <v>Gouveia, L. and Gouveia, J. (2005). *Gaia Global: a digital cities project*. 
IANIS Newsletter, nº 33, June 2005, pp 15-16.
texto [ pdf (76KB) ]</v>
      </c>
      <c r="C384" s="2">
        <f t="shared" ca="1" si="31"/>
        <v>29</v>
      </c>
      <c r="D384" t="str">
        <f t="shared" ca="1" si="46"/>
        <v xml:space="preserve">Gouveia, L. and Gouveia, J. </v>
      </c>
      <c r="E384" t="str">
        <f t="shared" ca="1" si="41"/>
        <v>2005</v>
      </c>
      <c r="F384" t="str">
        <f t="shared" ca="1" si="42"/>
        <v xml:space="preserve"> *Gaia Global: a digital cities project*. </v>
      </c>
      <c r="G384" s="3">
        <f t="shared" ca="1" si="43"/>
        <v>34</v>
      </c>
      <c r="H384" s="2">
        <f t="shared" ca="1" si="44"/>
        <v>76</v>
      </c>
      <c r="I384" t="e">
        <f t="shared" ca="1" si="45"/>
        <v>#VALUE!</v>
      </c>
      <c r="J384" s="3" t="e">
        <f t="shared" ca="1" si="47"/>
        <v>#VALUE!</v>
      </c>
      <c r="K384" t="str">
        <f t="shared" ca="1" si="32"/>
        <v xml:space="preserve">Gouveia, L. ; Gouveia, J. </v>
      </c>
      <c r="L384" t="str">
        <f t="shared" ca="1" si="33"/>
        <v xml:space="preserve">Quental, C. </v>
      </c>
      <c r="M384" t="str">
        <f ca="1">IFERROR(__xludf.DUMMYFUNCTION("""COMPUTED_VALUE""")," Gouveia, J. ")</f>
        <v xml:space="preserve"> Gouveia, J. </v>
      </c>
    </row>
    <row r="385" spans="1:13" ht="15.75" customHeight="1">
      <c r="A385">
        <f ca="1">IFERROR(__xludf.DUMMYFUNCTION("""COMPUTED_VALUE"""),1)</f>
        <v>1</v>
      </c>
      <c r="B385" t="str">
        <f ca="1">IFERROR(__xludf.DUMMYFUNCTION("""COMPUTED_VALUE"""),"Vorderer, P. et al. (2003). *MEC‘s Two-Level Model of “Spatial Presence”.* 
FET Special meetings at PRESENCE 2003 conference. Aalborg. University. 
Denmark. 6-8 October. 
presentation [ pdf(268KB) ]")</f>
        <v>Vorderer, P. et al. (2003). *MEC‘s Two-Level Model of “Spatial Presence”.* 
FET Special meetings at PRESENCE 2003 conference. Aalborg. University. 
Denmark. 6-8 October. 
presentation [ pdf(268KB) ]</v>
      </c>
      <c r="C385" s="2">
        <f t="shared" ca="1" si="31"/>
        <v>21</v>
      </c>
      <c r="D385" t="str">
        <f t="shared" ca="1" si="46"/>
        <v xml:space="preserve">Vorderer, P. et al. </v>
      </c>
      <c r="E385" t="str">
        <f t="shared" ca="1" si="41"/>
        <v>2003</v>
      </c>
      <c r="F385" t="str">
        <f t="shared" ca="1" si="42"/>
        <v xml:space="preserve"> *MEC‘s Two-Level Model of “Spatial Presence”.*</v>
      </c>
      <c r="G385" s="3">
        <f t="shared" ca="1" si="43"/>
        <v>26</v>
      </c>
      <c r="H385" s="2">
        <f t="shared" ca="1" si="44"/>
        <v>73</v>
      </c>
      <c r="I385" t="e">
        <f t="shared" ca="1" si="45"/>
        <v>#VALUE!</v>
      </c>
      <c r="J385" s="3" t="e">
        <f t="shared" ca="1" si="47"/>
        <v>#VALUE!</v>
      </c>
      <c r="K385" t="str">
        <f t="shared" ca="1" si="32"/>
        <v xml:space="preserve">Vorderer, P. et al. </v>
      </c>
      <c r="L385" t="str">
        <f t="shared" ca="1" si="33"/>
        <v xml:space="preserve">Quental, C. </v>
      </c>
    </row>
    <row r="386" spans="1:13" ht="15.75" customHeight="1">
      <c r="A386" t="str">
        <f ca="1">IFERROR(__xludf.DUMMYFUNCTION("""COMPUTED_VALUE"""),"[ top ]")</f>
        <v>[ top ]</v>
      </c>
      <c r="B386" t="str">
        <f ca="1">IFERROR(__xludf.DUMMYFUNCTION("""COMPUTED_VALUE"""),"Eventos Nacionais / National Meetings")</f>
        <v>Eventos Nacionais / National Meetings</v>
      </c>
      <c r="C386" s="2" t="e">
        <f t="shared" ca="1" si="31"/>
        <v>#VALUE!</v>
      </c>
      <c r="D386" t="e">
        <f t="shared" ca="1" si="46"/>
        <v>#VALUE!</v>
      </c>
      <c r="E386" t="e">
        <f t="shared" ca="1" si="41"/>
        <v>#VALUE!</v>
      </c>
      <c r="F386" t="e">
        <f t="shared" ca="1" si="42"/>
        <v>#VALUE!</v>
      </c>
      <c r="G386" s="3" t="e">
        <f t="shared" ca="1" si="43"/>
        <v>#VALUE!</v>
      </c>
      <c r="H386" s="2" t="e">
        <f t="shared" ca="1" si="44"/>
        <v>#VALUE!</v>
      </c>
      <c r="I386" t="e">
        <f t="shared" ca="1" si="45"/>
        <v>#VALUE!</v>
      </c>
      <c r="J386" s="3" t="e">
        <f t="shared" ca="1" si="47"/>
        <v>#VALUE!</v>
      </c>
      <c r="K386" t="e">
        <f t="shared" ca="1" si="32"/>
        <v>#VALUE!</v>
      </c>
      <c r="L386" t="str">
        <f t="shared" ca="1" si="33"/>
        <v xml:space="preserve">Quental, C. </v>
      </c>
    </row>
    <row r="387" spans="1:13" ht="15.75" customHeight="1">
      <c r="A387" t="str">
        <f ca="1">IFERROR(__xludf.DUMMYFUNCTION("""COMPUTED_VALUE"""),"_________")</f>
        <v>_________</v>
      </c>
      <c r="B387" t="str">
        <f ca="1">IFERROR(__xludf.DUMMYFUNCTION("""COMPUTED_VALUE"""),"comunicações / talks")</f>
        <v>comunicações / talks</v>
      </c>
      <c r="C387" s="2" t="e">
        <f t="shared" ca="1" si="31"/>
        <v>#VALUE!</v>
      </c>
      <c r="D387" t="e">
        <f t="shared" ca="1" si="46"/>
        <v>#VALUE!</v>
      </c>
      <c r="E387" t="e">
        <f t="shared" ref="E387:E450" ca="1" si="48">MID(B387,C387+1,4)</f>
        <v>#VALUE!</v>
      </c>
      <c r="F387" t="e">
        <f t="shared" ref="F387:F450" ca="1" si="49">MID(B387,G387+2,H387-G387)</f>
        <v>#VALUE!</v>
      </c>
      <c r="G387" s="3" t="e">
        <f t="shared" ref="G387:G450" ca="1" si="50">FIND(").",B387)</f>
        <v>#VALUE!</v>
      </c>
      <c r="H387" s="2" t="e">
        <f t="shared" ref="H387:H450" ca="1" si="51">FIND(".",B387,G387+2)</f>
        <v>#VALUE!</v>
      </c>
      <c r="I387" t="e">
        <f t="shared" ref="I387:I450" ca="1" si="52">MID(B387,H387+2,J387-H387)</f>
        <v>#VALUE!</v>
      </c>
      <c r="J387" s="3" t="e">
        <f t="shared" ca="1" si="47"/>
        <v>#VALUE!</v>
      </c>
      <c r="K387" t="e">
        <f t="shared" ca="1" si="32"/>
        <v>#VALUE!</v>
      </c>
      <c r="L387" t="str">
        <f t="shared" ca="1" si="33"/>
        <v xml:space="preserve">Quental, C. </v>
      </c>
    </row>
    <row r="388" spans="1:13" ht="15.75" customHeight="1">
      <c r="A388">
        <f ca="1">IFERROR(__xludf.DUMMYFUNCTION("""COMPUTED_VALUE"""),158)</f>
        <v>158</v>
      </c>
      <c r="B388" t="str">
        <f ca="1">IFERROR(__xludf.DUMMYFUNCTION("""COMPUTED_VALUE"""),"Gouveia, L. (2018). As questões associadas com a proteção do espaço 
digital. Model NATO 2018. Núcleo de Estudantes de Relações Internacionais 
da Universidade do Porto. (NERI-UP). Apresentação, 2 de Novembro. Faculdade 
de Letras da Universidade do Porto"&amp;".
[ handle ]")</f>
        <v>Gouveia, L. (2018). As questões associadas com a proteção do espaço 
digital. Model NATO 2018. Núcleo de Estudantes de Relações Internacionais 
da Universidade do Porto. (NERI-UP). Apresentação, 2 de Novembro. Faculdade 
de Letras da Universidade do Porto.
[ handle ]</v>
      </c>
      <c r="C388" s="2">
        <f t="shared" ca="1" si="31"/>
        <v>13</v>
      </c>
      <c r="D388" t="str">
        <f t="shared" ref="D388:D451" ca="1" si="53">LEFT(B388,FIND("(",B388)-1)</f>
        <v xml:space="preserve">Gouveia, L. </v>
      </c>
      <c r="E388" t="str">
        <f t="shared" ca="1" si="48"/>
        <v>2018</v>
      </c>
      <c r="F388" t="str">
        <f t="shared" ca="1" si="49"/>
        <v xml:space="preserve"> As questões associadas com a proteção do espaço 
digital. </v>
      </c>
      <c r="G388" s="3">
        <f t="shared" ca="1" si="50"/>
        <v>18</v>
      </c>
      <c r="H388" s="2">
        <f t="shared" ca="1" si="51"/>
        <v>77</v>
      </c>
      <c r="I388" t="str">
        <f t="shared" ca="1" si="52"/>
        <v>Model NATO 2018. Núcleo de Estudantes de Relações Internacionais 
da Universidade do Porto. (NERI-UP).</v>
      </c>
      <c r="J388" s="3">
        <f t="shared" ref="J388:J451" ca="1" si="54">FIND(").",B388,H388+1)</f>
        <v>179</v>
      </c>
      <c r="K388" t="str">
        <f t="shared" ca="1" si="32"/>
        <v xml:space="preserve">Gouveia, L. </v>
      </c>
      <c r="L388" t="str">
        <f t="shared" ca="1" si="33"/>
        <v xml:space="preserve">Quental, C. </v>
      </c>
    </row>
    <row r="389" spans="1:13" ht="15.75" customHeight="1">
      <c r="A389">
        <f ca="1">IFERROR(__xludf.DUMMYFUNCTION("""COMPUTED_VALUE"""),157)</f>
        <v>157</v>
      </c>
      <c r="B389" t="str">
        <f ca="1">IFERROR(__xludf.DUMMYFUNCTION("""COMPUTED_VALUE"""),"Gouveia, L. (2018). Plataformas digitais de serviço público e a prova 
digital. Conferencia Prova Digital. Ordem dos Advogados. Conselho Regional 
de Lisboa. Auditório António Domuingues de Azevedo. Lisboa. 29 de Outubro.
[ handle ]")</f>
        <v>Gouveia, L. (2018). Plataformas digitais de serviço público e a prova 
digital. Conferencia Prova Digital. Ordem dos Advogados. Conselho Regional 
de Lisboa. Auditório António Domuingues de Azevedo. Lisboa. 29 de Outubro.
[ handle ]</v>
      </c>
      <c r="C389" s="2">
        <f t="shared" ca="1" si="31"/>
        <v>13</v>
      </c>
      <c r="D389" t="str">
        <f t="shared" ca="1" si="53"/>
        <v xml:space="preserve">Gouveia, L. </v>
      </c>
      <c r="E389" t="str">
        <f t="shared" ca="1" si="48"/>
        <v>2018</v>
      </c>
      <c r="F389" t="str">
        <f t="shared" ca="1" si="49"/>
        <v xml:space="preserve"> Plataformas digitais de serviço público e a prova 
digital. </v>
      </c>
      <c r="G389" s="3">
        <f t="shared" ca="1" si="50"/>
        <v>18</v>
      </c>
      <c r="H389" s="2">
        <f t="shared" ca="1" si="51"/>
        <v>79</v>
      </c>
      <c r="I389" t="e">
        <f t="shared" ca="1" si="52"/>
        <v>#VALUE!</v>
      </c>
      <c r="J389" s="3" t="e">
        <f t="shared" ca="1" si="54"/>
        <v>#VALUE!</v>
      </c>
      <c r="K389" t="str">
        <f t="shared" ca="1" si="32"/>
        <v xml:space="preserve">Gouveia, L. </v>
      </c>
      <c r="L389" t="str">
        <f t="shared" ca="1" si="33"/>
        <v xml:space="preserve">Quental, C. </v>
      </c>
    </row>
    <row r="390" spans="1:13" ht="15.75" customHeight="1">
      <c r="A390">
        <f ca="1">IFERROR(__xludf.DUMMYFUNCTION("""COMPUTED_VALUE"""),156)</f>
        <v>156</v>
      </c>
      <c r="B390" t="str">
        <f ca="1">IFERROR(__xludf.DUMMYFUNCTION("""COMPUTED_VALUE"""),"Oliveira, M. e Gouveia, L. (2018). Um algoritmo de seleção polinomial para 
mensuração de densidade radiográfica. Dia do Doutoramento em Ciências da 
Informação, ramo Tecnologia, Sistemas e Gestão da Informação. 20 de Julho. 
Universidade Fernando Pessoa."&amp;"  
[ handle ]")</f>
        <v>Oliveira, M. e Gouveia, L. (2018). Um algoritmo de seleção polinomial para 
mensuração de densidade radiográfica. Dia do Doutoramento em Ciências da 
Informação, ramo Tecnologia, Sistemas e Gestão da Informação. 20 de Julho. 
Universidade Fernando Pessoa.  
[ handle ]</v>
      </c>
      <c r="C390" s="2">
        <f t="shared" ca="1" si="31"/>
        <v>28</v>
      </c>
      <c r="D390" t="str">
        <f t="shared" ca="1" si="53"/>
        <v xml:space="preserve">Oliveira, M. e Gouveia, L. </v>
      </c>
      <c r="E390" t="str">
        <f t="shared" ca="1" si="48"/>
        <v>2018</v>
      </c>
      <c r="F390" t="str">
        <f t="shared" ca="1" si="49"/>
        <v xml:space="preserve"> Um algoritmo de seleção polinomial para 
mensuração de densidade radiográfica. </v>
      </c>
      <c r="G390" s="3">
        <f t="shared" ca="1" si="50"/>
        <v>33</v>
      </c>
      <c r="H390" s="2">
        <f t="shared" ca="1" si="51"/>
        <v>113</v>
      </c>
      <c r="I390" t="e">
        <f t="shared" ca="1" si="52"/>
        <v>#VALUE!</v>
      </c>
      <c r="J390" s="3" t="e">
        <f t="shared" ca="1" si="54"/>
        <v>#VALUE!</v>
      </c>
      <c r="K390" t="str">
        <f t="shared" ca="1" si="32"/>
        <v xml:space="preserve">Oliveira, M. e Gouveia, L. </v>
      </c>
      <c r="L390" t="str">
        <f t="shared" ca="1" si="33"/>
        <v xml:space="preserve">Quental, C. </v>
      </c>
    </row>
    <row r="391" spans="1:13" ht="15.75" customHeight="1">
      <c r="A391">
        <f ca="1">IFERROR(__xludf.DUMMYFUNCTION("""COMPUTED_VALUE"""),155)</f>
        <v>155</v>
      </c>
      <c r="B391" t="str">
        <f ca="1">IFERROR(__xludf.DUMMYFUNCTION("""COMPUTED_VALUE"""),"Carvalho, M. e Gouveia, L. (2018). Fluxo Informacionais: Interligações de 
Processos de Informação e Conhecimento. Dia do Doutoramento em Ciências da 
Informação, ramo Tecnologia, Sistemas e Gestão da Informação. 20 de Julho. 
Universidade Fernando Pessoa"&amp;". 
[ handle ]")</f>
        <v>Carvalho, M. e Gouveia, L. (2018). Fluxo Informacionais: Interligações de 
Processos de Informação e Conhecimento. Dia do Doutoramento em Ciências da 
Informação, ramo Tecnologia, Sistemas e Gestão da Informação. 20 de Julho. 
Universidade Fernando Pessoa. 
[ handle ]</v>
      </c>
      <c r="C391" s="2">
        <f t="shared" ca="1" si="31"/>
        <v>28</v>
      </c>
      <c r="D391" t="str">
        <f t="shared" ca="1" si="53"/>
        <v xml:space="preserve">Carvalho, M. e Gouveia, L. </v>
      </c>
      <c r="E391" t="str">
        <f t="shared" ca="1" si="48"/>
        <v>2018</v>
      </c>
      <c r="F391" t="str">
        <f t="shared" ca="1" si="49"/>
        <v xml:space="preserve"> Fluxo Informacionais: Interligações de 
Processos de Informação e Conhecimento. </v>
      </c>
      <c r="G391" s="3">
        <f t="shared" ca="1" si="50"/>
        <v>33</v>
      </c>
      <c r="H391" s="2">
        <f t="shared" ca="1" si="51"/>
        <v>114</v>
      </c>
      <c r="I391" t="e">
        <f t="shared" ca="1" si="52"/>
        <v>#VALUE!</v>
      </c>
      <c r="J391" s="3" t="e">
        <f t="shared" ca="1" si="54"/>
        <v>#VALUE!</v>
      </c>
      <c r="K391" t="str">
        <f t="shared" ca="1" si="32"/>
        <v xml:space="preserve">Carvalho, M. e Gouveia, L. </v>
      </c>
      <c r="L391" t="str">
        <f t="shared" ca="1" si="33"/>
        <v xml:space="preserve">Quental, C. </v>
      </c>
    </row>
    <row r="392" spans="1:13" ht="15.75" customHeight="1">
      <c r="A392">
        <f ca="1">IFERROR(__xludf.DUMMYFUNCTION("""COMPUTED_VALUE"""),154)</f>
        <v>154</v>
      </c>
      <c r="B392" t="str">
        <f ca="1">IFERROR(__xludf.DUMMYFUNCTION("""COMPUTED_VALUE"""),"Araújo, A. e Gouveia, L. (2018). Tecnologia de Informação e Educação 
Aplicada ao Ensino Superior: Percepções em uma IES em Belém do Pará. Dia do 
Doutoramento em Ciências da Informação, ramo Tecnologia, Sistemas e Gestão 
da Informação. 20 de Julho. Univ"&amp;"ersidade Fernando Pessoa. 
[ handle ]")</f>
        <v>Araújo, A. e Gouveia, L. (2018). Tecnologia de Informação e Educação 
Aplicada ao Ensino Superior: Percepções em uma IES em Belém do Pará. Dia do 
Doutoramento em Ciências da Informação, ramo Tecnologia, Sistemas e Gestão 
da Informação. 20 de Julho. Universidade Fernando Pessoa. 
[ handle ]</v>
      </c>
      <c r="C392" s="2">
        <f t="shared" ca="1" si="31"/>
        <v>26</v>
      </c>
      <c r="D392" t="str">
        <f t="shared" ca="1" si="53"/>
        <v xml:space="preserve">Araújo, A. e Gouveia, L. </v>
      </c>
      <c r="E392" t="str">
        <f t="shared" ca="1" si="48"/>
        <v>2018</v>
      </c>
      <c r="F392" t="str">
        <f t="shared" ca="1" si="49"/>
        <v xml:space="preserve"> Tecnologia de Informação e Educação 
Aplicada ao Ensino Superior: Percepções em uma IES em Belém do Pará. </v>
      </c>
      <c r="G392" s="3">
        <f t="shared" ca="1" si="50"/>
        <v>31</v>
      </c>
      <c r="H392" s="2">
        <f t="shared" ca="1" si="51"/>
        <v>138</v>
      </c>
      <c r="I392" t="e">
        <f t="shared" ca="1" si="52"/>
        <v>#VALUE!</v>
      </c>
      <c r="J392" s="3" t="e">
        <f t="shared" ca="1" si="54"/>
        <v>#VALUE!</v>
      </c>
      <c r="K392" t="str">
        <f t="shared" ca="1" si="32"/>
        <v xml:space="preserve">Araújo, A. e Gouveia, L. </v>
      </c>
      <c r="L392" t="str">
        <f t="shared" ca="1" si="33"/>
        <v xml:space="preserve">Quental, C. </v>
      </c>
    </row>
    <row r="393" spans="1:13" ht="15.75" customHeight="1">
      <c r="A393">
        <f ca="1">IFERROR(__xludf.DUMMYFUNCTION("""COMPUTED_VALUE"""),153)</f>
        <v>153</v>
      </c>
      <c r="B393" t="str">
        <f ca="1">IFERROR(__xludf.DUMMYFUNCTION("""COMPUTED_VALUE"""),"Correia, A. e Gouveia, L. (2018). Cidades Inteligentes e poder. Dia do 
Doutoramento em Ciências da Informação, ramo Tecnologia, Sistemas e Gestão 
da Informação. 20 de Julho. Universidade Fernando Pessoa. 
[ handle ]")</f>
        <v>Correia, A. e Gouveia, L. (2018). Cidades Inteligentes e poder. Dia do 
Doutoramento em Ciências da Informação, ramo Tecnologia, Sistemas e Gestão 
da Informação. 20 de Julho. Universidade Fernando Pessoa. 
[ handle ]</v>
      </c>
      <c r="C393" s="2">
        <f t="shared" ca="1" si="31"/>
        <v>27</v>
      </c>
      <c r="D393" t="str">
        <f t="shared" ca="1" si="53"/>
        <v xml:space="preserve">Correia, A. e Gouveia, L. </v>
      </c>
      <c r="E393" t="str">
        <f t="shared" ca="1" si="48"/>
        <v>2018</v>
      </c>
      <c r="F393" t="str">
        <f t="shared" ca="1" si="49"/>
        <v xml:space="preserve"> Cidades Inteligentes e poder. </v>
      </c>
      <c r="G393" s="3">
        <f t="shared" ca="1" si="50"/>
        <v>32</v>
      </c>
      <c r="H393" s="2">
        <f t="shared" ca="1" si="51"/>
        <v>63</v>
      </c>
      <c r="I393" t="e">
        <f t="shared" ca="1" si="52"/>
        <v>#VALUE!</v>
      </c>
      <c r="J393" s="3" t="e">
        <f t="shared" ca="1" si="54"/>
        <v>#VALUE!</v>
      </c>
      <c r="K393" t="str">
        <f t="shared" ca="1" si="32"/>
        <v xml:space="preserve">Correia, A. e Gouveia, L. </v>
      </c>
      <c r="L393" t="str">
        <f t="shared" ca="1" si="33"/>
        <v xml:space="preserve">Quental, C. </v>
      </c>
    </row>
    <row r="394" spans="1:13" ht="15.75" customHeight="1">
      <c r="A394">
        <f ca="1">IFERROR(__xludf.DUMMYFUNCTION("""COMPUTED_VALUE"""),152)</f>
        <v>152</v>
      </c>
      <c r="B394" t="str">
        <f ca="1">IFERROR(__xludf.DUMMYFUNCTION("""COMPUTED_VALUE"""),"Pinho, N. e Gouveia, L. (2018). O uso do governo digital pelo controle 
social no combate à corrupção pública no Ceará. Dia do Doutoramento em 
Ciências da Informação, ramo Tecnologia, Sistemas e Gestão da Informação. 
20 de Julho. Universidade Fernando P"&amp;"essoa. 
[ handle ]")</f>
        <v>Pinho, N. e Gouveia, L. (2018). O uso do governo digital pelo controle 
social no combate à corrupção pública no Ceará. Dia do Doutoramento em 
Ciências da Informação, ramo Tecnologia, Sistemas e Gestão da Informação. 
20 de Julho. Universidade Fernando Pessoa. 
[ handle ]</v>
      </c>
      <c r="C394" s="2">
        <f t="shared" ca="1" si="31"/>
        <v>25</v>
      </c>
      <c r="D394" t="str">
        <f t="shared" ca="1" si="53"/>
        <v xml:space="preserve">Pinho, N. e Gouveia, L. </v>
      </c>
      <c r="E394" t="str">
        <f t="shared" ca="1" si="48"/>
        <v>2018</v>
      </c>
      <c r="F394" t="str">
        <f t="shared" ca="1" si="49"/>
        <v xml:space="preserve"> O uso do governo digital pelo controle 
social no combate à corrupção pública no Ceará. </v>
      </c>
      <c r="G394" s="3">
        <f t="shared" ca="1" si="50"/>
        <v>30</v>
      </c>
      <c r="H394" s="2">
        <f t="shared" ca="1" si="51"/>
        <v>119</v>
      </c>
      <c r="I394" t="e">
        <f t="shared" ca="1" si="52"/>
        <v>#VALUE!</v>
      </c>
      <c r="J394" s="3" t="e">
        <f t="shared" ca="1" si="54"/>
        <v>#VALUE!</v>
      </c>
      <c r="K394" t="str">
        <f t="shared" ca="1" si="32"/>
        <v xml:space="preserve">Pinho, N. e Gouveia, L. </v>
      </c>
      <c r="L394" t="str">
        <f t="shared" ca="1" si="33"/>
        <v xml:space="preserve">Quental, C. </v>
      </c>
    </row>
    <row r="395" spans="1:13" ht="15.75" customHeight="1">
      <c r="A395">
        <f ca="1">IFERROR(__xludf.DUMMYFUNCTION("""COMPUTED_VALUE"""),151)</f>
        <v>151</v>
      </c>
      <c r="B395" t="str">
        <f ca="1">IFERROR(__xludf.DUMMYFUNCTION("""COMPUTED_VALUE"""),"Araújo, P.; Gouveia, L. e Toldy, T. (2018). Sistema Esfera Pública Digital: 
uma plataforma digital para gestão da informação da Educação Especial. Dia 
do Doutoramento em Ciências da Informação, ramo Tecnologia, Sistemas e 
Gestão da Informação. 20 de Ju"&amp;"lho. Universidade Fernando Pessoa. 
[ handle ]")</f>
        <v>Araújo, P.; Gouveia, L. e Toldy, T. (2018). Sistema Esfera Pública Digital: 
uma plataforma digital para gestão da informação da Educação Especial. Dia 
do Doutoramento em Ciências da Informação, ramo Tecnologia, Sistemas e 
Gestão da Informação. 20 de Julho. Universidade Fernando Pessoa. 
[ handle ]</v>
      </c>
      <c r="C395" s="2">
        <f t="shared" ca="1" si="31"/>
        <v>37</v>
      </c>
      <c r="D395" t="str">
        <f t="shared" ca="1" si="53"/>
        <v xml:space="preserve">Araújo, P.; Gouveia, L. e Toldy, T. </v>
      </c>
      <c r="E395" t="str">
        <f t="shared" ca="1" si="48"/>
        <v>2018</v>
      </c>
      <c r="F395" t="str">
        <f t="shared" ca="1" si="49"/>
        <v xml:space="preserve"> Sistema Esfera Pública Digital: 
uma plataforma digital para gestão da informação da Educação Especial. </v>
      </c>
      <c r="G395" s="3">
        <f t="shared" ca="1" si="50"/>
        <v>42</v>
      </c>
      <c r="H395" s="2">
        <f t="shared" ca="1" si="51"/>
        <v>147</v>
      </c>
      <c r="I395" t="e">
        <f t="shared" ca="1" si="52"/>
        <v>#VALUE!</v>
      </c>
      <c r="J395" s="3" t="e">
        <f t="shared" ca="1" si="54"/>
        <v>#VALUE!</v>
      </c>
      <c r="K395" t="str">
        <f t="shared" ca="1" si="32"/>
        <v xml:space="preserve">Araújo, P.; Gouveia, L. e Toldy, T. </v>
      </c>
      <c r="L395" t="str">
        <f t="shared" ca="1" si="33"/>
        <v xml:space="preserve">Quental, C. </v>
      </c>
      <c r="M395" t="str">
        <f ca="1">IFERROR(__xludf.DUMMYFUNCTION("""COMPUTED_VALUE""")," Gouveia, L. e Toldy, T. ")</f>
        <v xml:space="preserve"> Gouveia, L. e Toldy, T. </v>
      </c>
    </row>
    <row r="396" spans="1:13" ht="15.75" customHeight="1">
      <c r="A396">
        <f ca="1">IFERROR(__xludf.DUMMYFUNCTION("""COMPUTED_VALUE"""),150)</f>
        <v>150</v>
      </c>
      <c r="B396" t="str">
        <f ca="1">IFERROR(__xludf.DUMMYFUNCTION("""COMPUTED_VALUE"""),"Gouveia, L. (2017). O Digital e as pessoas no contexto ciber. Cidadania, 
Democracia e Governação Eletrónica. Curso de Cibersegurança e Gestão de 
Crises no Ciberespaço. 5ª edição. 3 de Abril. Instituto Nacional de Defesa 
(IDN). Lisboa.
[ handle ]")</f>
        <v>Gouveia, L. (2017). O Digital e as pessoas no contexto ciber. Cidadania, 
Democracia e Governação Eletrónica. Curso de Cibersegurança e Gestão de 
Crises no Ciberespaço. 5ª edição. 3 de Abril. Instituto Nacional de Defesa 
(IDN). Lisboa.
[ handle ]</v>
      </c>
      <c r="C396" s="2">
        <f t="shared" ca="1" si="31"/>
        <v>13</v>
      </c>
      <c r="D396" t="str">
        <f t="shared" ca="1" si="53"/>
        <v xml:space="preserve">Gouveia, L. </v>
      </c>
      <c r="E396" t="str">
        <f t="shared" ca="1" si="48"/>
        <v>2017</v>
      </c>
      <c r="F396" t="str">
        <f t="shared" ca="1" si="49"/>
        <v xml:space="preserve"> O Digital e as pessoas no contexto ciber. </v>
      </c>
      <c r="G396" s="3">
        <f t="shared" ca="1" si="50"/>
        <v>18</v>
      </c>
      <c r="H396" s="2">
        <f t="shared" ca="1" si="51"/>
        <v>61</v>
      </c>
      <c r="I396" t="str">
        <f t="shared" ca="1" si="52"/>
        <v>Cidadania, 
Democracia e Governação Eletrónica. Curso de Cibersegurança e Gestão de 
Crises no Ciberespaço. 5ª edição. 3 de Abril. Instituto Nacional de Defesa 
(IDN).</v>
      </c>
      <c r="J396" s="3">
        <f t="shared" ca="1" si="54"/>
        <v>228</v>
      </c>
      <c r="K396" t="str">
        <f t="shared" ca="1" si="32"/>
        <v xml:space="preserve">Gouveia, L. </v>
      </c>
      <c r="L396" t="str">
        <f t="shared" ca="1" si="33"/>
        <v xml:space="preserve">Quental, C. </v>
      </c>
    </row>
    <row r="397" spans="1:13" ht="15.75" customHeight="1">
      <c r="A397">
        <f ca="1">IFERROR(__xludf.DUMMYFUNCTION("""COMPUTED_VALUE"""),149)</f>
        <v>149</v>
      </c>
      <c r="B397" t="str">
        <f ca="1">IFERROR(__xludf.DUMMYFUNCTION("""COMPUTED_VALUE"""),"Gouveia, L. (2017). Da transmissão à partilha e do desempenho à interação. 
Tecnologias de ensino no “Saber Fazer”. Seminário Tecnologias no Ensino / 
formação Saber Fazer. 9 de Novembro de 2017, Auditório do Citeforma, Lisboa.
[ handle ]")</f>
        <v>Gouveia, L. (2017). Da transmissão à partilha e do desempenho à interação. 
Tecnologias de ensino no “Saber Fazer”. Seminário Tecnologias no Ensino / 
formação Saber Fazer. 9 de Novembro de 2017, Auditório do Citeforma, Lisboa.
[ handle ]</v>
      </c>
      <c r="C397" s="2">
        <f t="shared" ca="1" si="31"/>
        <v>13</v>
      </c>
      <c r="D397" t="str">
        <f t="shared" ca="1" si="53"/>
        <v xml:space="preserve">Gouveia, L. </v>
      </c>
      <c r="E397" t="str">
        <f t="shared" ca="1" si="48"/>
        <v>2017</v>
      </c>
      <c r="F397" t="str">
        <f t="shared" ca="1" si="49"/>
        <v xml:space="preserve"> Da transmissão à partilha e do desempenho à interação. </v>
      </c>
      <c r="G397" s="3">
        <f t="shared" ca="1" si="50"/>
        <v>18</v>
      </c>
      <c r="H397" s="2">
        <f t="shared" ca="1" si="51"/>
        <v>74</v>
      </c>
      <c r="I397" t="e">
        <f t="shared" ca="1" si="52"/>
        <v>#VALUE!</v>
      </c>
      <c r="J397" s="3" t="e">
        <f t="shared" ca="1" si="54"/>
        <v>#VALUE!</v>
      </c>
      <c r="K397" t="str">
        <f t="shared" ca="1" si="32"/>
        <v xml:space="preserve">Gouveia, L. </v>
      </c>
      <c r="L397" t="str">
        <f t="shared" ca="1" si="33"/>
        <v xml:space="preserve">Quental, C. </v>
      </c>
    </row>
    <row r="398" spans="1:13" ht="15.75" customHeight="1">
      <c r="A398">
        <f ca="1">IFERROR(__xludf.DUMMYFUNCTION("""COMPUTED_VALUE"""),148)</f>
        <v>148</v>
      </c>
      <c r="B398" t="str">
        <f ca="1">IFERROR(__xludf.DUMMYFUNCTION("""COMPUTED_VALUE"""),"(2017). Gouveia, L. (2017). O Digital e a Universidade uma reflexão para um 
tempo novo. Aula de Abertura do Mestrado em Comunicação Digital. 7 de 
Novembro de 2017, Universidade Católica Portuguesa, Braga.
[ handle ]")</f>
        <v>(2017). Gouveia, L. (2017). O Digital e a Universidade uma reflexão para um 
tempo novo. Aula de Abertura do Mestrado em Comunicação Digital. 7 de 
Novembro de 2017, Universidade Católica Portuguesa, Braga.
[ handle ]</v>
      </c>
      <c r="C398" s="2">
        <f t="shared" ca="1" si="31"/>
        <v>1</v>
      </c>
      <c r="D398" t="str">
        <f t="shared" ca="1" si="53"/>
        <v/>
      </c>
      <c r="E398" t="str">
        <f t="shared" ca="1" si="48"/>
        <v>2017</v>
      </c>
      <c r="F398" t="str">
        <f t="shared" ca="1" si="49"/>
        <v xml:space="preserve"> Gouveia, L. </v>
      </c>
      <c r="G398" s="3">
        <f t="shared" ca="1" si="50"/>
        <v>6</v>
      </c>
      <c r="H398" s="2">
        <f t="shared" ca="1" si="51"/>
        <v>19</v>
      </c>
      <c r="I398" t="str">
        <f t="shared" ca="1" si="52"/>
        <v>(2017).</v>
      </c>
      <c r="J398" s="3">
        <f t="shared" ca="1" si="54"/>
        <v>26</v>
      </c>
      <c r="K398" t="str">
        <f t="shared" ca="1" si="32"/>
        <v/>
      </c>
      <c r="L398" t="str">
        <f t="shared" ca="1" si="33"/>
        <v xml:space="preserve">Quental, C. </v>
      </c>
    </row>
    <row r="399" spans="1:13" ht="15.75" customHeight="1">
      <c r="A399">
        <f ca="1">IFERROR(__xludf.DUMMYFUNCTION("""COMPUTED_VALUE"""),147)</f>
        <v>147</v>
      </c>
      <c r="B399" t="str">
        <f ca="1">IFERROR(__xludf.DUMMYFUNCTION("""COMPUTED_VALUE"""),"Gouveia, L. (2017). Desafios e certezas para o Capital Humano e Intelectual 
na Administração Pública. Keynote do painel 3, Capacitação para as novas 
tecnologias. Conferência egovernment 2017. A transformação digital do 
Estado e o desenvolvimento da Soc"&amp;"iedade. APDSI. Auditório da Torre do 
Tombo. Lisboa. 4 de Outubro.
[ handle ]")</f>
        <v>Gouveia, L. (2017). Desafios e certezas para o Capital Humano e Intelectual 
na Administração Pública. Keynote do painel 3, Capacitação para as novas 
tecnologias. Conferência egovernment 2017. A transformação digital do 
Estado e o desenvolvimento da Sociedade. APDSI. Auditório da Torre do 
Tombo. Lisboa. 4 de Outubro.
[ handle ]</v>
      </c>
      <c r="C399" s="2">
        <f t="shared" ca="1" si="31"/>
        <v>13</v>
      </c>
      <c r="D399" t="str">
        <f t="shared" ca="1" si="53"/>
        <v xml:space="preserve">Gouveia, L. </v>
      </c>
      <c r="E399" t="str">
        <f t="shared" ca="1" si="48"/>
        <v>2017</v>
      </c>
      <c r="F399" t="str">
        <f t="shared" ca="1" si="49"/>
        <v xml:space="preserve"> Desafios e certezas para o Capital Humano e Intelectual 
na Administração Pública. </v>
      </c>
      <c r="G399" s="3">
        <f t="shared" ca="1" si="50"/>
        <v>18</v>
      </c>
      <c r="H399" s="2">
        <f t="shared" ca="1" si="51"/>
        <v>102</v>
      </c>
      <c r="I399" t="e">
        <f t="shared" ca="1" si="52"/>
        <v>#VALUE!</v>
      </c>
      <c r="J399" s="3" t="e">
        <f t="shared" ca="1" si="54"/>
        <v>#VALUE!</v>
      </c>
      <c r="K399" t="str">
        <f t="shared" ca="1" si="32"/>
        <v xml:space="preserve">Gouveia, L. </v>
      </c>
      <c r="L399" t="str">
        <f t="shared" ca="1" si="33"/>
        <v xml:space="preserve">Quental, C. </v>
      </c>
    </row>
    <row r="400" spans="1:13" ht="15.75" customHeight="1">
      <c r="A400">
        <f ca="1">IFERROR(__xludf.DUMMYFUNCTION("""COMPUTED_VALUE"""),146)</f>
        <v>146</v>
      </c>
      <c r="B400" t="str">
        <f ca="1">IFERROR(__xludf.DUMMYFUNCTION("""COMPUTED_VALUE"""),"Menezes, N. e Gouveia, L. (2017). O recurso a tecnologias de informação e 
comunicação para suporte da atividade em sala de aula: uma proposta de 
modelo. Universidade Fernando Pessoa. Dias da Investigação na UFP. 11 a 14 
de Julho. Universidade Fernando "&amp;"Pessoa.
[ handle ]")</f>
        <v>Menezes, N. e Gouveia, L. (2017). O recurso a tecnologias de informação e 
comunicação para suporte da atividade em sala de aula: uma proposta de 
modelo. Universidade Fernando Pessoa. Dias da Investigação na UFP. 11 a 14 
de Julho. Universidade Fernando Pessoa.
[ handle ]</v>
      </c>
      <c r="C400" s="2">
        <f t="shared" ca="1" si="31"/>
        <v>27</v>
      </c>
      <c r="D400" t="str">
        <f t="shared" ca="1" si="53"/>
        <v xml:space="preserve">Menezes, N. e Gouveia, L. </v>
      </c>
      <c r="E400" t="str">
        <f t="shared" ca="1" si="48"/>
        <v>2017</v>
      </c>
      <c r="F400" t="str">
        <f t="shared" ca="1" si="49"/>
        <v xml:space="preserve"> O recurso a tecnologias de informação e 
comunicação para suporte da atividade em sala de aula: uma proposta de 
modelo. </v>
      </c>
      <c r="G400" s="3">
        <f t="shared" ca="1" si="50"/>
        <v>32</v>
      </c>
      <c r="H400" s="2">
        <f t="shared" ca="1" si="51"/>
        <v>154</v>
      </c>
      <c r="I400" t="e">
        <f t="shared" ca="1" si="52"/>
        <v>#VALUE!</v>
      </c>
      <c r="J400" s="3" t="e">
        <f t="shared" ca="1" si="54"/>
        <v>#VALUE!</v>
      </c>
      <c r="K400" t="str">
        <f t="shared" ca="1" si="32"/>
        <v xml:space="preserve">Menezes, N. e Gouveia, L. </v>
      </c>
      <c r="L400" t="str">
        <f t="shared" ca="1" si="33"/>
        <v xml:space="preserve">Quental, C. </v>
      </c>
    </row>
    <row r="401" spans="1:13" ht="15.75" customHeight="1">
      <c r="A401">
        <f ca="1">IFERROR(__xludf.DUMMYFUNCTION("""COMPUTED_VALUE"""),145)</f>
        <v>145</v>
      </c>
      <c r="B401" t="str">
        <f ca="1">IFERROR(__xludf.DUMMYFUNCTION("""COMPUTED_VALUE"""),"Alvre, P.; Gouveia, L. e Sousa, S. (2017). A study on using interface 
animations in online shopping sites. Dias da Investigação na UFP. 11 a 14 
de Julho. Universidade Fernando Pessoa. Dias da Investigação na UFP. 11 a 
14 de Julho. Universidade Fernando"&amp;" Pessoa. 
[ handle ]")</f>
        <v>Alvre, P.; Gouveia, L. e Sousa, S. (2017). A study on using interface 
animations in online shopping sites. Dias da Investigação na UFP. 11 a 14 
de Julho. Universidade Fernando Pessoa. Dias da Investigação na UFP. 11 a 
14 de Julho. Universidade Fernando Pessoa. 
[ handle ]</v>
      </c>
      <c r="C401" s="2">
        <f t="shared" ca="1" si="31"/>
        <v>36</v>
      </c>
      <c r="D401" t="str">
        <f t="shared" ca="1" si="53"/>
        <v xml:space="preserve">Alvre, P.; Gouveia, L. e Sousa, S. </v>
      </c>
      <c r="E401" t="str">
        <f t="shared" ca="1" si="48"/>
        <v>2017</v>
      </c>
      <c r="F401" t="str">
        <f t="shared" ca="1" si="49"/>
        <v xml:space="preserve"> A study on using interface 
animations in online shopping sites. </v>
      </c>
      <c r="G401" s="3">
        <f t="shared" ca="1" si="50"/>
        <v>41</v>
      </c>
      <c r="H401" s="2">
        <f t="shared" ca="1" si="51"/>
        <v>107</v>
      </c>
      <c r="I401" t="e">
        <f t="shared" ca="1" si="52"/>
        <v>#VALUE!</v>
      </c>
      <c r="J401" s="3" t="e">
        <f t="shared" ca="1" si="54"/>
        <v>#VALUE!</v>
      </c>
      <c r="K401" t="str">
        <f t="shared" ca="1" si="32"/>
        <v xml:space="preserve">Alvre, P.; Gouveia, L. e Sousa, S. </v>
      </c>
      <c r="L401" t="str">
        <f t="shared" ca="1" si="33"/>
        <v xml:space="preserve">Quental, C. </v>
      </c>
      <c r="M401" t="str">
        <f ca="1">IFERROR(__xludf.DUMMYFUNCTION("""COMPUTED_VALUE""")," Gouveia, L. e Sousa, S. ")</f>
        <v xml:space="preserve"> Gouveia, L. e Sousa, S. </v>
      </c>
    </row>
    <row r="402" spans="1:13" ht="15.75" customHeight="1">
      <c r="A402">
        <f ca="1">IFERROR(__xludf.DUMMYFUNCTION("""COMPUTED_VALUE"""),144)</f>
        <v>144</v>
      </c>
      <c r="B402" t="str">
        <f ca="1">IFERROR(__xludf.DUMMYFUNCTION("""COMPUTED_VALUE"""),"Oliveira, M. e Gouveia, L. (2017). Estudo da viabilidade da técnica de 
densidade radiográfica para mensuração de densidade óssea. Dias da 
Investigação na UFP. 11 a 14 de Julho. Universidade Fernando Pessoa.
[ handle ]")</f>
        <v>Oliveira, M. e Gouveia, L. (2017). Estudo da viabilidade da técnica de 
densidade radiográfica para mensuração de densidade óssea. Dias da 
Investigação na UFP. 11 a 14 de Julho. Universidade Fernando Pessoa.
[ handle ]</v>
      </c>
      <c r="C402" s="2">
        <f t="shared" ca="1" si="31"/>
        <v>28</v>
      </c>
      <c r="D402" t="str">
        <f t="shared" ca="1" si="53"/>
        <v xml:space="preserve">Oliveira, M. e Gouveia, L. </v>
      </c>
      <c r="E402" t="str">
        <f t="shared" ca="1" si="48"/>
        <v>2017</v>
      </c>
      <c r="F402" t="str">
        <f t="shared" ca="1" si="49"/>
        <v xml:space="preserve"> Estudo da viabilidade da técnica de 
densidade radiográfica para mensuração de densidade óssea. </v>
      </c>
      <c r="G402" s="3">
        <f t="shared" ca="1" si="50"/>
        <v>33</v>
      </c>
      <c r="H402" s="2">
        <f t="shared" ca="1" si="51"/>
        <v>130</v>
      </c>
      <c r="I402" t="e">
        <f t="shared" ca="1" si="52"/>
        <v>#VALUE!</v>
      </c>
      <c r="J402" s="3" t="e">
        <f t="shared" ca="1" si="54"/>
        <v>#VALUE!</v>
      </c>
      <c r="K402" t="str">
        <f t="shared" ca="1" si="32"/>
        <v xml:space="preserve">Oliveira, M. e Gouveia, L. </v>
      </c>
      <c r="L402" t="str">
        <f t="shared" ca="1" si="33"/>
        <v xml:space="preserve">Quental, C. </v>
      </c>
    </row>
    <row r="403" spans="1:13" ht="15.75" customHeight="1">
      <c r="A403">
        <f ca="1">IFERROR(__xludf.DUMMYFUNCTION("""COMPUTED_VALUE"""),143)</f>
        <v>143</v>
      </c>
      <c r="B403" t="str">
        <f ca="1">IFERROR(__xludf.DUMMYFUNCTION("""COMPUTED_VALUE"""),"Correia, A. e Gouveia, L. (2017). Cidades Digitais: uma perspetiva 
diferenciada dos espaços na cidade. Dias da Investigação na UFP. 11 a 14 de 
Julho. Universidade Fernando Pessoa.
[ handle ]")</f>
        <v>Correia, A. e Gouveia, L. (2017). Cidades Digitais: uma perspetiva 
diferenciada dos espaços na cidade. Dias da Investigação na UFP. 11 a 14 de 
Julho. Universidade Fernando Pessoa.
[ handle ]</v>
      </c>
      <c r="C403" s="2">
        <f t="shared" ca="1" si="31"/>
        <v>27</v>
      </c>
      <c r="D403" t="str">
        <f t="shared" ca="1" si="53"/>
        <v xml:space="preserve">Correia, A. e Gouveia, L. </v>
      </c>
      <c r="E403" t="str">
        <f t="shared" ca="1" si="48"/>
        <v>2017</v>
      </c>
      <c r="F403" t="str">
        <f t="shared" ca="1" si="49"/>
        <v xml:space="preserve"> Cidades Digitais: uma perspetiva 
diferenciada dos espaços na cidade. </v>
      </c>
      <c r="G403" s="3">
        <f t="shared" ca="1" si="50"/>
        <v>32</v>
      </c>
      <c r="H403" s="2">
        <f t="shared" ca="1" si="51"/>
        <v>103</v>
      </c>
      <c r="I403" t="e">
        <f t="shared" ca="1" si="52"/>
        <v>#VALUE!</v>
      </c>
      <c r="J403" s="3" t="e">
        <f t="shared" ca="1" si="54"/>
        <v>#VALUE!</v>
      </c>
      <c r="K403" t="str">
        <f t="shared" ca="1" si="32"/>
        <v xml:space="preserve">Correia, A. e Gouveia, L. </v>
      </c>
      <c r="L403" t="str">
        <f t="shared" ca="1" si="33"/>
        <v xml:space="preserve">Quental, C. </v>
      </c>
    </row>
    <row r="404" spans="1:13" ht="15.75" customHeight="1">
      <c r="A404">
        <f ca="1">IFERROR(__xludf.DUMMYFUNCTION("""COMPUTED_VALUE"""),142)</f>
        <v>142</v>
      </c>
      <c r="B404" t="str">
        <f ca="1">IFERROR(__xludf.DUMMYFUNCTION("""COMPUTED_VALUE"""),"Morgado, R. e Gouveia, L. (2017). A importância da proteção do ciberespaço. 
Dias da Investigação na UFP. 11 a 14 de Julho. Universidade Fernando Pessoa.
[ handle ]")</f>
        <v>Morgado, R. e Gouveia, L. (2017). A importância da proteção do ciberespaço. 
Dias da Investigação na UFP. 11 a 14 de Julho. Universidade Fernando Pessoa.
[ handle ]</v>
      </c>
      <c r="C404" s="2">
        <f t="shared" ca="1" si="31"/>
        <v>27</v>
      </c>
      <c r="D404" t="str">
        <f t="shared" ca="1" si="53"/>
        <v xml:space="preserve">Morgado, R. e Gouveia, L. </v>
      </c>
      <c r="E404" t="str">
        <f t="shared" ca="1" si="48"/>
        <v>2017</v>
      </c>
      <c r="F404" t="str">
        <f t="shared" ca="1" si="49"/>
        <v xml:space="preserve"> A importância da proteção do ciberespaço. </v>
      </c>
      <c r="G404" s="3">
        <f t="shared" ca="1" si="50"/>
        <v>32</v>
      </c>
      <c r="H404" s="2">
        <f t="shared" ca="1" si="51"/>
        <v>75</v>
      </c>
      <c r="I404" t="e">
        <f t="shared" ca="1" si="52"/>
        <v>#VALUE!</v>
      </c>
      <c r="J404" s="3" t="e">
        <f t="shared" ca="1" si="54"/>
        <v>#VALUE!</v>
      </c>
      <c r="K404" t="str">
        <f t="shared" ca="1" si="32"/>
        <v xml:space="preserve">Morgado, R. e Gouveia, L. </v>
      </c>
      <c r="L404" t="str">
        <f t="shared" ca="1" si="33"/>
        <v xml:space="preserve">Quental, C. </v>
      </c>
    </row>
    <row r="405" spans="1:13" ht="15.75" customHeight="1">
      <c r="A405">
        <f ca="1">IFERROR(__xludf.DUMMYFUNCTION("""COMPUTED_VALUE"""),141)</f>
        <v>141</v>
      </c>
      <c r="B405" t="str">
        <f ca="1">IFERROR(__xludf.DUMMYFUNCTION("""COMPUTED_VALUE"""),"Khan, S. e Gouveia, L. (2017). Requirement for a MSL (Minimum Service 
Level) model for cloud providers and users. Dias da Investigação na UFP. 11 
a 14 de Julho. Universidade Fernando Pessoa. 
[ handle ]")</f>
        <v>Khan, S. e Gouveia, L. (2017). Requirement for a MSL (Minimum Service 
Level) model for cloud providers and users. Dias da Investigação na UFP. 11 
a 14 de Julho. Universidade Fernando Pessoa. 
[ handle ]</v>
      </c>
      <c r="C405" s="2">
        <f t="shared" ca="1" si="31"/>
        <v>24</v>
      </c>
      <c r="D405" t="str">
        <f t="shared" ca="1" si="53"/>
        <v xml:space="preserve">Khan, S. e Gouveia, L. </v>
      </c>
      <c r="E405" t="str">
        <f t="shared" ca="1" si="48"/>
        <v>2017</v>
      </c>
      <c r="F405" t="str">
        <f t="shared" ca="1" si="49"/>
        <v xml:space="preserve"> Requirement for a MSL (Minimum Service 
Level) model for cloud providers and users. </v>
      </c>
      <c r="G405" s="3">
        <f t="shared" ca="1" si="50"/>
        <v>29</v>
      </c>
      <c r="H405" s="2">
        <f t="shared" ca="1" si="51"/>
        <v>114</v>
      </c>
      <c r="I405" t="e">
        <f t="shared" ca="1" si="52"/>
        <v>#VALUE!</v>
      </c>
      <c r="J405" s="3" t="e">
        <f t="shared" ca="1" si="54"/>
        <v>#VALUE!</v>
      </c>
      <c r="K405" t="str">
        <f t="shared" ca="1" si="32"/>
        <v xml:space="preserve">Khan, S. e Gouveia, L. </v>
      </c>
      <c r="L405" t="str">
        <f t="shared" ca="1" si="33"/>
        <v xml:space="preserve">Quental, C. </v>
      </c>
    </row>
    <row r="406" spans="1:13" ht="15.75" customHeight="1">
      <c r="A406">
        <f ca="1">IFERROR(__xludf.DUMMYFUNCTION("""COMPUTED_VALUE"""),140)</f>
        <v>140</v>
      </c>
      <c r="B406" t="str">
        <f ca="1">IFERROR(__xludf.DUMMYFUNCTION("""COMPUTED_VALUE"""),"Araújo, P.; Gouveia, L. e Toldy, T. (2017). Gestão de uma construção que 
possui uma dupla estrutura performativa: construtores e usuários como 
autores de uma plataforma digital. Dias da Investigação na UFP. 11 a 14 de 
Julho. Universidade Fernando Pesso"&amp;"a.
[ handle ]")</f>
        <v>Araújo, P.; Gouveia, L. e Toldy, T. (2017). Gestão de uma construção que 
possui uma dupla estrutura performativa: construtores e usuários como 
autores de uma plataforma digital. Dias da Investigação na UFP. 11 a 14 de 
Julho. Universidade Fernando Pessoa.
[ handle ]</v>
      </c>
      <c r="C406" s="2">
        <f t="shared" ca="1" si="31"/>
        <v>37</v>
      </c>
      <c r="D406" t="str">
        <f t="shared" ca="1" si="53"/>
        <v xml:space="preserve">Araújo, P.; Gouveia, L. e Toldy, T. </v>
      </c>
      <c r="E406" t="str">
        <f t="shared" ca="1" si="48"/>
        <v>2017</v>
      </c>
      <c r="F406" t="str">
        <f t="shared" ca="1" si="49"/>
        <v xml:space="preserve"> Gestão de uma construção que 
possui uma dupla estrutura performativa: construtores e usuários como 
autores de uma plataforma digital. </v>
      </c>
      <c r="G406" s="3">
        <f t="shared" ca="1" si="50"/>
        <v>42</v>
      </c>
      <c r="H406" s="2">
        <f t="shared" ca="1" si="51"/>
        <v>179</v>
      </c>
      <c r="I406" t="e">
        <f t="shared" ca="1" si="52"/>
        <v>#VALUE!</v>
      </c>
      <c r="J406" s="3" t="e">
        <f t="shared" ca="1" si="54"/>
        <v>#VALUE!</v>
      </c>
      <c r="K406" t="str">
        <f t="shared" ca="1" si="32"/>
        <v xml:space="preserve">Araújo, P.; Gouveia, L. e Toldy, T. </v>
      </c>
      <c r="L406" t="str">
        <f t="shared" ca="1" si="33"/>
        <v xml:space="preserve">Quental, C. </v>
      </c>
      <c r="M406" t="str">
        <f ca="1">IFERROR(__xludf.DUMMYFUNCTION("""COMPUTED_VALUE""")," Gouveia, L. e Toldy, T. ")</f>
        <v xml:space="preserve"> Gouveia, L. e Toldy, T. </v>
      </c>
    </row>
    <row r="407" spans="1:13" ht="15.75" customHeight="1">
      <c r="A407">
        <f ca="1">IFERROR(__xludf.DUMMYFUNCTION("""COMPUTED_VALUE"""),139)</f>
        <v>139</v>
      </c>
      <c r="B407" t="str">
        <f ca="1">IFERROR(__xludf.DUMMYFUNCTION("""COMPUTED_VALUE"""),"Erdem, M. e Gouveia, L. (2017). The concept of tourism security and 
importance of ICT usage in Portugal. Dias da Investigação na UFP. 11 a 14 
de Julho. Universidade Fernando Pessoa. 
[ handle ]")</f>
        <v>Erdem, M. e Gouveia, L. (2017). The concept of tourism security and 
importance of ICT usage in Portugal. Dias da Investigação na UFP. 11 a 14 
de Julho. Universidade Fernando Pessoa. 
[ handle ]</v>
      </c>
      <c r="C407" s="2">
        <f t="shared" ca="1" si="31"/>
        <v>25</v>
      </c>
      <c r="D407" t="str">
        <f t="shared" ca="1" si="53"/>
        <v xml:space="preserve">Erdem, M. e Gouveia, L. </v>
      </c>
      <c r="E407" t="str">
        <f t="shared" ca="1" si="48"/>
        <v>2017</v>
      </c>
      <c r="F407" t="str">
        <f t="shared" ca="1" si="49"/>
        <v xml:space="preserve"> The concept of tourism security and 
importance of ICT usage in Portugal. </v>
      </c>
      <c r="G407" s="3">
        <f t="shared" ca="1" si="50"/>
        <v>30</v>
      </c>
      <c r="H407" s="2">
        <f t="shared" ca="1" si="51"/>
        <v>105</v>
      </c>
      <c r="I407" t="e">
        <f t="shared" ca="1" si="52"/>
        <v>#VALUE!</v>
      </c>
      <c r="J407" s="3" t="e">
        <f t="shared" ca="1" si="54"/>
        <v>#VALUE!</v>
      </c>
      <c r="K407" t="str">
        <f t="shared" ca="1" si="32"/>
        <v xml:space="preserve">Erdem, M. e Gouveia, L. </v>
      </c>
      <c r="L407" t="str">
        <f t="shared" ca="1" si="33"/>
        <v xml:space="preserve">Quental, C. </v>
      </c>
    </row>
    <row r="408" spans="1:13" ht="15.75" customHeight="1">
      <c r="A408">
        <f ca="1">IFERROR(__xludf.DUMMYFUNCTION("""COMPUTED_VALUE"""),138)</f>
        <v>138</v>
      </c>
      <c r="B408" t="str">
        <f ca="1">IFERROR(__xludf.DUMMYFUNCTION("""COMPUTED_VALUE"""),"Quental, C. e Gouveia, L. (2017). Mediação digital para participação 
pública: experiências de utilização em organizações sindicais. Dias da 
Investigação na UFP. 11 a 14 de Julho. Universidade Fernando Pessoa.
[ handle ]")</f>
        <v>Quental, C. e Gouveia, L. (2017). Mediação digital para participação 
pública: experiências de utilização em organizações sindicais. Dias da 
Investigação na UFP. 11 a 14 de Julho. Universidade Fernando Pessoa.
[ handle ]</v>
      </c>
      <c r="C408" s="2">
        <f t="shared" ca="1" si="31"/>
        <v>27</v>
      </c>
      <c r="D408" t="str">
        <f t="shared" ca="1" si="53"/>
        <v xml:space="preserve">Quental, C. e Gouveia, L. </v>
      </c>
      <c r="E408" t="str">
        <f t="shared" ca="1" si="48"/>
        <v>2017</v>
      </c>
      <c r="F408" t="str">
        <f t="shared" ca="1" si="49"/>
        <v xml:space="preserve"> Mediação digital para participação 
pública: experiências de utilização em organizações sindicais. </v>
      </c>
      <c r="G408" s="3">
        <f t="shared" ca="1" si="50"/>
        <v>32</v>
      </c>
      <c r="H408" s="2">
        <f t="shared" ca="1" si="51"/>
        <v>132</v>
      </c>
      <c r="I408" t="e">
        <f t="shared" ca="1" si="52"/>
        <v>#VALUE!</v>
      </c>
      <c r="J408" s="3" t="e">
        <f t="shared" ca="1" si="54"/>
        <v>#VALUE!</v>
      </c>
      <c r="K408" t="str">
        <f t="shared" ca="1" si="32"/>
        <v xml:space="preserve">Quental, C. e Gouveia, L. </v>
      </c>
      <c r="L408" t="str">
        <f t="shared" ca="1" si="33"/>
        <v xml:space="preserve">Quental, C. </v>
      </c>
    </row>
    <row r="409" spans="1:13" ht="15.75" customHeight="1">
      <c r="A409">
        <f ca="1">IFERROR(__xludf.DUMMYFUNCTION("""COMPUTED_VALUE"""),137)</f>
        <v>137</v>
      </c>
      <c r="B409" t="str">
        <f ca="1">IFERROR(__xludf.DUMMYFUNCTION("""COMPUTED_VALUE"""),"Alfredo, P. e Gouveia, L. (2017). Discussão de um modelo conceptual de 
Governo Eletrónico Local para Angola. Dias da Investigação na UFP. 11 a 14 
de Julho. Universidade Fernando Pessoa.
[ handle ]")</f>
        <v>Alfredo, P. e Gouveia, L. (2017). Discussão de um modelo conceptual de 
Governo Eletrónico Local para Angola. Dias da Investigação na UFP. 11 a 14 
de Julho. Universidade Fernando Pessoa.
[ handle ]</v>
      </c>
      <c r="C409" s="2">
        <f t="shared" ca="1" si="31"/>
        <v>27</v>
      </c>
      <c r="D409" t="str">
        <f t="shared" ca="1" si="53"/>
        <v xml:space="preserve">Alfredo, P. e Gouveia, L. </v>
      </c>
      <c r="E409" t="str">
        <f t="shared" ca="1" si="48"/>
        <v>2017</v>
      </c>
      <c r="F409" t="str">
        <f t="shared" ca="1" si="49"/>
        <v xml:space="preserve"> Discussão de um modelo conceptual de 
Governo Eletrónico Local para Angola. </v>
      </c>
      <c r="G409" s="3">
        <f t="shared" ca="1" si="50"/>
        <v>32</v>
      </c>
      <c r="H409" s="2">
        <f t="shared" ca="1" si="51"/>
        <v>109</v>
      </c>
      <c r="I409" t="e">
        <f t="shared" ca="1" si="52"/>
        <v>#VALUE!</v>
      </c>
      <c r="J409" s="3" t="e">
        <f t="shared" ca="1" si="54"/>
        <v>#VALUE!</v>
      </c>
      <c r="K409" t="str">
        <f t="shared" ca="1" si="32"/>
        <v xml:space="preserve">Alfredo, P. e Gouveia, L. </v>
      </c>
      <c r="L409" t="str">
        <f t="shared" ca="1" si="33"/>
        <v xml:space="preserve">Quental, C. </v>
      </c>
    </row>
    <row r="410" spans="1:13" ht="15.75" customHeight="1">
      <c r="A410">
        <f ca="1">IFERROR(__xludf.DUMMYFUNCTION("""COMPUTED_VALUE"""),136)</f>
        <v>136</v>
      </c>
      <c r="B410" t="str">
        <f ca="1">IFERROR(__xludf.DUMMYFUNCTION("""COMPUTED_VALUE"""),"Santos, F. e Gouveia, L. (2017). Estudo de fatores importantes da gestão do 
conhecimento para desenvolvimento no contexto do ensino superior. Dias da 
Investigação na UFP. 11 a 14 de Julho. Universidade Fernando Pessoa.
[ handle ]")</f>
        <v>Santos, F. e Gouveia, L. (2017). Estudo de fatores importantes da gestão do 
conhecimento para desenvolvimento no contexto do ensino superior. Dias da 
Investigação na UFP. 11 a 14 de Julho. Universidade Fernando Pessoa.
[ handle ]</v>
      </c>
      <c r="C410" s="2">
        <f t="shared" ca="1" si="31"/>
        <v>26</v>
      </c>
      <c r="D410" t="str">
        <f t="shared" ca="1" si="53"/>
        <v xml:space="preserve">Santos, F. e Gouveia, L. </v>
      </c>
      <c r="E410" t="str">
        <f t="shared" ca="1" si="48"/>
        <v>2017</v>
      </c>
      <c r="F410" t="str">
        <f t="shared" ca="1" si="49"/>
        <v xml:space="preserve"> Estudo de fatores importantes da gestão do 
conhecimento para desenvolvimento no contexto do ensino superior. </v>
      </c>
      <c r="G410" s="3">
        <f t="shared" ca="1" si="50"/>
        <v>31</v>
      </c>
      <c r="H410" s="2">
        <f t="shared" ca="1" si="51"/>
        <v>142</v>
      </c>
      <c r="I410" t="e">
        <f t="shared" ca="1" si="52"/>
        <v>#VALUE!</v>
      </c>
      <c r="J410" s="3" t="e">
        <f t="shared" ca="1" si="54"/>
        <v>#VALUE!</v>
      </c>
      <c r="K410" t="str">
        <f t="shared" ca="1" si="32"/>
        <v xml:space="preserve">Santos, F. e Gouveia, L. </v>
      </c>
      <c r="L410" t="str">
        <f t="shared" ca="1" si="33"/>
        <v xml:space="preserve">Quental, C. </v>
      </c>
    </row>
    <row r="411" spans="1:13" ht="15.75" customHeight="1">
      <c r="A411">
        <f ca="1">IFERROR(__xludf.DUMMYFUNCTION("""COMPUTED_VALUE"""),135)</f>
        <v>135</v>
      </c>
      <c r="B411" t="str">
        <f ca="1">IFERROR(__xludf.DUMMYFUNCTION("""COMPUTED_VALUE"""),"Rocha, L. e Gouveia, L. (2017). A economia partilhada e os fatores que a 
influenciam. Dias da Investigação na UFP. 11 a 14 de Julho. Universidade 
Fernando Pessoa. Dias da Investigação na UFP. 11 a 14 de Julho. 
Universidade Fernando Pessoa.
[ handle ]")</f>
        <v>Rocha, L. e Gouveia, L. (2017). A economia partilhada e os fatores que a 
influenciam. Dias da Investigação na UFP. 11 a 14 de Julho. Universidade 
Fernando Pessoa. Dias da Investigação na UFP. 11 a 14 de Julho. 
Universidade Fernando Pessoa.
[ handle ]</v>
      </c>
      <c r="C411" s="2">
        <f t="shared" ca="1" si="31"/>
        <v>25</v>
      </c>
      <c r="D411" t="str">
        <f t="shared" ca="1" si="53"/>
        <v xml:space="preserve">Rocha, L. e Gouveia, L. </v>
      </c>
      <c r="E411" t="str">
        <f t="shared" ca="1" si="48"/>
        <v>2017</v>
      </c>
      <c r="F411" t="str">
        <f t="shared" ca="1" si="49"/>
        <v xml:space="preserve"> A economia partilhada e os fatores que a 
influenciam. </v>
      </c>
      <c r="G411" s="3">
        <f t="shared" ca="1" si="50"/>
        <v>30</v>
      </c>
      <c r="H411" s="2">
        <f t="shared" ca="1" si="51"/>
        <v>86</v>
      </c>
      <c r="I411" t="e">
        <f t="shared" ca="1" si="52"/>
        <v>#VALUE!</v>
      </c>
      <c r="J411" s="3" t="e">
        <f t="shared" ca="1" si="54"/>
        <v>#VALUE!</v>
      </c>
      <c r="K411" t="str">
        <f t="shared" ca="1" si="32"/>
        <v xml:space="preserve">Rocha, L. e Gouveia, L. </v>
      </c>
      <c r="L411" t="str">
        <f t="shared" ca="1" si="33"/>
        <v xml:space="preserve">Quental, C. </v>
      </c>
    </row>
    <row r="412" spans="1:13" ht="15.75" customHeight="1">
      <c r="A412">
        <f ca="1">IFERROR(__xludf.DUMMYFUNCTION("""COMPUTED_VALUE"""),134)</f>
        <v>134</v>
      </c>
      <c r="B412" t="str">
        <f ca="1">IFERROR(__xludf.DUMMYFUNCTION("""COMPUTED_VALUE"""),"Cordeiro, I.; Gouveia, L. e Cardoso, P. (2017). A atração dos consumidores 
para o comércio tradicional num contexto digital: requisitos e expetativas. 
Dias da Investigação na UFP. 11 a 14 de Julho. Universidade Fernando Pessoa.
[ handle ]")</f>
        <v>Cordeiro, I.; Gouveia, L. e Cardoso, P. (2017). A atração dos consumidores 
para o comércio tradicional num contexto digital: requisitos e expetativas. 
Dias da Investigação na UFP. 11 a 14 de Julho. Universidade Fernando Pessoa.
[ handle ]</v>
      </c>
      <c r="C412" s="2">
        <f t="shared" ca="1" si="31"/>
        <v>41</v>
      </c>
      <c r="D412" t="str">
        <f t="shared" ca="1" si="53"/>
        <v xml:space="preserve">Cordeiro, I.; Gouveia, L. e Cardoso, P. </v>
      </c>
      <c r="E412" t="str">
        <f t="shared" ca="1" si="48"/>
        <v>2017</v>
      </c>
      <c r="F412" t="str">
        <f t="shared" ca="1" si="49"/>
        <v xml:space="preserve"> A atração dos consumidores 
para o comércio tradicional num contexto digital: requisitos e expetativas. </v>
      </c>
      <c r="G412" s="3">
        <f t="shared" ca="1" si="50"/>
        <v>46</v>
      </c>
      <c r="H412" s="2">
        <f t="shared" ca="1" si="51"/>
        <v>151</v>
      </c>
      <c r="I412" t="e">
        <f t="shared" ca="1" si="52"/>
        <v>#VALUE!</v>
      </c>
      <c r="J412" s="3" t="e">
        <f t="shared" ca="1" si="54"/>
        <v>#VALUE!</v>
      </c>
      <c r="K412" t="str">
        <f t="shared" ca="1" si="32"/>
        <v xml:space="preserve">Cordeiro, I.; Gouveia, L. e Cardoso, P. </v>
      </c>
      <c r="L412" t="str">
        <f t="shared" ca="1" si="33"/>
        <v xml:space="preserve">Quental, C. </v>
      </c>
      <c r="M412" t="str">
        <f ca="1">IFERROR(__xludf.DUMMYFUNCTION("""COMPUTED_VALUE""")," Gouveia, L. e Cardoso, P. ")</f>
        <v xml:space="preserve"> Gouveia, L. e Cardoso, P. </v>
      </c>
    </row>
    <row r="413" spans="1:13" ht="15.75" customHeight="1">
      <c r="A413">
        <f ca="1">IFERROR(__xludf.DUMMYFUNCTION("""COMPUTED_VALUE"""),133)</f>
        <v>133</v>
      </c>
      <c r="B413" t="str">
        <f ca="1">IFERROR(__xludf.DUMMYFUNCTION("""COMPUTED_VALUE"""),"Ramada, O. e Gouveia, L. (2017). Proposta de uma abordagem para a 
(re)qualificação dinâmica do capital intelectual. Dias da Investigação na 
UFP. 11 a 14 de Julho. Universidade Fernando Pessoa.
[ handle ]")</f>
        <v>Ramada, O. e Gouveia, L. (2017). Proposta de uma abordagem para a 
(re)qualificação dinâmica do capital intelectual. Dias da Investigação na 
UFP. 11 a 14 de Julho. Universidade Fernando Pessoa.
[ handle ]</v>
      </c>
      <c r="C413" s="2">
        <f t="shared" ca="1" si="31"/>
        <v>26</v>
      </c>
      <c r="D413" t="str">
        <f t="shared" ca="1" si="53"/>
        <v xml:space="preserve">Ramada, O. e Gouveia, L. </v>
      </c>
      <c r="E413" t="str">
        <f t="shared" ca="1" si="48"/>
        <v>2017</v>
      </c>
      <c r="F413" t="str">
        <f t="shared" ca="1" si="49"/>
        <v xml:space="preserve"> Proposta de uma abordagem para a 
(re)qualificação dinâmica do capital intelectual. </v>
      </c>
      <c r="G413" s="3">
        <f t="shared" ca="1" si="50"/>
        <v>31</v>
      </c>
      <c r="H413" s="2">
        <f t="shared" ca="1" si="51"/>
        <v>116</v>
      </c>
      <c r="I413" t="e">
        <f t="shared" ca="1" si="52"/>
        <v>#VALUE!</v>
      </c>
      <c r="J413" s="3" t="e">
        <f t="shared" ca="1" si="54"/>
        <v>#VALUE!</v>
      </c>
      <c r="K413" t="str">
        <f t="shared" ca="1" si="32"/>
        <v xml:space="preserve">Ramada, O. e Gouveia, L. </v>
      </c>
      <c r="L413" t="str">
        <f t="shared" ca="1" si="33"/>
        <v xml:space="preserve">Quental, C. </v>
      </c>
    </row>
    <row r="414" spans="1:13" ht="15.75" customHeight="1">
      <c r="A414">
        <f ca="1">IFERROR(__xludf.DUMMYFUNCTION("""COMPUTED_VALUE"""),132)</f>
        <v>132</v>
      </c>
      <c r="B414" t="str">
        <f ca="1">IFERROR(__xludf.DUMMYFUNCTION("""COMPUTED_VALUE"""),"Biltes, N. e Gouveia, L. (2017). Comportamento organizacional: proposta de 
um questionário para estudo do impacto dos incentivos comunitários às 
empresas. O caso das microempresas. Dias da Investigação na UFP. 11 a 14 de 
Julho. Universidade Fernando Pe"&amp;"ssoa.
[ handle ]")</f>
        <v>Biltes, N. e Gouveia, L. (2017). Comportamento organizacional: proposta de 
um questionário para estudo do impacto dos incentivos comunitários às 
empresas. O caso das microempresas. Dias da Investigação na UFP. 11 a 14 de 
Julho. Universidade Fernando Pessoa.
[ handle ]</v>
      </c>
      <c r="C414" s="2">
        <f t="shared" ca="1" si="31"/>
        <v>26</v>
      </c>
      <c r="D414" t="str">
        <f t="shared" ca="1" si="53"/>
        <v xml:space="preserve">Biltes, N. e Gouveia, L. </v>
      </c>
      <c r="E414" t="str">
        <f t="shared" ca="1" si="48"/>
        <v>2017</v>
      </c>
      <c r="F414" t="str">
        <f t="shared" ca="1" si="49"/>
        <v xml:space="preserve"> Comportamento organizacional: proposta de 
um questionário para estudo do impacto dos incentivos comunitários às 
empresas. </v>
      </c>
      <c r="G414" s="3">
        <f t="shared" ca="1" si="50"/>
        <v>31</v>
      </c>
      <c r="H414" s="2">
        <f t="shared" ca="1" si="51"/>
        <v>156</v>
      </c>
      <c r="I414" t="e">
        <f t="shared" ca="1" si="52"/>
        <v>#VALUE!</v>
      </c>
      <c r="J414" s="3" t="e">
        <f t="shared" ca="1" si="54"/>
        <v>#VALUE!</v>
      </c>
      <c r="K414" t="str">
        <f t="shared" ca="1" si="32"/>
        <v xml:space="preserve">Biltes, N. e Gouveia, L. </v>
      </c>
      <c r="L414" t="str">
        <f t="shared" ca="1" si="33"/>
        <v xml:space="preserve">Quental, C. </v>
      </c>
    </row>
    <row r="415" spans="1:13" ht="15.75" customHeight="1">
      <c r="A415">
        <f ca="1">IFERROR(__xludf.DUMMYFUNCTION("""COMPUTED_VALUE"""),131)</f>
        <v>131</v>
      </c>
      <c r="B415" t="str">
        <f ca="1">IFERROR(__xludf.DUMMYFUNCTION("""COMPUTED_VALUE"""),"Silva, C. e Gouveia, L. (2017). Transparência, ‘e-government’ e segurança 
da informação: uma contribuição para a sua discussão no contexto do poder 
público. Dias da Investigação na UFP. 11 a 14 de Julho. Universidade 
Fernando Pessoa.
[ handle ]")</f>
        <v>Silva, C. e Gouveia, L. (2017). Transparência, ‘e-government’ e segurança 
da informação: uma contribuição para a sua discussão no contexto do poder 
público. Dias da Investigação na UFP. 11 a 14 de Julho. Universidade 
Fernando Pessoa.
[ handle ]</v>
      </c>
      <c r="C415" s="2">
        <f t="shared" ca="1" si="31"/>
        <v>25</v>
      </c>
      <c r="D415" t="str">
        <f t="shared" ca="1" si="53"/>
        <v xml:space="preserve">Silva, C. e Gouveia, L. </v>
      </c>
      <c r="E415" t="str">
        <f t="shared" ca="1" si="48"/>
        <v>2017</v>
      </c>
      <c r="F415" t="str">
        <f t="shared" ca="1" si="49"/>
        <v xml:space="preserve"> Transparência, ‘e-government’ e segurança 
da informação: uma contribuição para a sua discussão no contexto do poder 
público. </v>
      </c>
      <c r="G415" s="3">
        <f t="shared" ca="1" si="50"/>
        <v>30</v>
      </c>
      <c r="H415" s="2">
        <f t="shared" ca="1" si="51"/>
        <v>158</v>
      </c>
      <c r="I415" t="e">
        <f t="shared" ca="1" si="52"/>
        <v>#VALUE!</v>
      </c>
      <c r="J415" s="3" t="e">
        <f t="shared" ca="1" si="54"/>
        <v>#VALUE!</v>
      </c>
      <c r="K415" t="str">
        <f t="shared" ca="1" si="32"/>
        <v xml:space="preserve">Silva, C. e Gouveia, L. </v>
      </c>
      <c r="L415" t="str">
        <f t="shared" ca="1" si="33"/>
        <v xml:space="preserve">Quental, C. </v>
      </c>
    </row>
    <row r="416" spans="1:13" ht="15.75" customHeight="1">
      <c r="A416">
        <f ca="1">IFERROR(__xludf.DUMMYFUNCTION("""COMPUTED_VALUE"""),130)</f>
        <v>130</v>
      </c>
      <c r="B416" t="str">
        <f ca="1">IFERROR(__xludf.DUMMYFUNCTION("""COMPUTED_VALUE"""),"Salimo, G. e Gouveia, L. (2017). Dados preliminares sobre o nível de 
utilização e importâncias das TIC no ensino superior em Moçambique para o 
grupo alunos. Dias da Investigação na UFP. 11 a 14 de Julho. Universidade 
Fernando Pessoa.
[ handle ]")</f>
        <v>Salimo, G. e Gouveia, L. (2017). Dados preliminares sobre o nível de 
utilização e importâncias das TIC no ensino superior em Moçambique para o 
grupo alunos. Dias da Investigação na UFP. 11 a 14 de Julho. Universidade 
Fernando Pessoa.
[ handle ]</v>
      </c>
      <c r="C416" s="2">
        <f t="shared" ca="1" si="31"/>
        <v>26</v>
      </c>
      <c r="D416" t="str">
        <f t="shared" ca="1" si="53"/>
        <v xml:space="preserve">Salimo, G. e Gouveia, L. </v>
      </c>
      <c r="E416" t="str">
        <f t="shared" ca="1" si="48"/>
        <v>2017</v>
      </c>
      <c r="F416" t="str">
        <f t="shared" ca="1" si="49"/>
        <v xml:space="preserve"> Dados preliminares sobre o nível de 
utilização e importâncias das TIC no ensino superior em Moçambique para o 
grupo alunos. </v>
      </c>
      <c r="G416" s="3">
        <f t="shared" ca="1" si="50"/>
        <v>31</v>
      </c>
      <c r="H416" s="2">
        <f t="shared" ca="1" si="51"/>
        <v>158</v>
      </c>
      <c r="I416" t="e">
        <f t="shared" ca="1" si="52"/>
        <v>#VALUE!</v>
      </c>
      <c r="J416" s="3" t="e">
        <f t="shared" ca="1" si="54"/>
        <v>#VALUE!</v>
      </c>
      <c r="K416" t="str">
        <f t="shared" ca="1" si="32"/>
        <v xml:space="preserve">Salimo, G. e Gouveia, L. </v>
      </c>
      <c r="L416" t="str">
        <f t="shared" ca="1" si="33"/>
        <v xml:space="preserve">Quental, C. </v>
      </c>
    </row>
    <row r="417" spans="1:13" ht="15.75" customHeight="1">
      <c r="A417">
        <f ca="1">IFERROR(__xludf.DUMMYFUNCTION("""COMPUTED_VALUE"""),129)</f>
        <v>129</v>
      </c>
      <c r="B417" t="str">
        <f ca="1">IFERROR(__xludf.DUMMYFUNCTION("""COMPUTED_VALUE"""),"Nogueira, D. e Gouveia, L. (2017). Estudo preliminar sobre competências nas 
redes digitais como estratégia de fortalecimento da Rede Nacional de 
Escolas de Governo do Brasil. Dias da Investigação na UFP. 11 a 14 de 
Julho. Universidade Fernando Pessoa.
"&amp;"[ handle ]")</f>
        <v>Nogueira, D. e Gouveia, L. (2017). Estudo preliminar sobre competências nas 
redes digitais como estratégia de fortalecimento da Rede Nacional de 
Escolas de Governo do Brasil. Dias da Investigação na UFP. 11 a 14 de 
Julho. Universidade Fernando Pessoa.
[ handle ]</v>
      </c>
      <c r="C417" s="2">
        <f t="shared" ca="1" si="31"/>
        <v>28</v>
      </c>
      <c r="D417" t="str">
        <f t="shared" ca="1" si="53"/>
        <v xml:space="preserve">Nogueira, D. e Gouveia, L. </v>
      </c>
      <c r="E417" t="str">
        <f t="shared" ca="1" si="48"/>
        <v>2017</v>
      </c>
      <c r="F417" t="str">
        <f t="shared" ca="1" si="49"/>
        <v xml:space="preserve"> Estudo preliminar sobre competências nas 
redes digitais como estratégia de fortalecimento da Rede Nacional de 
Escolas de Governo do Brasil. </v>
      </c>
      <c r="G417" s="3">
        <f t="shared" ca="1" si="50"/>
        <v>33</v>
      </c>
      <c r="H417" s="2">
        <f t="shared" ca="1" si="51"/>
        <v>176</v>
      </c>
      <c r="I417" t="e">
        <f t="shared" ca="1" si="52"/>
        <v>#VALUE!</v>
      </c>
      <c r="J417" s="3" t="e">
        <f t="shared" ca="1" si="54"/>
        <v>#VALUE!</v>
      </c>
      <c r="K417" t="str">
        <f t="shared" ca="1" si="32"/>
        <v xml:space="preserve">Nogueira, D. e Gouveia, L. </v>
      </c>
      <c r="L417" t="str">
        <f t="shared" ca="1" si="33"/>
        <v xml:space="preserve">Quental, C. </v>
      </c>
    </row>
    <row r="418" spans="1:13" ht="15.75" customHeight="1">
      <c r="A418">
        <f ca="1">IFERROR(__xludf.DUMMYFUNCTION("""COMPUTED_VALUE"""),128)</f>
        <v>128</v>
      </c>
      <c r="B418" t="str">
        <f ca="1">IFERROR(__xludf.DUMMYFUNCTION("""COMPUTED_VALUE"""),"Albuquerque, R. e Gouveia, L. (2017). Uso de modelos matemáticos 
interpretados em plataforma digital como estratégia para o ensino e 
aprendizagem da matemática. Dias da Investigação na UFP. 11 a 14 de Julho. 
Universidade Fernando Pessoa.
[ handle ]")</f>
        <v>Albuquerque, R. e Gouveia, L. (2017). Uso de modelos matemáticos 
interpretados em plataforma digital como estratégia para o ensino e 
aprendizagem da matemática. Dias da Investigação na UFP. 11 a 14 de Julho. 
Universidade Fernando Pessoa.
[ handle ]</v>
      </c>
      <c r="C418" s="2">
        <f t="shared" ca="1" si="31"/>
        <v>31</v>
      </c>
      <c r="D418" t="str">
        <f t="shared" ca="1" si="53"/>
        <v xml:space="preserve">Albuquerque, R. e Gouveia, L. </v>
      </c>
      <c r="E418" t="str">
        <f t="shared" ca="1" si="48"/>
        <v>2017</v>
      </c>
      <c r="F418" t="str">
        <f t="shared" ca="1" si="49"/>
        <v xml:space="preserve"> Uso de modelos matemáticos 
interpretados em plataforma digital como estratégia para o ensino e 
aprendizagem da matemática. </v>
      </c>
      <c r="G418" s="3">
        <f t="shared" ca="1" si="50"/>
        <v>36</v>
      </c>
      <c r="H418" s="2">
        <f t="shared" ca="1" si="51"/>
        <v>162</v>
      </c>
      <c r="I418" t="e">
        <f t="shared" ca="1" si="52"/>
        <v>#VALUE!</v>
      </c>
      <c r="J418" s="3" t="e">
        <f t="shared" ca="1" si="54"/>
        <v>#VALUE!</v>
      </c>
      <c r="K418" t="str">
        <f t="shared" ca="1" si="32"/>
        <v xml:space="preserve">Albuquerque, R. e Gouveia, L. </v>
      </c>
      <c r="L418" t="str">
        <f t="shared" ca="1" si="33"/>
        <v xml:space="preserve">Quental, C. </v>
      </c>
    </row>
    <row r="419" spans="1:13" ht="15.75" customHeight="1">
      <c r="A419">
        <f ca="1">IFERROR(__xludf.DUMMYFUNCTION("""COMPUTED_VALUE"""),127)</f>
        <v>127</v>
      </c>
      <c r="B419" t="str">
        <f ca="1">IFERROR(__xludf.DUMMYFUNCTION("""COMPUTED_VALUE"""),"Robalo, A. e Gouveia, L. (2017). A introdução das TIC em sala de aula no 
ensino primário: formação de professores na província do Huambo para o 
projeto «Meu Kamba. Dias da Investigação na UFP. 11 a 14 de Julho. 
Universidade Fernando Pessoa.
[ handle ]")</f>
        <v>Robalo, A. e Gouveia, L. (2017). A introdução das TIC em sala de aula no 
ensino primário: formação de professores na província do Huambo para o 
projeto «Meu Kamba. Dias da Investigação na UFP. 11 a 14 de Julho. 
Universidade Fernando Pessoa.
[ handle ]</v>
      </c>
      <c r="C419" s="2">
        <f t="shared" ca="1" si="31"/>
        <v>26</v>
      </c>
      <c r="D419" t="str">
        <f t="shared" ca="1" si="53"/>
        <v xml:space="preserve">Robalo, A. e Gouveia, L. </v>
      </c>
      <c r="E419" t="str">
        <f t="shared" ca="1" si="48"/>
        <v>2017</v>
      </c>
      <c r="F419" t="str">
        <f t="shared" ca="1" si="49"/>
        <v xml:space="preserve"> A introdução das TIC em sala de aula no 
ensino primário: formação de professores na província do Huambo para o 
projeto «Meu Kamba. </v>
      </c>
      <c r="G419" s="3">
        <f t="shared" ca="1" si="50"/>
        <v>31</v>
      </c>
      <c r="H419" s="2">
        <f t="shared" ca="1" si="51"/>
        <v>165</v>
      </c>
      <c r="I419" t="e">
        <f t="shared" ca="1" si="52"/>
        <v>#VALUE!</v>
      </c>
      <c r="J419" s="3" t="e">
        <f t="shared" ca="1" si="54"/>
        <v>#VALUE!</v>
      </c>
      <c r="K419" t="str">
        <f t="shared" ca="1" si="32"/>
        <v xml:space="preserve">Robalo, A. e Gouveia, L. </v>
      </c>
      <c r="L419" t="str">
        <f t="shared" ca="1" si="33"/>
        <v xml:space="preserve">Quental, C. </v>
      </c>
    </row>
    <row r="420" spans="1:13" ht="15.75" customHeight="1">
      <c r="A420">
        <f ca="1">IFERROR(__xludf.DUMMYFUNCTION("""COMPUTED_VALUE"""),126)</f>
        <v>126</v>
      </c>
      <c r="B420" t="str">
        <f ca="1">IFERROR(__xludf.DUMMYFUNCTION("""COMPUTED_VALUE"""),"Araújo, A. e Gouveia, L. (2017). O digital nas instituições de ensino 
superior: um diagnóstico sobre a perceção dos gestores e da comunidade 
académica do CESUPA. Dias da Investigação na UFP. 11 a 14 de Julho. 
Universidade Fernando Pessoa.
[ handle ]")</f>
        <v>Araújo, A. e Gouveia, L. (2017). O digital nas instituições de ensino 
superior: um diagnóstico sobre a perceção dos gestores e da comunidade 
académica do CESUPA. Dias da Investigação na UFP. 11 a 14 de Julho. 
Universidade Fernando Pessoa.
[ handle ]</v>
      </c>
      <c r="C420" s="2">
        <f t="shared" ca="1" si="31"/>
        <v>26</v>
      </c>
      <c r="D420" t="str">
        <f t="shared" ca="1" si="53"/>
        <v xml:space="preserve">Araújo, A. e Gouveia, L. </v>
      </c>
      <c r="E420" t="str">
        <f t="shared" ca="1" si="48"/>
        <v>2017</v>
      </c>
      <c r="F420" t="str">
        <f t="shared" ca="1" si="49"/>
        <v xml:space="preserve"> O digital nas instituições de ensino 
superior: um diagnóstico sobre a perceção dos gestores e da comunidade 
académica do CESUPA. </v>
      </c>
      <c r="G420" s="3">
        <f t="shared" ca="1" si="50"/>
        <v>31</v>
      </c>
      <c r="H420" s="2">
        <f t="shared" ca="1" si="51"/>
        <v>163</v>
      </c>
      <c r="I420" t="e">
        <f t="shared" ca="1" si="52"/>
        <v>#VALUE!</v>
      </c>
      <c r="J420" s="3" t="e">
        <f t="shared" ca="1" si="54"/>
        <v>#VALUE!</v>
      </c>
      <c r="K420" t="str">
        <f t="shared" ca="1" si="32"/>
        <v xml:space="preserve">Araújo, A. e Gouveia, L. </v>
      </c>
      <c r="L420" t="str">
        <f t="shared" ca="1" si="33"/>
        <v xml:space="preserve">Quental, C. </v>
      </c>
    </row>
    <row r="421" spans="1:13" ht="15.75" customHeight="1">
      <c r="A421">
        <f ca="1">IFERROR(__xludf.DUMMYFUNCTION("""COMPUTED_VALUE"""),125)</f>
        <v>125</v>
      </c>
      <c r="B421" t="str">
        <f ca="1">IFERROR(__xludf.DUMMYFUNCTION("""COMPUTED_VALUE"""),"Lourenço, M.; Rurato, P. e Gouveia, L. (2017). Reaprendizagem do professor 
do ensino superior face ao triângulo educação, tecnologia e aprendizagem 
EaD. Dias da Investigação na UFP. 11 a 14 de Julho. Universidade Fernando 
Pessoa.
[ handle ]")</f>
        <v>Lourenço, M.; Rurato, P. e Gouveia, L. (2017). Reaprendizagem do professor 
do ensino superior face ao triângulo educação, tecnologia e aprendizagem 
EaD. Dias da Investigação na UFP. 11 a 14 de Julho. Universidade Fernando 
Pessoa.
[ handle ]</v>
      </c>
      <c r="C421" s="2">
        <f t="shared" ca="1" si="31"/>
        <v>40</v>
      </c>
      <c r="D421" t="str">
        <f t="shared" ca="1" si="53"/>
        <v xml:space="preserve">Lourenço, M.; Rurato, P. e Gouveia, L. </v>
      </c>
      <c r="E421" t="str">
        <f t="shared" ca="1" si="48"/>
        <v>2017</v>
      </c>
      <c r="F421" t="str">
        <f t="shared" ca="1" si="49"/>
        <v xml:space="preserve"> Reaprendizagem do professor 
do ensino superior face ao triângulo educação, tecnologia e aprendizagem 
EaD. </v>
      </c>
      <c r="G421" s="3">
        <f t="shared" ca="1" si="50"/>
        <v>45</v>
      </c>
      <c r="H421" s="2">
        <f t="shared" ca="1" si="51"/>
        <v>154</v>
      </c>
      <c r="I421" t="e">
        <f t="shared" ca="1" si="52"/>
        <v>#VALUE!</v>
      </c>
      <c r="J421" s="3" t="e">
        <f t="shared" ca="1" si="54"/>
        <v>#VALUE!</v>
      </c>
      <c r="K421" t="str">
        <f t="shared" ca="1" si="32"/>
        <v xml:space="preserve">Lourenço, M.; Rurato, P. e Gouveia, L. </v>
      </c>
      <c r="L421" t="str">
        <f t="shared" ca="1" si="33"/>
        <v xml:space="preserve">Quental, C. </v>
      </c>
      <c r="M421" t="str">
        <f ca="1">IFERROR(__xludf.DUMMYFUNCTION("""COMPUTED_VALUE""")," Rurato, P. e Gouveia, L. ")</f>
        <v xml:space="preserve"> Rurato, P. e Gouveia, L. </v>
      </c>
    </row>
    <row r="422" spans="1:13" ht="15.75" customHeight="1">
      <c r="A422">
        <f ca="1">IFERROR(__xludf.DUMMYFUNCTION("""COMPUTED_VALUE"""),124)</f>
        <v>124</v>
      </c>
      <c r="B422" t="str">
        <f ca="1">IFERROR(__xludf.DUMMYFUNCTION("""COMPUTED_VALUE"""),"Cavalcante, A. e Gouveia, L. (2017). A influência do digital para a imagem 
do turismo no nordeste brasileiro. Dias da Investigação na UFP. 11 a 14 de 
Julho. Universidade Fernando Pessoa.
[ handle ]")</f>
        <v>Cavalcante, A. e Gouveia, L. (2017). A influência do digital para a imagem 
do turismo no nordeste brasileiro. Dias da Investigação na UFP. 11 a 14 de 
Julho. Universidade Fernando Pessoa.
[ handle ]</v>
      </c>
      <c r="C422" s="2">
        <f t="shared" ca="1" si="31"/>
        <v>30</v>
      </c>
      <c r="D422" t="str">
        <f t="shared" ca="1" si="53"/>
        <v xml:space="preserve">Cavalcante, A. e Gouveia, L. </v>
      </c>
      <c r="E422" t="str">
        <f t="shared" ca="1" si="48"/>
        <v>2017</v>
      </c>
      <c r="F422" t="str">
        <f t="shared" ca="1" si="49"/>
        <v xml:space="preserve"> A influência do digital para a imagem 
do turismo no nordeste brasileiro. </v>
      </c>
      <c r="G422" s="3">
        <f t="shared" ca="1" si="50"/>
        <v>35</v>
      </c>
      <c r="H422" s="2">
        <f t="shared" ca="1" si="51"/>
        <v>110</v>
      </c>
      <c r="I422" t="e">
        <f t="shared" ca="1" si="52"/>
        <v>#VALUE!</v>
      </c>
      <c r="J422" s="3" t="e">
        <f t="shared" ca="1" si="54"/>
        <v>#VALUE!</v>
      </c>
      <c r="K422" t="str">
        <f t="shared" ca="1" si="32"/>
        <v xml:space="preserve">Cavalcante, A. e Gouveia, L. </v>
      </c>
      <c r="L422" t="str">
        <f t="shared" ca="1" si="33"/>
        <v xml:space="preserve">Quental, C. </v>
      </c>
    </row>
    <row r="423" spans="1:13" ht="15.75" customHeight="1">
      <c r="A423">
        <f ca="1">IFERROR(__xludf.DUMMYFUNCTION("""COMPUTED_VALUE"""),123)</f>
        <v>123</v>
      </c>
      <c r="B423" t="str">
        <f ca="1">IFERROR(__xludf.DUMMYFUNCTION("""COMPUTED_VALUE"""),"Gouveia, L. (2017). *Cultura Digital: usar e explorar dados e informação em 
2017.* I Encontro Formativo. Diretores, Pedagogos, Professores, Secretários 
e Técnicos. Auditório da Prefeitura. Betim, Minas Gerais, Brasil. 17 de 
Maio.
[ handle ]")</f>
        <v>Gouveia, L. (2017). *Cultura Digital: usar e explorar dados e informação em 
2017.* I Encontro Formativo. Diretores, Pedagogos, Professores, Secretários 
e Técnicos. Auditório da Prefeitura. Betim, Minas Gerais, Brasil. 17 de 
Maio.
[ handle ]</v>
      </c>
      <c r="C423" s="2">
        <f t="shared" ca="1" si="31"/>
        <v>13</v>
      </c>
      <c r="D423" t="str">
        <f t="shared" ca="1" si="53"/>
        <v xml:space="preserve">Gouveia, L. </v>
      </c>
      <c r="E423" t="str">
        <f t="shared" ca="1" si="48"/>
        <v>2017</v>
      </c>
      <c r="F423" t="str">
        <f t="shared" ca="1" si="49"/>
        <v xml:space="preserve"> *Cultura Digital: usar e explorar dados e informação em 
2017.*</v>
      </c>
      <c r="G423" s="3">
        <f t="shared" ca="1" si="50"/>
        <v>18</v>
      </c>
      <c r="H423" s="2">
        <f t="shared" ca="1" si="51"/>
        <v>82</v>
      </c>
      <c r="I423" t="e">
        <f t="shared" ca="1" si="52"/>
        <v>#VALUE!</v>
      </c>
      <c r="J423" s="3" t="e">
        <f t="shared" ca="1" si="54"/>
        <v>#VALUE!</v>
      </c>
      <c r="K423" t="str">
        <f t="shared" ca="1" si="32"/>
        <v xml:space="preserve">Gouveia, L. </v>
      </c>
      <c r="L423" t="str">
        <f t="shared" ca="1" si="33"/>
        <v xml:space="preserve">Quental, C. </v>
      </c>
    </row>
    <row r="424" spans="1:13" ht="15.75" customHeight="1">
      <c r="A424">
        <f ca="1">IFERROR(__xludf.DUMMYFUNCTION("""COMPUTED_VALUE"""),122)</f>
        <v>122</v>
      </c>
      <c r="B424" t="str">
        <f ca="1">IFERROR(__xludf.DUMMYFUNCTION("""COMPUTED_VALUE"""),"Gouveia, L. (2017). *A linguagem R: um ambiente para explorar dados e 
aprender com eles*. Hello World Conference. 3 de Maio. Universidade 
Fernando Pessoa.
[ handle ]")</f>
        <v>Gouveia, L. (2017). *A linguagem R: um ambiente para explorar dados e 
aprender com eles*. Hello World Conference. 3 de Maio. Universidade 
Fernando Pessoa.
[ handle ]</v>
      </c>
      <c r="C424" s="2">
        <f t="shared" ca="1" si="31"/>
        <v>13</v>
      </c>
      <c r="D424" t="str">
        <f t="shared" ca="1" si="53"/>
        <v xml:space="preserve">Gouveia, L. </v>
      </c>
      <c r="E424" t="str">
        <f t="shared" ca="1" si="48"/>
        <v>2017</v>
      </c>
      <c r="F424" t="str">
        <f t="shared" ca="1" si="49"/>
        <v xml:space="preserve"> *A linguagem R: um ambiente para explorar dados e 
aprender com eles*. </v>
      </c>
      <c r="G424" s="3">
        <f t="shared" ca="1" si="50"/>
        <v>18</v>
      </c>
      <c r="H424" s="2">
        <f t="shared" ca="1" si="51"/>
        <v>90</v>
      </c>
      <c r="I424" t="e">
        <f t="shared" ca="1" si="52"/>
        <v>#VALUE!</v>
      </c>
      <c r="J424" s="3" t="e">
        <f t="shared" ca="1" si="54"/>
        <v>#VALUE!</v>
      </c>
      <c r="K424" t="str">
        <f t="shared" ca="1" si="32"/>
        <v xml:space="preserve">Gouveia, L. </v>
      </c>
      <c r="L424" t="str">
        <f t="shared" ca="1" si="33"/>
        <v xml:space="preserve">Quental, C. </v>
      </c>
    </row>
    <row r="425" spans="1:13" ht="15.75" customHeight="1">
      <c r="A425">
        <f ca="1">IFERROR(__xludf.DUMMYFUNCTION("""COMPUTED_VALUE"""),121)</f>
        <v>121</v>
      </c>
      <c r="B425" t="str">
        <f ca="1">IFERROR(__xludf.DUMMYFUNCTION("""COMPUTED_VALUE"""),"Gouveia, L. (2017). Digital para que te quero... Turismo e Património 
Cultural: Inovação e Tecnologia. Estado da Arte. Casa das Artes. Porto. 30 
de Março. PPorto.pt e VerdeNovo.  
[ handle ]")</f>
        <v>Gouveia, L. (2017). Digital para que te quero... Turismo e Património 
Cultural: Inovação e Tecnologia. Estado da Arte. Casa das Artes. Porto. 30 
de Março. PPorto.pt e VerdeNovo.  
[ handle ]</v>
      </c>
      <c r="C425" s="2">
        <f t="shared" ca="1" si="31"/>
        <v>13</v>
      </c>
      <c r="D425" t="str">
        <f t="shared" ca="1" si="53"/>
        <v xml:space="preserve">Gouveia, L. </v>
      </c>
      <c r="E425" t="str">
        <f t="shared" ca="1" si="48"/>
        <v>2017</v>
      </c>
      <c r="F425" t="str">
        <f t="shared" ca="1" si="49"/>
        <v xml:space="preserve"> Digital para que te quero..</v>
      </c>
      <c r="G425" s="3">
        <f t="shared" ca="1" si="50"/>
        <v>18</v>
      </c>
      <c r="H425" s="2">
        <f t="shared" ca="1" si="51"/>
        <v>46</v>
      </c>
      <c r="I425" t="e">
        <f t="shared" ca="1" si="52"/>
        <v>#VALUE!</v>
      </c>
      <c r="J425" s="3" t="e">
        <f t="shared" ca="1" si="54"/>
        <v>#VALUE!</v>
      </c>
      <c r="K425" t="str">
        <f t="shared" ca="1" si="32"/>
        <v xml:space="preserve">Gouveia, L. </v>
      </c>
      <c r="L425" t="str">
        <f t="shared" ca="1" si="33"/>
        <v xml:space="preserve">Quental, C. </v>
      </c>
    </row>
    <row r="426" spans="1:13" ht="15.75" customHeight="1">
      <c r="A426">
        <f ca="1">IFERROR(__xludf.DUMMYFUNCTION("""COMPUTED_VALUE"""),120)</f>
        <v>120</v>
      </c>
      <c r="B426" t="str">
        <f ca="1">IFERROR(__xludf.DUMMYFUNCTION("""COMPUTED_VALUE"""),"Gouveia, L. (2017).  O Digital e as Pessoas como Nova Tecnologia. Painel 
Cidadania, Democracia e Governação Eletrónica. Curso de Cibersegurança e 
Gestão de Crises do Ciberespaço. (4ª edição). IDN, Instituto de Defesa 
Nacional. 20 de Março. Lisboa. 
[ h"&amp;"andle ]")</f>
        <v>Gouveia, L. (2017).  O Digital e as Pessoas como Nova Tecnologia. Painel 
Cidadania, Democracia e Governação Eletrónica. Curso de Cibersegurança e 
Gestão de Crises do Ciberespaço. (4ª edição). IDN, Instituto de Defesa 
Nacional. 20 de Março. Lisboa. 
[ handle ]</v>
      </c>
      <c r="C426" s="2">
        <f t="shared" ca="1" si="31"/>
        <v>13</v>
      </c>
      <c r="D426" t="str">
        <f t="shared" ca="1" si="53"/>
        <v xml:space="preserve">Gouveia, L. </v>
      </c>
      <c r="E426" t="str">
        <f t="shared" ca="1" si="48"/>
        <v>2017</v>
      </c>
      <c r="F426" t="str">
        <f t="shared" ca="1" si="49"/>
        <v xml:space="preserve">  O Digital e as Pessoas como Nova Tecnologia. </v>
      </c>
      <c r="G426" s="3">
        <f t="shared" ca="1" si="50"/>
        <v>18</v>
      </c>
      <c r="H426" s="2">
        <f t="shared" ca="1" si="51"/>
        <v>65</v>
      </c>
      <c r="I426" t="str">
        <f t="shared" ca="1" si="52"/>
        <v>Painel 
Cidadania, Democracia e Governação Eletrónica. Curso de Cibersegurança e 
Gestão de Crises do Ciberespaço. (4ª edição).</v>
      </c>
      <c r="J426" s="3">
        <f t="shared" ca="1" si="54"/>
        <v>192</v>
      </c>
      <c r="K426" t="str">
        <f t="shared" ca="1" si="32"/>
        <v xml:space="preserve">Gouveia, L. </v>
      </c>
      <c r="L426" t="str">
        <f t="shared" ca="1" si="33"/>
        <v xml:space="preserve">Quental, C. </v>
      </c>
    </row>
    <row r="427" spans="1:13" ht="15.75" customHeight="1">
      <c r="A427">
        <f ca="1">IFERROR(__xludf.DUMMYFUNCTION("""COMPUTED_VALUE"""),119)</f>
        <v>119</v>
      </c>
      <c r="B427" t="str">
        <f ca="1">IFERROR(__xludf.DUMMYFUNCTION("""COMPUTED_VALUE"""),"Gouveia, L.  (2017). *Cooperar no contexto do digital das redes e do 
território.* Workshop Cooperar para Ganhar. Rede Colaborativa +Turismo 
+Sabor. ACISAT e ADRAT. 13 de Março. Hotel Casino. Chaves.  
[ handle ]")</f>
        <v>Gouveia, L.  (2017). *Cooperar no contexto do digital das redes e do 
território.* Workshop Cooperar para Ganhar. Rede Colaborativa +Turismo 
+Sabor. ACISAT e ADRAT. 13 de Março. Hotel Casino. Chaves.  
[ handle ]</v>
      </c>
      <c r="C427" s="2">
        <f t="shared" ca="1" si="31"/>
        <v>14</v>
      </c>
      <c r="D427" t="str">
        <f t="shared" ca="1" si="53"/>
        <v xml:space="preserve">Gouveia, L.  </v>
      </c>
      <c r="E427" t="str">
        <f t="shared" ca="1" si="48"/>
        <v>2017</v>
      </c>
      <c r="F427" t="str">
        <f t="shared" ca="1" si="49"/>
        <v xml:space="preserve"> *Cooperar no contexto do digital das redes e do 
território.*</v>
      </c>
      <c r="G427" s="3">
        <f t="shared" ca="1" si="50"/>
        <v>19</v>
      </c>
      <c r="H427" s="2">
        <f t="shared" ca="1" si="51"/>
        <v>81</v>
      </c>
      <c r="I427" t="e">
        <f t="shared" ca="1" si="52"/>
        <v>#VALUE!</v>
      </c>
      <c r="J427" s="3" t="e">
        <f t="shared" ca="1" si="54"/>
        <v>#VALUE!</v>
      </c>
      <c r="K427" t="str">
        <f t="shared" ca="1" si="32"/>
        <v xml:space="preserve">Gouveia, L.  </v>
      </c>
      <c r="L427" t="str">
        <f t="shared" ca="1" si="33"/>
        <v xml:space="preserve">Quental, C. </v>
      </c>
    </row>
    <row r="428" spans="1:13" ht="15.75" customHeight="1">
      <c r="A428">
        <f ca="1">IFERROR(__xludf.DUMMYFUNCTION("""COMPUTED_VALUE"""),118)</f>
        <v>118</v>
      </c>
      <c r="B428" t="str">
        <f ca="1">IFERROR(__xludf.DUMMYFUNCTION("""COMPUTED_VALUE"""),"Gouveia, L. (2016).  R: a alternativa ao SPSS e ao NVivo em software livre. 
*TRS Talk. University Fernando Pessoa. 7 Dezembro. 
[ handle ]")</f>
        <v>Gouveia, L. (2016).  R: a alternativa ao SPSS e ao NVivo em software livre. 
*TRS Talk. University Fernando Pessoa. 7 Dezembro. 
[ handle ]</v>
      </c>
      <c r="C428" s="2">
        <f t="shared" ca="1" si="31"/>
        <v>13</v>
      </c>
      <c r="D428" t="str">
        <f t="shared" ca="1" si="53"/>
        <v xml:space="preserve">Gouveia, L. </v>
      </c>
      <c r="E428" t="str">
        <f t="shared" ca="1" si="48"/>
        <v>2016</v>
      </c>
      <c r="F428" t="str">
        <f t="shared" ca="1" si="49"/>
        <v xml:space="preserve">  R: a alternativa ao SPSS e ao NVivo em software livre. </v>
      </c>
      <c r="G428" s="3">
        <f t="shared" ca="1" si="50"/>
        <v>18</v>
      </c>
      <c r="H428" s="2">
        <f t="shared" ca="1" si="51"/>
        <v>75</v>
      </c>
      <c r="I428" t="e">
        <f t="shared" ca="1" si="52"/>
        <v>#VALUE!</v>
      </c>
      <c r="J428" s="3" t="e">
        <f t="shared" ca="1" si="54"/>
        <v>#VALUE!</v>
      </c>
      <c r="K428" t="str">
        <f t="shared" ca="1" si="32"/>
        <v xml:space="preserve">Gouveia, L. </v>
      </c>
      <c r="L428" t="str">
        <f t="shared" ca="1" si="33"/>
        <v xml:space="preserve">Quental, C. </v>
      </c>
    </row>
    <row r="429" spans="1:13" ht="15.75" customHeight="1">
      <c r="A429">
        <f ca="1">IFERROR(__xludf.DUMMYFUNCTION("""COMPUTED_VALUE"""),117)</f>
        <v>117</v>
      </c>
      <c r="B429" t="str">
        <f ca="1">IFERROR(__xludf.DUMMYFUNCTION("""COMPUTED_VALUE"""),"Gouveia, L. (2016).  Holacracy as an alternative to organisations 
governance. *TRS Talk. Fernando Pessoa Hall. University Fernando Pessoa. 16 
November. 
[ handle ]")</f>
        <v>Gouveia, L. (2016).  Holacracy as an alternative to organisations 
governance. *TRS Talk. Fernando Pessoa Hall. University Fernando Pessoa. 16 
November. 
[ handle ]</v>
      </c>
      <c r="C429" s="2">
        <f t="shared" ca="1" si="31"/>
        <v>13</v>
      </c>
      <c r="D429" t="str">
        <f t="shared" ca="1" si="53"/>
        <v xml:space="preserve">Gouveia, L. </v>
      </c>
      <c r="E429" t="str">
        <f t="shared" ca="1" si="48"/>
        <v>2016</v>
      </c>
      <c r="F429" t="str">
        <f t="shared" ca="1" si="49"/>
        <v xml:space="preserve">  Holacracy as an alternative to organisations 
governance. </v>
      </c>
      <c r="G429" s="3">
        <f t="shared" ca="1" si="50"/>
        <v>18</v>
      </c>
      <c r="H429" s="2">
        <f t="shared" ca="1" si="51"/>
        <v>78</v>
      </c>
      <c r="I429" t="e">
        <f t="shared" ca="1" si="52"/>
        <v>#VALUE!</v>
      </c>
      <c r="J429" s="3" t="e">
        <f t="shared" ca="1" si="54"/>
        <v>#VALUE!</v>
      </c>
      <c r="K429" t="str">
        <f t="shared" ca="1" si="32"/>
        <v xml:space="preserve">Gouveia, L. </v>
      </c>
      <c r="L429" t="str">
        <f t="shared" ca="1" si="33"/>
        <v xml:space="preserve">Quental, C. </v>
      </c>
    </row>
    <row r="430" spans="1:13" ht="15.75" customHeight="1">
      <c r="A430">
        <f ca="1">IFERROR(__xludf.DUMMYFUNCTION("""COMPUTED_VALUE"""),116)</f>
        <v>116</v>
      </c>
      <c r="B430" t="str">
        <f ca="1">IFERROR(__xludf.DUMMYFUNCTION("""COMPUTED_VALUE"""),"Gouveia, L. (2016).  O digital, a sustentabilidade e a viagem do open 
source ao open data. II Jornadas de Sistemas Open Source. Associação 
Portuguesa de Bibliotecários, Arquivistas e Documentalistas (BAD). 
Universidade de Aveiro. 17 de Outubro. 
[ apre"&amp;"sentação ]")</f>
        <v>Gouveia, L. (2016).  O digital, a sustentabilidade e a viagem do open 
source ao open data. II Jornadas de Sistemas Open Source. Associação 
Portuguesa de Bibliotecários, Arquivistas e Documentalistas (BAD). 
Universidade de Aveiro. 17 de Outubro. 
[ apresentação ]</v>
      </c>
      <c r="C430" s="2">
        <f t="shared" ca="1" si="31"/>
        <v>13</v>
      </c>
      <c r="D430" t="str">
        <f t="shared" ca="1" si="53"/>
        <v xml:space="preserve">Gouveia, L. </v>
      </c>
      <c r="E430" t="str">
        <f t="shared" ca="1" si="48"/>
        <v>2016</v>
      </c>
      <c r="F430" t="str">
        <f t="shared" ca="1" si="49"/>
        <v xml:space="preserve">  O digital, a sustentabilidade e a viagem do open 
source ao open data. </v>
      </c>
      <c r="G430" s="3">
        <f t="shared" ca="1" si="50"/>
        <v>18</v>
      </c>
      <c r="H430" s="2">
        <f t="shared" ca="1" si="51"/>
        <v>91</v>
      </c>
      <c r="I430" t="str">
        <f t="shared" ca="1" si="52"/>
        <v>II Jornadas de Sistemas Open Source. Associação 
Portuguesa de Bibliotecários, Arquivistas e Documentalistas (BAD).</v>
      </c>
      <c r="J430" s="3">
        <f t="shared" ca="1" si="54"/>
        <v>206</v>
      </c>
      <c r="K430" t="str">
        <f t="shared" ca="1" si="32"/>
        <v xml:space="preserve">Gouveia, L. </v>
      </c>
      <c r="L430" t="str">
        <f t="shared" ca="1" si="33"/>
        <v xml:space="preserve">Quental, C. </v>
      </c>
    </row>
    <row r="431" spans="1:13" ht="15.75" customHeight="1">
      <c r="A431">
        <f ca="1">IFERROR(__xludf.DUMMYFUNCTION("""COMPUTED_VALUE"""),115)</f>
        <v>115</v>
      </c>
      <c r="B431" t="str">
        <f ca="1">IFERROR(__xludf.DUMMYFUNCTION("""COMPUTED_VALUE"""),"Gouveia, L. (2016). Desafios da segurança da informação: da sua cultura e 
aplicação à confidencialidade. Ciclo de Conferências Entre Arquivos. Minas 
de Sal Gema. 9 de Junho. Dia Nacional de Arquivos. Loulé.
[ handle ]")</f>
        <v>Gouveia, L. (2016). Desafios da segurança da informação: da sua cultura e 
aplicação à confidencialidade. Ciclo de Conferências Entre Arquivos. Minas 
de Sal Gema. 9 de Junho. Dia Nacional de Arquivos. Loulé.
[ handle ]</v>
      </c>
      <c r="C431" s="2">
        <f t="shared" ca="1" si="31"/>
        <v>13</v>
      </c>
      <c r="D431" t="str">
        <f t="shared" ca="1" si="53"/>
        <v xml:space="preserve">Gouveia, L. </v>
      </c>
      <c r="E431" t="str">
        <f t="shared" ca="1" si="48"/>
        <v>2016</v>
      </c>
      <c r="F431" t="str">
        <f t="shared" ca="1" si="49"/>
        <v xml:space="preserve"> Desafios da segurança da informação: da sua cultura e 
aplicação à confidencialidade. </v>
      </c>
      <c r="G431" s="3">
        <f t="shared" ca="1" si="50"/>
        <v>18</v>
      </c>
      <c r="H431" s="2">
        <f t="shared" ca="1" si="51"/>
        <v>105</v>
      </c>
      <c r="I431" t="e">
        <f t="shared" ca="1" si="52"/>
        <v>#VALUE!</v>
      </c>
      <c r="J431" s="3" t="e">
        <f t="shared" ca="1" si="54"/>
        <v>#VALUE!</v>
      </c>
      <c r="K431" t="str">
        <f t="shared" ca="1" si="32"/>
        <v xml:space="preserve">Gouveia, L. </v>
      </c>
      <c r="L431" t="str">
        <f t="shared" ca="1" si="33"/>
        <v xml:space="preserve">Quental, C. </v>
      </c>
    </row>
    <row r="432" spans="1:13" ht="15.75" customHeight="1">
      <c r="A432">
        <f ca="1">IFERROR(__xludf.DUMMYFUNCTION("""COMPUTED_VALUE"""),114)</f>
        <v>114</v>
      </c>
      <c r="B432" t="str">
        <f ca="1">IFERROR(__xludf.DUMMYFUNCTION("""COMPUTED_VALUE"""),"Gouveia, L. (2016). Uma discussão do impacte do digital (dos computadores 
aos fluxos de informação em rede). Aula Aberta. Pós Graduação em Jornalismo 
Especializado, UFP/LUSA. Auditório A1 da Universidade Fernando Pessoa. 23 
de Abril.
[ handle ]")</f>
        <v>Gouveia, L. (2016). Uma discussão do impacte do digital (dos computadores 
aos fluxos de informação em rede). Aula Aberta. Pós Graduação em Jornalismo 
Especializado, UFP/LUSA. Auditório A1 da Universidade Fernando Pessoa. 23 
de Abril.
[ handle ]</v>
      </c>
      <c r="C432" s="2">
        <f t="shared" ca="1" si="31"/>
        <v>13</v>
      </c>
      <c r="D432" t="str">
        <f t="shared" ca="1" si="53"/>
        <v xml:space="preserve">Gouveia, L. </v>
      </c>
      <c r="E432" t="str">
        <f t="shared" ca="1" si="48"/>
        <v>2016</v>
      </c>
      <c r="F432" t="str">
        <f t="shared" ca="1" si="49"/>
        <v xml:space="preserve"> Uma discussão do impacte do digital (dos computadores 
aos fluxos de informação em rede). </v>
      </c>
      <c r="G432" s="3">
        <f t="shared" ca="1" si="50"/>
        <v>18</v>
      </c>
      <c r="H432" s="2">
        <f t="shared" ca="1" si="51"/>
        <v>109</v>
      </c>
      <c r="I432" t="e">
        <f t="shared" ca="1" si="52"/>
        <v>#VALUE!</v>
      </c>
      <c r="J432" s="3" t="e">
        <f t="shared" ca="1" si="54"/>
        <v>#VALUE!</v>
      </c>
      <c r="K432" t="str">
        <f t="shared" ca="1" si="32"/>
        <v xml:space="preserve">Gouveia, L. </v>
      </c>
      <c r="L432" t="str">
        <f t="shared" ca="1" si="33"/>
        <v xml:space="preserve">Quental, C. </v>
      </c>
    </row>
    <row r="433" spans="1:13" ht="15.75" customHeight="1">
      <c r="A433">
        <f ca="1">IFERROR(__xludf.DUMMYFUNCTION("""COMPUTED_VALUE"""),113)</f>
        <v>113</v>
      </c>
      <c r="B433" t="str">
        <f ca="1">IFERROR(__xludf.DUMMYFUNCTION("""COMPUTED_VALUE"""),"Lourenço, M.; Rurato, P. e Gouveia, L. (2016). Educação, tecnologia, 
aprendizagem – exaltação à negação: a busca da relevância. Dias de 
Investigação na UFP. 9 a 11 de Março. Universidade Fernando Pessoa. Porto.
[ handle ]")</f>
        <v>Lourenço, M.; Rurato, P. e Gouveia, L. (2016). Educação, tecnologia, 
aprendizagem – exaltação à negação: a busca da relevância. Dias de 
Investigação na UFP. 9 a 11 de Março. Universidade Fernando Pessoa. Porto.
[ handle ]</v>
      </c>
      <c r="C433" s="2">
        <f t="shared" ca="1" si="31"/>
        <v>40</v>
      </c>
      <c r="D433" t="str">
        <f t="shared" ca="1" si="53"/>
        <v xml:space="preserve">Lourenço, M.; Rurato, P. e Gouveia, L. </v>
      </c>
      <c r="E433" t="str">
        <f t="shared" ca="1" si="48"/>
        <v>2016</v>
      </c>
      <c r="F433" t="str">
        <f t="shared" ca="1" si="49"/>
        <v xml:space="preserve"> Educação, tecnologia, 
aprendizagem – exaltação à negação: a busca da relevância. </v>
      </c>
      <c r="G433" s="3">
        <f t="shared" ca="1" si="50"/>
        <v>45</v>
      </c>
      <c r="H433" s="2">
        <f t="shared" ca="1" si="51"/>
        <v>128</v>
      </c>
      <c r="I433" t="e">
        <f t="shared" ca="1" si="52"/>
        <v>#VALUE!</v>
      </c>
      <c r="J433" s="3" t="e">
        <f t="shared" ca="1" si="54"/>
        <v>#VALUE!</v>
      </c>
      <c r="K433" t="str">
        <f t="shared" ca="1" si="32"/>
        <v xml:space="preserve">Lourenço, M.; Rurato, P. e Gouveia, L. </v>
      </c>
      <c r="L433" t="str">
        <f t="shared" ca="1" si="33"/>
        <v xml:space="preserve">Quental, C. </v>
      </c>
      <c r="M433" t="str">
        <f ca="1">IFERROR(__xludf.DUMMYFUNCTION("""COMPUTED_VALUE""")," Rurato, P. e Gouveia, L. ")</f>
        <v xml:space="preserve"> Rurato, P. e Gouveia, L. </v>
      </c>
    </row>
    <row r="434" spans="1:13" ht="15.75" customHeight="1">
      <c r="A434">
        <f ca="1">IFERROR(__xludf.DUMMYFUNCTION("""COMPUTED_VALUE"""),112)</f>
        <v>112</v>
      </c>
      <c r="B434" t="str">
        <f ca="1">IFERROR(__xludf.DUMMYFUNCTION("""COMPUTED_VALUE"""),"Araújo, P.; Gouveia, L. e Toldy, T. (2016). Esfera Pública Digital. Dias de 
Investigação na UFP. 9 a 11 de Março. Universidade Fernando Pessoa. Porto.
[ handle ]")</f>
        <v>Araújo, P.; Gouveia, L. e Toldy, T. (2016). Esfera Pública Digital. Dias de 
Investigação na UFP. 9 a 11 de Março. Universidade Fernando Pessoa. Porto.
[ handle ]</v>
      </c>
      <c r="C434" s="2">
        <f t="shared" ca="1" si="31"/>
        <v>37</v>
      </c>
      <c r="D434" t="str">
        <f t="shared" ca="1" si="53"/>
        <v xml:space="preserve">Araújo, P.; Gouveia, L. e Toldy, T. </v>
      </c>
      <c r="E434" t="str">
        <f t="shared" ca="1" si="48"/>
        <v>2016</v>
      </c>
      <c r="F434" t="str">
        <f t="shared" ca="1" si="49"/>
        <v xml:space="preserve"> Esfera Pública Digital. </v>
      </c>
      <c r="G434" s="3">
        <f t="shared" ca="1" si="50"/>
        <v>42</v>
      </c>
      <c r="H434" s="2">
        <f t="shared" ca="1" si="51"/>
        <v>67</v>
      </c>
      <c r="I434" t="e">
        <f t="shared" ca="1" si="52"/>
        <v>#VALUE!</v>
      </c>
      <c r="J434" s="3" t="e">
        <f t="shared" ca="1" si="54"/>
        <v>#VALUE!</v>
      </c>
      <c r="K434" t="str">
        <f t="shared" ca="1" si="32"/>
        <v xml:space="preserve">Araújo, P.; Gouveia, L. e Toldy, T. </v>
      </c>
      <c r="L434" t="str">
        <f t="shared" ca="1" si="33"/>
        <v xml:space="preserve">Quental, C. </v>
      </c>
      <c r="M434" t="str">
        <f ca="1">IFERROR(__xludf.DUMMYFUNCTION("""COMPUTED_VALUE""")," Gouveia, L. e Toldy, T. ")</f>
        <v xml:space="preserve"> Gouveia, L. e Toldy, T. </v>
      </c>
    </row>
    <row r="435" spans="1:13" ht="15.75" customHeight="1">
      <c r="A435">
        <f ca="1">IFERROR(__xludf.DUMMYFUNCTION("""COMPUTED_VALUE"""),111)</f>
        <v>111</v>
      </c>
      <c r="B435" t="str">
        <f ca="1">IFERROR(__xludf.DUMMYFUNCTION("""COMPUTED_VALUE"""),"Lopes, S.; Gouveia, L. e Reis, P. (2016). O modelo de ensino da flipped 
classroom (sala de aula invertida) no âmbito do ensino superior. Dias de 
Investigação na UFP. 9 a 11 de Março. Universidade Fernando Pessoa. Porto.
[ handle ]")</f>
        <v>Lopes, S.; Gouveia, L. e Reis, P. (2016). O modelo de ensino da flipped 
classroom (sala de aula invertida) no âmbito do ensino superior. Dias de 
Investigação na UFP. 9 a 11 de Março. Universidade Fernando Pessoa. Porto.
[ handle ]</v>
      </c>
      <c r="C435" s="2">
        <f t="shared" ca="1" si="31"/>
        <v>35</v>
      </c>
      <c r="D435" t="str">
        <f t="shared" ca="1" si="53"/>
        <v xml:space="preserve">Lopes, S.; Gouveia, L. e Reis, P. </v>
      </c>
      <c r="E435" t="str">
        <f t="shared" ca="1" si="48"/>
        <v>2016</v>
      </c>
      <c r="F435" t="str">
        <f t="shared" ca="1" si="49"/>
        <v xml:space="preserve"> O modelo de ensino da flipped 
classroom (sala de aula invertida) no âmbito do ensino superior. </v>
      </c>
      <c r="G435" s="3">
        <f t="shared" ca="1" si="50"/>
        <v>40</v>
      </c>
      <c r="H435" s="2">
        <f t="shared" ca="1" si="51"/>
        <v>137</v>
      </c>
      <c r="I435" t="e">
        <f t="shared" ca="1" si="52"/>
        <v>#VALUE!</v>
      </c>
      <c r="J435" s="3" t="e">
        <f t="shared" ca="1" si="54"/>
        <v>#VALUE!</v>
      </c>
      <c r="K435" t="str">
        <f t="shared" ca="1" si="32"/>
        <v xml:space="preserve">Lopes, S.; Gouveia, L. e Reis, P. </v>
      </c>
      <c r="L435" t="str">
        <f t="shared" ca="1" si="33"/>
        <v xml:space="preserve">Quental, C. </v>
      </c>
      <c r="M435" t="str">
        <f ca="1">IFERROR(__xludf.DUMMYFUNCTION("""COMPUTED_VALUE""")," Gouveia, L. e Reis, P. ")</f>
        <v xml:space="preserve"> Gouveia, L. e Reis, P. </v>
      </c>
    </row>
    <row r="436" spans="1:13" ht="15.75" customHeight="1">
      <c r="A436">
        <f ca="1">IFERROR(__xludf.DUMMYFUNCTION("""COMPUTED_VALUE"""),110)</f>
        <v>110</v>
      </c>
      <c r="B436" t="str">
        <f ca="1">IFERROR(__xludf.DUMMYFUNCTION("""COMPUTED_VALUE"""),"Araújo, A. e Gouveia, L. (2016). As TICs aplicadas no ensino superior: um 
estudo de caso no contexto de uma IES particular na cidade de Belém do 
Pará. Dias de Investigação na UFP. 9 a 11 de Março. Universidade Fernando 
Pessoa. Porto.
[ handle ]")</f>
        <v>Araújo, A. e Gouveia, L. (2016). As TICs aplicadas no ensino superior: um 
estudo de caso no contexto de uma IES particular na cidade de Belém do 
Pará. Dias de Investigação na UFP. 9 a 11 de Março. Universidade Fernando 
Pessoa. Porto.
[ handle ]</v>
      </c>
      <c r="C436" s="2">
        <f t="shared" ca="1" si="31"/>
        <v>26</v>
      </c>
      <c r="D436" t="str">
        <f t="shared" ca="1" si="53"/>
        <v xml:space="preserve">Araújo, A. e Gouveia, L. </v>
      </c>
      <c r="E436" t="str">
        <f t="shared" ca="1" si="48"/>
        <v>2016</v>
      </c>
      <c r="F436" t="str">
        <f t="shared" ca="1" si="49"/>
        <v xml:space="preserve"> As TICs aplicadas no ensino superior: um 
estudo de caso no contexto de uma IES particular na cidade de Belém do 
Pará. </v>
      </c>
      <c r="G436" s="3">
        <f t="shared" ca="1" si="50"/>
        <v>31</v>
      </c>
      <c r="H436" s="2">
        <f t="shared" ca="1" si="51"/>
        <v>152</v>
      </c>
      <c r="I436" t="e">
        <f t="shared" ca="1" si="52"/>
        <v>#VALUE!</v>
      </c>
      <c r="J436" s="3" t="e">
        <f t="shared" ca="1" si="54"/>
        <v>#VALUE!</v>
      </c>
      <c r="K436" t="str">
        <f t="shared" ca="1" si="32"/>
        <v xml:space="preserve">Araújo, A. e Gouveia, L. </v>
      </c>
      <c r="L436" t="str">
        <f t="shared" ca="1" si="33"/>
        <v xml:space="preserve">Quental, C. </v>
      </c>
    </row>
    <row r="437" spans="1:13" ht="15.75" customHeight="1">
      <c r="A437">
        <f ca="1">IFERROR(__xludf.DUMMYFUNCTION("""COMPUTED_VALUE"""),109)</f>
        <v>109</v>
      </c>
      <c r="B437" t="str">
        <f ca="1">IFERROR(__xludf.DUMMYFUNCTION("""COMPUTED_VALUE"""),"Morgado, R. e Gouveia, L. (2016). O recurso e a contribuição potencial da 
inteligência artificial para a cibersegurança em ambientes digitais. Dias 
de Investigação na UFP. 9 a 11 de Março. Universidade Fernando Pessoa. 
Porto.
[ handle ]")</f>
        <v>Morgado, R. e Gouveia, L. (2016). O recurso e a contribuição potencial da 
inteligência artificial para a cibersegurança em ambientes digitais. Dias 
de Investigação na UFP. 9 a 11 de Março. Universidade Fernando Pessoa. 
Porto.
[ handle ]</v>
      </c>
      <c r="C437" s="2">
        <f t="shared" ca="1" si="31"/>
        <v>27</v>
      </c>
      <c r="D437" t="str">
        <f t="shared" ca="1" si="53"/>
        <v xml:space="preserve">Morgado, R. e Gouveia, L. </v>
      </c>
      <c r="E437" t="str">
        <f t="shared" ca="1" si="48"/>
        <v>2016</v>
      </c>
      <c r="F437" t="str">
        <f t="shared" ca="1" si="49"/>
        <v xml:space="preserve"> O recurso e a contribuição potencial da 
inteligência artificial para a cibersegurança em ambientes digitais. </v>
      </c>
      <c r="G437" s="3">
        <f t="shared" ca="1" si="50"/>
        <v>32</v>
      </c>
      <c r="H437" s="2">
        <f t="shared" ca="1" si="51"/>
        <v>143</v>
      </c>
      <c r="I437" t="e">
        <f t="shared" ca="1" si="52"/>
        <v>#VALUE!</v>
      </c>
      <c r="J437" s="3" t="e">
        <f t="shared" ca="1" si="54"/>
        <v>#VALUE!</v>
      </c>
      <c r="K437" t="str">
        <f t="shared" ca="1" si="32"/>
        <v xml:space="preserve">Morgado, R. e Gouveia, L. </v>
      </c>
      <c r="L437" t="str">
        <f t="shared" ca="1" si="33"/>
        <v xml:space="preserve">Quental, C. </v>
      </c>
    </row>
    <row r="438" spans="1:13" ht="15.75" customHeight="1">
      <c r="A438">
        <f ca="1">IFERROR(__xludf.DUMMYFUNCTION("""COMPUTED_VALUE"""),108)</f>
        <v>108</v>
      </c>
      <c r="B438" t="str">
        <f ca="1">IFERROR(__xludf.DUMMYFUNCTION("""COMPUTED_VALUE"""),"Correia, A. e Gouveia, L. (2016). Região Norte NUT II – como valor 
acrescentado no desenvolvimento digital da região. Dias de Investigação na 
UFP. 9 a 11 de Março. Universidade Fernando Pessoa. Porto.
[ handle ]")</f>
        <v>Correia, A. e Gouveia, L. (2016). Região Norte NUT II – como valor 
acrescentado no desenvolvimento digital da região. Dias de Investigação na 
UFP. 9 a 11 de Março. Universidade Fernando Pessoa. Porto.
[ handle ]</v>
      </c>
      <c r="C438" s="2">
        <f t="shared" ca="1" si="31"/>
        <v>27</v>
      </c>
      <c r="D438" t="str">
        <f t="shared" ca="1" si="53"/>
        <v xml:space="preserve">Correia, A. e Gouveia, L. </v>
      </c>
      <c r="E438" t="str">
        <f t="shared" ca="1" si="48"/>
        <v>2016</v>
      </c>
      <c r="F438" t="str">
        <f t="shared" ca="1" si="49"/>
        <v xml:space="preserve"> Região Norte NUT II – como valor 
acrescentado no desenvolvimento digital da região. </v>
      </c>
      <c r="G438" s="3">
        <f t="shared" ca="1" si="50"/>
        <v>32</v>
      </c>
      <c r="H438" s="2">
        <f t="shared" ca="1" si="51"/>
        <v>118</v>
      </c>
      <c r="I438" t="e">
        <f t="shared" ca="1" si="52"/>
        <v>#VALUE!</v>
      </c>
      <c r="J438" s="3" t="e">
        <f t="shared" ca="1" si="54"/>
        <v>#VALUE!</v>
      </c>
      <c r="K438" t="str">
        <f t="shared" ca="1" si="32"/>
        <v xml:space="preserve">Correia, A. e Gouveia, L. </v>
      </c>
      <c r="L438" t="str">
        <f t="shared" ca="1" si="33"/>
        <v xml:space="preserve">Quental, C. </v>
      </c>
    </row>
    <row r="439" spans="1:13" ht="15.75" customHeight="1">
      <c r="A439">
        <f ca="1">IFERROR(__xludf.DUMMYFUNCTION("""COMPUTED_VALUE"""),107)</f>
        <v>107</v>
      </c>
      <c r="B439" t="str">
        <f ca="1">IFERROR(__xludf.DUMMYFUNCTION("""COMPUTED_VALUE"""),"Menezes, N. e Gouveia, L. (2016). O recurso a tecnologias de informação e 
comunicação para suporte da atividade em sala de aula de professores e 
formadores. Dias de Investigação na UFP. 9 a 11 de Março. Universidade 
Fernando Pessoa. Porto.
[ handle ]")</f>
        <v>Menezes, N. e Gouveia, L. (2016). O recurso a tecnologias de informação e 
comunicação para suporte da atividade em sala de aula de professores e 
formadores. Dias de Investigação na UFP. 9 a 11 de Março. Universidade 
Fernando Pessoa. Porto.
[ handle ]</v>
      </c>
      <c r="C439" s="2">
        <f t="shared" ca="1" si="31"/>
        <v>27</v>
      </c>
      <c r="D439" t="str">
        <f t="shared" ca="1" si="53"/>
        <v xml:space="preserve">Menezes, N. e Gouveia, L. </v>
      </c>
      <c r="E439" t="str">
        <f t="shared" ca="1" si="48"/>
        <v>2016</v>
      </c>
      <c r="F439" t="str">
        <f t="shared" ca="1" si="49"/>
        <v xml:space="preserve"> O recurso a tecnologias de informação e 
comunicação para suporte da atividade em sala de aula de professores e 
formadores. </v>
      </c>
      <c r="G439" s="3">
        <f t="shared" ca="1" si="50"/>
        <v>32</v>
      </c>
      <c r="H439" s="2">
        <f t="shared" ca="1" si="51"/>
        <v>158</v>
      </c>
      <c r="I439" t="e">
        <f t="shared" ca="1" si="52"/>
        <v>#VALUE!</v>
      </c>
      <c r="J439" s="3" t="e">
        <f t="shared" ca="1" si="54"/>
        <v>#VALUE!</v>
      </c>
      <c r="K439" t="str">
        <f t="shared" ca="1" si="32"/>
        <v xml:space="preserve">Menezes, N. e Gouveia, L. </v>
      </c>
      <c r="L439" t="str">
        <f t="shared" ca="1" si="33"/>
        <v xml:space="preserve">Quental, C. </v>
      </c>
    </row>
    <row r="440" spans="1:13" ht="15.75" customHeight="1">
      <c r="A440">
        <f ca="1">IFERROR(__xludf.DUMMYFUNCTION("""COMPUTED_VALUE"""),106)</f>
        <v>106</v>
      </c>
      <c r="B440" t="str">
        <f ca="1">IFERROR(__xludf.DUMMYFUNCTION("""COMPUTED_VALUE"""),"Robalo, A. e Gouveia, L. (2016). A promoção da cultura digital nos 
professores do 1º e 2º ciclo do ensino secundário, Município do Huambo: A 
Mediateca como agente na promoção da Cultura Digital. Apresentação de 
resultados do projecto de doutoramento. 8"&amp;" de Março. *TRS. Universidade 
Fernando Pessoa. Porto.
[ handle ]")</f>
        <v>Robalo, A. e Gouveia, L. (2016). A promoção da cultura digital nos 
professores do 1º e 2º ciclo do ensino secundário, Município do Huambo: A 
Mediateca como agente na promoção da Cultura Digital. Apresentação de 
resultados do projecto de doutoramento. 8 de Março. *TRS. Universidade 
Fernando Pessoa. Porto.
[ handle ]</v>
      </c>
      <c r="C440" s="2">
        <f t="shared" ca="1" si="31"/>
        <v>26</v>
      </c>
      <c r="D440" t="str">
        <f t="shared" ca="1" si="53"/>
        <v xml:space="preserve">Robalo, A. e Gouveia, L. </v>
      </c>
      <c r="E440" t="str">
        <f t="shared" ca="1" si="48"/>
        <v>2016</v>
      </c>
      <c r="F440" t="str">
        <f t="shared" ca="1" si="49"/>
        <v xml:space="preserve"> A promoção da cultura digital nos 
professores do 1º e 2º ciclo do ensino secundário, Município do Huambo: A 
Mediateca como agente na promoção da Cultura Digital. </v>
      </c>
      <c r="G440" s="3">
        <f t="shared" ca="1" si="50"/>
        <v>31</v>
      </c>
      <c r="H440" s="2">
        <f t="shared" ca="1" si="51"/>
        <v>196</v>
      </c>
      <c r="I440" t="e">
        <f t="shared" ca="1" si="52"/>
        <v>#VALUE!</v>
      </c>
      <c r="J440" s="3" t="e">
        <f t="shared" ca="1" si="54"/>
        <v>#VALUE!</v>
      </c>
      <c r="K440" t="str">
        <f t="shared" ca="1" si="32"/>
        <v xml:space="preserve">Robalo, A. e Gouveia, L. </v>
      </c>
      <c r="L440" t="str">
        <f t="shared" ca="1" si="33"/>
        <v xml:space="preserve">Quental, C. </v>
      </c>
    </row>
    <row r="441" spans="1:13" ht="15.75" customHeight="1">
      <c r="A441">
        <f ca="1">IFERROR(__xludf.DUMMYFUNCTION("""COMPUTED_VALUE"""),105)</f>
        <v>105</v>
      </c>
      <c r="B441" t="str">
        <f ca="1">IFERROR(__xludf.DUMMYFUNCTION("""COMPUTED_VALUE"""),"Peres, P. e Gouveia, L. (2015). *Planeamento e Gestão da Mudança nos 
Processos de Implementação de Sistemas dee/b-learning*. Dias da 
Investigação UFP. 11-13 Março. Universidade Fernando Pessoa. Porto.")</f>
        <v>Peres, P. e Gouveia, L. (2015). *Planeamento e Gestão da Mudança nos 
Processos de Implementação de Sistemas dee/b-learning*. Dias da 
Investigação UFP. 11-13 Março. Universidade Fernando Pessoa. Porto.</v>
      </c>
      <c r="C441" s="2">
        <f t="shared" ca="1" si="31"/>
        <v>25</v>
      </c>
      <c r="D441" t="str">
        <f t="shared" ca="1" si="53"/>
        <v xml:space="preserve">Peres, P. e Gouveia, L. </v>
      </c>
      <c r="E441" t="str">
        <f t="shared" ca="1" si="48"/>
        <v>2015</v>
      </c>
      <c r="F441" t="str">
        <f t="shared" ca="1" si="49"/>
        <v xml:space="preserve"> *Planeamento e Gestão da Mudança nos 
Processos de Implementação de Sistemas dee/b-learning*. </v>
      </c>
      <c r="G441" s="3">
        <f t="shared" ca="1" si="50"/>
        <v>30</v>
      </c>
      <c r="H441" s="2">
        <f t="shared" ca="1" si="51"/>
        <v>125</v>
      </c>
      <c r="I441" t="e">
        <f t="shared" ca="1" si="52"/>
        <v>#VALUE!</v>
      </c>
      <c r="J441" s="3" t="e">
        <f t="shared" ca="1" si="54"/>
        <v>#VALUE!</v>
      </c>
      <c r="K441" t="str">
        <f t="shared" ca="1" si="32"/>
        <v xml:space="preserve">Peres, P. e Gouveia, L. </v>
      </c>
      <c r="L441" t="str">
        <f t="shared" ca="1" si="33"/>
        <v xml:space="preserve">Quental, C. </v>
      </c>
    </row>
    <row r="442" spans="1:13" ht="15.75" customHeight="1">
      <c r="A442">
        <f ca="1">IFERROR(__xludf.DUMMYFUNCTION("""COMPUTED_VALUE"""),104)</f>
        <v>104</v>
      </c>
      <c r="B442" t="str">
        <f ca="1">IFERROR(__xludf.DUMMYFUNCTION("""COMPUTED_VALUE"""),"Leal, J. e Gouveia, L. (2015). MOOC: qual o papel na reconceptualização da 
Universidade? Dias da Investigação UFP. 11-13 Março. Universidade Fernando 
Pessoa. Porto.")</f>
        <v>Leal, J. e Gouveia, L. (2015). MOOC: qual o papel na reconceptualização da 
Universidade? Dias da Investigação UFP. 11-13 Março. Universidade Fernando 
Pessoa. Porto.</v>
      </c>
      <c r="C442" s="2">
        <f t="shared" ca="1" si="31"/>
        <v>24</v>
      </c>
      <c r="D442" t="str">
        <f t="shared" ca="1" si="53"/>
        <v xml:space="preserve">Leal, J. e Gouveia, L. </v>
      </c>
      <c r="E442" t="str">
        <f t="shared" ca="1" si="48"/>
        <v>2015</v>
      </c>
      <c r="F442" t="str">
        <f t="shared" ca="1" si="49"/>
        <v xml:space="preserve"> MOOC: qual o papel na reconceptualização da 
Universidade? Dias da Investigação UFP. </v>
      </c>
      <c r="G442" s="3">
        <f t="shared" ca="1" si="50"/>
        <v>29</v>
      </c>
      <c r="H442" s="2">
        <f t="shared" ca="1" si="51"/>
        <v>115</v>
      </c>
      <c r="I442" t="e">
        <f t="shared" ca="1" si="52"/>
        <v>#VALUE!</v>
      </c>
      <c r="J442" s="3" t="e">
        <f t="shared" ca="1" si="54"/>
        <v>#VALUE!</v>
      </c>
      <c r="K442" t="str">
        <f t="shared" ca="1" si="32"/>
        <v xml:space="preserve">Leal, J. e Gouveia, L. </v>
      </c>
      <c r="L442" t="str">
        <f t="shared" ca="1" si="33"/>
        <v xml:space="preserve">Quental, C. </v>
      </c>
    </row>
    <row r="443" spans="1:13" ht="15.75" customHeight="1">
      <c r="A443">
        <f ca="1">IFERROR(__xludf.DUMMYFUNCTION("""COMPUTED_VALUE"""),103)</f>
        <v>103</v>
      </c>
      <c r="B443" t="str">
        <f ca="1">IFERROR(__xludf.DUMMYFUNCTION("""COMPUTED_VALUE"""),"Robalo, A. e Gouveia, L. (2015). O contributo da Mediateca do Huambo na 
promoção de competências TIC para professores. Dias da Investigação UFP. 
11-13 Março. Universidade Fernando Pessoa. Porto.")</f>
        <v>Robalo, A. e Gouveia, L. (2015). O contributo da Mediateca do Huambo na 
promoção de competências TIC para professores. Dias da Investigação UFP. 
11-13 Março. Universidade Fernando Pessoa. Porto.</v>
      </c>
      <c r="C443" s="2">
        <f t="shared" ca="1" si="31"/>
        <v>26</v>
      </c>
      <c r="D443" t="str">
        <f t="shared" ca="1" si="53"/>
        <v xml:space="preserve">Robalo, A. e Gouveia, L. </v>
      </c>
      <c r="E443" t="str">
        <f t="shared" ca="1" si="48"/>
        <v>2015</v>
      </c>
      <c r="F443" t="str">
        <f t="shared" ca="1" si="49"/>
        <v xml:space="preserve"> O contributo da Mediateca do Huambo na 
promoção de competências TIC para professores. </v>
      </c>
      <c r="G443" s="3">
        <f t="shared" ca="1" si="50"/>
        <v>31</v>
      </c>
      <c r="H443" s="2">
        <f t="shared" ca="1" si="51"/>
        <v>119</v>
      </c>
      <c r="I443" t="e">
        <f t="shared" ca="1" si="52"/>
        <v>#VALUE!</v>
      </c>
      <c r="J443" s="3" t="e">
        <f t="shared" ca="1" si="54"/>
        <v>#VALUE!</v>
      </c>
      <c r="K443" t="str">
        <f t="shared" ca="1" si="32"/>
        <v xml:space="preserve">Robalo, A. e Gouveia, L. </v>
      </c>
      <c r="L443" t="str">
        <f t="shared" ca="1" si="33"/>
        <v xml:space="preserve">Quental, C. </v>
      </c>
    </row>
    <row r="444" spans="1:13" ht="15.75" customHeight="1">
      <c r="A444">
        <f ca="1">IFERROR(__xludf.DUMMYFUNCTION("""COMPUTED_VALUE"""),102)</f>
        <v>102</v>
      </c>
      <c r="B444" t="str">
        <f ca="1">IFERROR(__xludf.DUMMYFUNCTION("""COMPUTED_VALUE"""),"Martins, O. e Gouveia, L. (2015). Bibliotecas académicas, lugar ou ponto de 
acesso? Dias da Investigação UFP. 11-13 Março. Universidade Fernando 
Pessoa. Porto.")</f>
        <v>Martins, O. e Gouveia, L. (2015). Bibliotecas académicas, lugar ou ponto de 
acesso? Dias da Investigação UFP. 11-13 Março. Universidade Fernando 
Pessoa. Porto.</v>
      </c>
      <c r="C444" s="2">
        <f t="shared" ca="1" si="31"/>
        <v>27</v>
      </c>
      <c r="D444" t="str">
        <f t="shared" ca="1" si="53"/>
        <v xml:space="preserve">Martins, O. e Gouveia, L. </v>
      </c>
      <c r="E444" t="str">
        <f t="shared" ca="1" si="48"/>
        <v>2015</v>
      </c>
      <c r="F444" t="str">
        <f t="shared" ca="1" si="49"/>
        <v xml:space="preserve"> Bibliotecas académicas, lugar ou ponto de 
acesso? Dias da Investigação UFP. </v>
      </c>
      <c r="G444" s="3">
        <f t="shared" ca="1" si="50"/>
        <v>32</v>
      </c>
      <c r="H444" s="2">
        <f t="shared" ca="1" si="51"/>
        <v>110</v>
      </c>
      <c r="I444" t="e">
        <f t="shared" ca="1" si="52"/>
        <v>#VALUE!</v>
      </c>
      <c r="J444" s="3" t="e">
        <f t="shared" ca="1" si="54"/>
        <v>#VALUE!</v>
      </c>
      <c r="K444" t="str">
        <f t="shared" ca="1" si="32"/>
        <v xml:space="preserve">Martins, O. e Gouveia, L. </v>
      </c>
      <c r="L444" t="str">
        <f t="shared" ca="1" si="33"/>
        <v xml:space="preserve">Quental, C. </v>
      </c>
    </row>
    <row r="445" spans="1:13" ht="15.75" customHeight="1">
      <c r="A445">
        <f ca="1">IFERROR(__xludf.DUMMYFUNCTION("""COMPUTED_VALUE"""),101)</f>
        <v>101</v>
      </c>
      <c r="B445" t="str">
        <f ca="1">IFERROR(__xludf.DUMMYFUNCTION("""COMPUTED_VALUE"""),"Alfredo, P. e Gouveia, L. (2015). Contribuições para a discussão de um 
modelo de governo electrónico local para Angola. Dias da Investigação UFP. 
11-13 Março. Universidade Fernando Pessoa. Porto.")</f>
        <v>Alfredo, P. e Gouveia, L. (2015). Contribuições para a discussão de um 
modelo de governo electrónico local para Angola. Dias da Investigação UFP. 
11-13 Março. Universidade Fernando Pessoa. Porto.</v>
      </c>
      <c r="C445" s="2">
        <f t="shared" ca="1" si="31"/>
        <v>27</v>
      </c>
      <c r="D445" t="str">
        <f t="shared" ca="1" si="53"/>
        <v xml:space="preserve">Alfredo, P. e Gouveia, L. </v>
      </c>
      <c r="E445" t="str">
        <f t="shared" ca="1" si="48"/>
        <v>2015</v>
      </c>
      <c r="F445" t="str">
        <f t="shared" ca="1" si="49"/>
        <v xml:space="preserve"> Contribuições para a discussão de um 
modelo de governo electrónico local para Angola. </v>
      </c>
      <c r="G445" s="3">
        <f t="shared" ca="1" si="50"/>
        <v>32</v>
      </c>
      <c r="H445" s="2">
        <f t="shared" ca="1" si="51"/>
        <v>120</v>
      </c>
      <c r="I445" t="e">
        <f t="shared" ca="1" si="52"/>
        <v>#VALUE!</v>
      </c>
      <c r="J445" s="3" t="e">
        <f t="shared" ca="1" si="54"/>
        <v>#VALUE!</v>
      </c>
      <c r="K445" t="str">
        <f t="shared" ca="1" si="32"/>
        <v xml:space="preserve">Alfredo, P. e Gouveia, L. </v>
      </c>
      <c r="L445" t="str">
        <f t="shared" ca="1" si="33"/>
        <v xml:space="preserve">Quental, C. </v>
      </c>
    </row>
    <row r="446" spans="1:13" ht="15.75" customHeight="1">
      <c r="A446">
        <f ca="1">IFERROR(__xludf.DUMMYFUNCTION("""COMPUTED_VALUE"""),100)</f>
        <v>100</v>
      </c>
      <c r="B446" t="str">
        <f ca="1">IFERROR(__xludf.DUMMYFUNCTION("""COMPUTED_VALUE"""),"Abrantes, S. e Gouveia, L. (2015). Um estudo empírico sobre a adopção de 
meios digitais para suporte à aprendizagem colaborativa. Dias da 
Investigação UFP. 11-13 Março. Universidade Fernando Pessoa. Porto.")</f>
        <v>Abrantes, S. e Gouveia, L. (2015). Um estudo empírico sobre a adopção de 
meios digitais para suporte à aprendizagem colaborativa. Dias da 
Investigação UFP. 11-13 Março. Universidade Fernando Pessoa. Porto.</v>
      </c>
      <c r="C446" s="2">
        <f t="shared" ca="1" si="31"/>
        <v>28</v>
      </c>
      <c r="D446" t="str">
        <f t="shared" ca="1" si="53"/>
        <v xml:space="preserve">Abrantes, S. e Gouveia, L. </v>
      </c>
      <c r="E446" t="str">
        <f t="shared" ca="1" si="48"/>
        <v>2015</v>
      </c>
      <c r="F446" t="str">
        <f t="shared" ca="1" si="49"/>
        <v xml:space="preserve"> Um estudo empírico sobre a adopção de 
meios digitais para suporte à aprendizagem colaborativa. </v>
      </c>
      <c r="G446" s="3">
        <f t="shared" ca="1" si="50"/>
        <v>33</v>
      </c>
      <c r="H446" s="2">
        <f t="shared" ca="1" si="51"/>
        <v>130</v>
      </c>
      <c r="I446" t="e">
        <f t="shared" ca="1" si="52"/>
        <v>#VALUE!</v>
      </c>
      <c r="J446" s="3" t="e">
        <f t="shared" ca="1" si="54"/>
        <v>#VALUE!</v>
      </c>
      <c r="K446" t="str">
        <f t="shared" ca="1" si="32"/>
        <v xml:space="preserve">Abrantes, S. e Gouveia, L. </v>
      </c>
      <c r="L446" t="str">
        <f t="shared" ca="1" si="33"/>
        <v xml:space="preserve">Quental, C. </v>
      </c>
    </row>
    <row r="447" spans="1:13" ht="15.75" customHeight="1">
      <c r="A447">
        <f ca="1">IFERROR(__xludf.DUMMYFUNCTION("""COMPUTED_VALUE"""),99)</f>
        <v>99</v>
      </c>
      <c r="B447" t="str">
        <f ca="1">IFERROR(__xludf.DUMMYFUNCTION("""COMPUTED_VALUE"""),"Silva, P. and Gouveia, L. (2015). The impact of digital in learning spaces: 
an analysis on the perspective of teachers in higher education. Research 
Days at UFP. 11th to 13th March. University Fernando Pessoa. Porto.")</f>
        <v>Silva, P. and Gouveia, L. (2015). The impact of digital in learning spaces: 
an analysis on the perspective of teachers in higher education. Research 
Days at UFP. 11th to 13th March. University Fernando Pessoa. Porto.</v>
      </c>
      <c r="C447" s="2">
        <f t="shared" ca="1" si="31"/>
        <v>27</v>
      </c>
      <c r="D447" t="str">
        <f t="shared" ca="1" si="53"/>
        <v xml:space="preserve">Silva, P. and Gouveia, L. </v>
      </c>
      <c r="E447" t="str">
        <f t="shared" ca="1" si="48"/>
        <v>2015</v>
      </c>
      <c r="F447" t="str">
        <f t="shared" ca="1" si="49"/>
        <v xml:space="preserve"> The impact of digital in learning spaces: 
an analysis on the perspective of teachers in higher education. </v>
      </c>
      <c r="G447" s="3">
        <f t="shared" ca="1" si="50"/>
        <v>32</v>
      </c>
      <c r="H447" s="2">
        <f t="shared" ca="1" si="51"/>
        <v>140</v>
      </c>
      <c r="I447" t="e">
        <f t="shared" ca="1" si="52"/>
        <v>#VALUE!</v>
      </c>
      <c r="J447" s="3" t="e">
        <f t="shared" ca="1" si="54"/>
        <v>#VALUE!</v>
      </c>
      <c r="K447" t="str">
        <f t="shared" ca="1" si="32"/>
        <v xml:space="preserve">Silva, P. ; Gouveia, L. </v>
      </c>
      <c r="L447" t="str">
        <f t="shared" ca="1" si="33"/>
        <v xml:space="preserve">Quental, C. </v>
      </c>
      <c r="M447" t="str">
        <f ca="1">IFERROR(__xludf.DUMMYFUNCTION("""COMPUTED_VALUE""")," Gouveia, L. ")</f>
        <v xml:space="preserve"> Gouveia, L. </v>
      </c>
    </row>
    <row r="448" spans="1:13" ht="15.75" customHeight="1">
      <c r="A448">
        <f ca="1">IFERROR(__xludf.DUMMYFUNCTION("""COMPUTED_VALUE"""),98)</f>
        <v>98</v>
      </c>
      <c r="B448" t="str">
        <f ca="1">IFERROR(__xludf.DUMMYFUNCTION("""COMPUTED_VALUE"""),"Ferreira, A. e Gouveia, L. (2015). O ensino e os novos sistemas de 
computação. Dias da Investigação UFP. 11-13 Março. Universidade Fernando 
Pessoa. Porto.")</f>
        <v>Ferreira, A. e Gouveia, L. (2015). O ensino e os novos sistemas de 
computação. Dias da Investigação UFP. 11-13 Março. Universidade Fernando 
Pessoa. Porto.</v>
      </c>
      <c r="C448" s="2">
        <f t="shared" ca="1" si="31"/>
        <v>28</v>
      </c>
      <c r="D448" t="str">
        <f t="shared" ca="1" si="53"/>
        <v xml:space="preserve">Ferreira, A. e Gouveia, L. </v>
      </c>
      <c r="E448" t="str">
        <f t="shared" ca="1" si="48"/>
        <v>2015</v>
      </c>
      <c r="F448" t="str">
        <f t="shared" ca="1" si="49"/>
        <v xml:space="preserve"> O ensino e os novos sistemas de 
computação. </v>
      </c>
      <c r="G448" s="3">
        <f t="shared" ca="1" si="50"/>
        <v>33</v>
      </c>
      <c r="H448" s="2">
        <f t="shared" ca="1" si="51"/>
        <v>79</v>
      </c>
      <c r="I448" t="e">
        <f t="shared" ca="1" si="52"/>
        <v>#VALUE!</v>
      </c>
      <c r="J448" s="3" t="e">
        <f t="shared" ca="1" si="54"/>
        <v>#VALUE!</v>
      </c>
      <c r="K448" t="str">
        <f t="shared" ca="1" si="32"/>
        <v xml:space="preserve">Ferreira, A. e Gouveia, L. </v>
      </c>
      <c r="L448" t="str">
        <f t="shared" ca="1" si="33"/>
        <v xml:space="preserve">Quental, C. </v>
      </c>
    </row>
    <row r="449" spans="1:12" ht="15.75" customHeight="1">
      <c r="A449">
        <f ca="1">IFERROR(__xludf.DUMMYFUNCTION("""COMPUTED_VALUE"""),97)</f>
        <v>97</v>
      </c>
      <c r="B449" t="str">
        <f ca="1">IFERROR(__xludf.DUMMYFUNCTION("""COMPUTED_VALUE"""),"Gouveia, L. (2015). Cidades Inteligentes: a exploração do digital para um 
territóriio melhor. Jornadas de Gestão. Cidades Inteligentes e Inclusivas. 
Universidade Lusófona, 14 de Abril. Porto.
[ handle ]")</f>
        <v>Gouveia, L. (2015). Cidades Inteligentes: a exploração do digital para um 
territóriio melhor. Jornadas de Gestão. Cidades Inteligentes e Inclusivas. 
Universidade Lusófona, 14 de Abril. Porto.
[ handle ]</v>
      </c>
      <c r="C449" s="2">
        <f t="shared" ca="1" si="31"/>
        <v>13</v>
      </c>
      <c r="D449" t="str">
        <f t="shared" ca="1" si="53"/>
        <v xml:space="preserve">Gouveia, L. </v>
      </c>
      <c r="E449" t="str">
        <f t="shared" ca="1" si="48"/>
        <v>2015</v>
      </c>
      <c r="F449" t="str">
        <f t="shared" ca="1" si="49"/>
        <v xml:space="preserve"> Cidades Inteligentes: a exploração do digital para um 
territóriio melhor. </v>
      </c>
      <c r="G449" s="3">
        <f t="shared" ca="1" si="50"/>
        <v>18</v>
      </c>
      <c r="H449" s="2">
        <f t="shared" ca="1" si="51"/>
        <v>94</v>
      </c>
      <c r="I449" t="e">
        <f t="shared" ca="1" si="52"/>
        <v>#VALUE!</v>
      </c>
      <c r="J449" s="3" t="e">
        <f t="shared" ca="1" si="54"/>
        <v>#VALUE!</v>
      </c>
      <c r="K449" t="str">
        <f t="shared" ca="1" si="32"/>
        <v xml:space="preserve">Gouveia, L. </v>
      </c>
      <c r="L449" t="str">
        <f t="shared" ca="1" si="33"/>
        <v xml:space="preserve">Quental, C. </v>
      </c>
    </row>
    <row r="450" spans="1:12" ht="15.75" customHeight="1">
      <c r="A450">
        <f ca="1">IFERROR(__xludf.DUMMYFUNCTION("""COMPUTED_VALUE"""),96)</f>
        <v>96</v>
      </c>
      <c r="B450" t="str">
        <f ca="1">IFERROR(__xludf.DUMMYFUNCTION("""COMPUTED_VALUE"""),"Gouveia, L. (2014). Desafios e oportunidades da Sociedade em Rede para o 
ensino e a aprendizagem. Palestra na pós-graduação em Educação em Turismo, 
Hotelaria e Restauração. ESEIG Escola Superior de Estudos Industriais e de 
Gestão do Instituto Politécni"&amp;"co do Porto. 11 de Julho. Vila do Conde.
[ handle ]")</f>
        <v>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
[ handle ]</v>
      </c>
      <c r="C450" s="2">
        <f t="shared" ca="1" si="31"/>
        <v>13</v>
      </c>
      <c r="D450" t="str">
        <f t="shared" ca="1" si="53"/>
        <v xml:space="preserve">Gouveia, L. </v>
      </c>
      <c r="E450" t="str">
        <f t="shared" ca="1" si="48"/>
        <v>2014</v>
      </c>
      <c r="F450" t="str">
        <f t="shared" ca="1" si="49"/>
        <v xml:space="preserve"> Desafios e oportunidades da Sociedade em Rede para o 
ensino e a aprendizagem. </v>
      </c>
      <c r="G450" s="3">
        <f t="shared" ca="1" si="50"/>
        <v>18</v>
      </c>
      <c r="H450" s="2">
        <f t="shared" ca="1" si="51"/>
        <v>98</v>
      </c>
      <c r="I450" t="e">
        <f t="shared" ca="1" si="52"/>
        <v>#VALUE!</v>
      </c>
      <c r="J450" s="3" t="e">
        <f t="shared" ca="1" si="54"/>
        <v>#VALUE!</v>
      </c>
      <c r="K450" t="str">
        <f t="shared" ca="1" si="32"/>
        <v xml:space="preserve">Gouveia, L. </v>
      </c>
      <c r="L450" t="str">
        <f t="shared" ca="1" si="33"/>
        <v xml:space="preserve">Quental, C. </v>
      </c>
    </row>
    <row r="451" spans="1:12" ht="15.75" customHeight="1">
      <c r="A451">
        <f ca="1">IFERROR(__xludf.DUMMYFUNCTION("""COMPUTED_VALUE"""),95)</f>
        <v>95</v>
      </c>
      <c r="B451" t="str">
        <f ca="1">IFERROR(__xludf.DUMMYFUNCTION("""COMPUTED_VALUE"""),"Gouveia, L. (2014). Segurança Informática: contexto, conceitos e desafios. 
Rotary Club Vizela. 18 de Junho. Vizela.
[ apresentação ]")</f>
        <v>Gouveia, L. (2014). Segurança Informática: contexto, conceitos e desafios. 
Rotary Club Vizela. 18 de Junho. Vizela.
[ apresentação ]</v>
      </c>
      <c r="C451" s="2">
        <f t="shared" ca="1" si="31"/>
        <v>13</v>
      </c>
      <c r="D451" t="str">
        <f t="shared" ca="1" si="53"/>
        <v xml:space="preserve">Gouveia, L. </v>
      </c>
      <c r="E451" t="str">
        <f t="shared" ref="E451:E514" ca="1" si="55">MID(B451,C451+1,4)</f>
        <v>2014</v>
      </c>
      <c r="F451" t="str">
        <f t="shared" ref="F451:F514" ca="1" si="56">MID(B451,G451+2,H451-G451)</f>
        <v xml:space="preserve"> Segurança Informática: contexto, conceitos e desafios. </v>
      </c>
      <c r="G451" s="3">
        <f t="shared" ref="G451:G514" ca="1" si="57">FIND(").",B451)</f>
        <v>18</v>
      </c>
      <c r="H451" s="2">
        <f t="shared" ref="H451:H514" ca="1" si="58">FIND(".",B451,G451+2)</f>
        <v>74</v>
      </c>
      <c r="I451" t="e">
        <f t="shared" ref="I451:I514" ca="1" si="59">MID(B451,H451+2,J451-H451)</f>
        <v>#VALUE!</v>
      </c>
      <c r="J451" s="3" t="e">
        <f t="shared" ca="1" si="54"/>
        <v>#VALUE!</v>
      </c>
      <c r="K451" t="str">
        <f t="shared" ca="1" si="32"/>
        <v xml:space="preserve">Gouveia, L. </v>
      </c>
      <c r="L451" t="str">
        <f t="shared" ca="1" si="33"/>
        <v xml:space="preserve">Quental, C. </v>
      </c>
    </row>
    <row r="452" spans="1:12" ht="15.75" customHeight="1">
      <c r="A452">
        <f ca="1">IFERROR(__xludf.DUMMYFUNCTION("""COMPUTED_VALUE"""),94)</f>
        <v>94</v>
      </c>
      <c r="B452" t="str">
        <f ca="1">IFERROR(__xludf.DUMMYFUNCTION("""COMPUTED_VALUE"""),"Gouveia, L. (2014). Do local ao global: a tecnologia digital ao serviço do 
conhecimento. Do Artesanal ao Digital. O contributo das Universidades. 
Universidade Fernando Pessoa. Ponte de Lima, 5 de Abril.
[ apresentação ]")</f>
        <v>Gouveia, L. (2014). Do local ao global: a tecnologia digital ao serviço do 
conhecimento. Do Artesanal ao Digital. O contributo das Universidades. 
Universidade Fernando Pessoa. Ponte de Lima, 5 de Abril.
[ apresentação ]</v>
      </c>
      <c r="C452" s="2">
        <f t="shared" ca="1" si="31"/>
        <v>13</v>
      </c>
      <c r="D452" t="str">
        <f t="shared" ref="D452:D515" ca="1" si="60">LEFT(B452,FIND("(",B452)-1)</f>
        <v xml:space="preserve">Gouveia, L. </v>
      </c>
      <c r="E452" t="str">
        <f t="shared" ca="1" si="55"/>
        <v>2014</v>
      </c>
      <c r="F452" t="str">
        <f t="shared" ca="1" si="56"/>
        <v xml:space="preserve"> Do local ao global: a tecnologia digital ao serviço do 
conhecimento. </v>
      </c>
      <c r="G452" s="3">
        <f t="shared" ca="1" si="57"/>
        <v>18</v>
      </c>
      <c r="H452" s="2">
        <f t="shared" ca="1" si="58"/>
        <v>89</v>
      </c>
      <c r="I452" t="e">
        <f t="shared" ca="1" si="59"/>
        <v>#VALUE!</v>
      </c>
      <c r="J452" s="3" t="e">
        <f t="shared" ref="J452:J515" ca="1" si="61">FIND(").",B452,H452+1)</f>
        <v>#VALUE!</v>
      </c>
      <c r="K452" t="str">
        <f t="shared" ca="1" si="32"/>
        <v xml:space="preserve">Gouveia, L. </v>
      </c>
      <c r="L452" t="str">
        <f t="shared" ca="1" si="33"/>
        <v xml:space="preserve">Quental, C. </v>
      </c>
    </row>
    <row r="453" spans="1:12" ht="15.75" customHeight="1">
      <c r="A453">
        <f ca="1">IFERROR(__xludf.DUMMYFUNCTION("""COMPUTED_VALUE"""),93)</f>
        <v>93</v>
      </c>
      <c r="B453" t="str">
        <f ca="1">IFERROR(__xludf.DUMMYFUNCTION("""COMPUTED_VALUE"""),"Gouveia, L. (2013). *Sociedade da Informação. Uma quase teologia da 
revolução*. Mestrado em Sistemas de Informação. Universidade do Minho, 
Guimarães. 20 de Dezembro.
[ presentation ]")</f>
        <v>Gouveia, L. (2013). *Sociedade da Informação. Uma quase teologia da 
revolução*. Mestrado em Sistemas de Informação. Universidade do Minho, 
Guimarães. 20 de Dezembro.
[ presentation ]</v>
      </c>
      <c r="C453" s="2">
        <f t="shared" ca="1" si="31"/>
        <v>13</v>
      </c>
      <c r="D453" t="str">
        <f t="shared" ca="1" si="60"/>
        <v xml:space="preserve">Gouveia, L. </v>
      </c>
      <c r="E453" t="str">
        <f t="shared" ca="1" si="55"/>
        <v>2013</v>
      </c>
      <c r="F453" t="str">
        <f t="shared" ca="1" si="56"/>
        <v xml:space="preserve"> *Sociedade da Informação. </v>
      </c>
      <c r="G453" s="3">
        <f t="shared" ca="1" si="57"/>
        <v>18</v>
      </c>
      <c r="H453" s="2">
        <f t="shared" ca="1" si="58"/>
        <v>45</v>
      </c>
      <c r="I453" t="e">
        <f t="shared" ca="1" si="59"/>
        <v>#VALUE!</v>
      </c>
      <c r="J453" s="3" t="e">
        <f t="shared" ca="1" si="61"/>
        <v>#VALUE!</v>
      </c>
      <c r="K453" t="str">
        <f t="shared" ca="1" si="32"/>
        <v xml:space="preserve">Gouveia, L. </v>
      </c>
      <c r="L453" t="str">
        <f t="shared" ca="1" si="33"/>
        <v xml:space="preserve">Quental, C. </v>
      </c>
    </row>
    <row r="454" spans="1:12" ht="15.75" customHeight="1">
      <c r="A454">
        <f ca="1">IFERROR(__xludf.DUMMYFUNCTION("""COMPUTED_VALUE"""),92)</f>
        <v>92</v>
      </c>
      <c r="B454" t="str">
        <f ca="1">IFERROR(__xludf.DUMMYFUNCTION("""COMPUTED_VALUE"""),"Gouveia, L. (2013). *Some issues on Bibliometrics: the way I would like to 
be helped as a University Professor*. Eramus Librarian Week. University 
Fernando Pessoa. 4th December. 
[ presentation ]")</f>
        <v>Gouveia, L. (2013). *Some issues on Bibliometrics: the way I would like to 
be helped as a University Professor*. Eramus Librarian Week. University 
Fernando Pessoa. 4th December. 
[ presentation ]</v>
      </c>
      <c r="C454" s="2">
        <f t="shared" ca="1" si="31"/>
        <v>13</v>
      </c>
      <c r="D454" t="str">
        <f t="shared" ca="1" si="60"/>
        <v xml:space="preserve">Gouveia, L. </v>
      </c>
      <c r="E454" t="str">
        <f t="shared" ca="1" si="55"/>
        <v>2013</v>
      </c>
      <c r="F454" t="str">
        <f t="shared" ca="1" si="56"/>
        <v xml:space="preserve"> *Some issues on Bibliometrics: the way I would like to 
be helped as a University Professor*. </v>
      </c>
      <c r="G454" s="3">
        <f t="shared" ca="1" si="57"/>
        <v>18</v>
      </c>
      <c r="H454" s="2">
        <f t="shared" ca="1" si="58"/>
        <v>113</v>
      </c>
      <c r="I454" t="e">
        <f t="shared" ca="1" si="59"/>
        <v>#VALUE!</v>
      </c>
      <c r="J454" s="3" t="e">
        <f t="shared" ca="1" si="61"/>
        <v>#VALUE!</v>
      </c>
      <c r="K454" t="str">
        <f t="shared" ca="1" si="32"/>
        <v xml:space="preserve">Gouveia, L. </v>
      </c>
      <c r="L454" t="str">
        <f t="shared" ca="1" si="33"/>
        <v xml:space="preserve">Quental, C. </v>
      </c>
    </row>
    <row r="455" spans="1:12" ht="15.75" customHeight="1">
      <c r="A455">
        <f ca="1">IFERROR(__xludf.DUMMYFUNCTION("""COMPUTED_VALUE"""),91)</f>
        <v>91</v>
      </c>
      <c r="B455" t="str">
        <f ca="1">IFERROR(__xludf.DUMMYFUNCTION("""COMPUTED_VALUE"""),"Gouveia, L. (2013). Encontro sobre Investigação, Desenvolvimento e 
Inovação. Apresentação no Encontro sobre Investigação, Desenvolvimento e 
Inovação. Bureau Veritas e Qtel. Pavilhão do Conhecimento, Lisboa, 7 de 
Outubro.
[ apresentação ]")</f>
        <v>Gouveia, L. (2013). Encontro sobre Investigação, Desenvolvimento e 
Inovação. Apresentação no Encontro sobre Investigação, Desenvolvimento e 
Inovação. Bureau Veritas e Qtel. Pavilhão do Conhecimento, Lisboa, 7 de 
Outubro.
[ apresentação ]</v>
      </c>
      <c r="C455" s="2">
        <f t="shared" ca="1" si="31"/>
        <v>13</v>
      </c>
      <c r="D455" t="str">
        <f t="shared" ca="1" si="60"/>
        <v xml:space="preserve">Gouveia, L. </v>
      </c>
      <c r="E455" t="str">
        <f t="shared" ca="1" si="55"/>
        <v>2013</v>
      </c>
      <c r="F455" t="str">
        <f t="shared" ca="1" si="56"/>
        <v xml:space="preserve"> Encontro sobre Investigação, Desenvolvimento e 
Inovação. </v>
      </c>
      <c r="G455" s="3">
        <f t="shared" ca="1" si="57"/>
        <v>18</v>
      </c>
      <c r="H455" s="2">
        <f t="shared" ca="1" si="58"/>
        <v>77</v>
      </c>
      <c r="I455" t="e">
        <f t="shared" ca="1" si="59"/>
        <v>#VALUE!</v>
      </c>
      <c r="J455" s="3" t="e">
        <f t="shared" ca="1" si="61"/>
        <v>#VALUE!</v>
      </c>
      <c r="K455" t="str">
        <f t="shared" ca="1" si="32"/>
        <v xml:space="preserve">Gouveia, L. </v>
      </c>
      <c r="L455" t="str">
        <f t="shared" ca="1" si="33"/>
        <v xml:space="preserve">Quental, C. </v>
      </c>
    </row>
    <row r="456" spans="1:12" ht="15.75" customHeight="1">
      <c r="A456">
        <f ca="1">IFERROR(__xludf.DUMMYFUNCTION("""COMPUTED_VALUE"""),90)</f>
        <v>90</v>
      </c>
      <c r="B456" t="str">
        <f ca="1">IFERROR(__xludf.DUMMYFUNCTION("""COMPUTED_VALUE"""),"Gouveia, L. (2013). Mobilidade Digital. Debate do tema Mobilidade. Debate 
no âmbito da candidatura independente ao município de Vila Nova de Gaia. 25 
de Julho. Vila Nova de Gaia.
[ apresentação ]")</f>
        <v>Gouveia, L. (2013). Mobilidade Digital. Debate do tema Mobilidade. Debate 
no âmbito da candidatura independente ao município de Vila Nova de Gaia. 25 
de Julho. Vila Nova de Gaia.
[ apresentação ]</v>
      </c>
      <c r="C456" s="2">
        <f t="shared" ca="1" si="31"/>
        <v>13</v>
      </c>
      <c r="D456" t="str">
        <f t="shared" ca="1" si="60"/>
        <v xml:space="preserve">Gouveia, L. </v>
      </c>
      <c r="E456" t="str">
        <f t="shared" ca="1" si="55"/>
        <v>2013</v>
      </c>
      <c r="F456" t="str">
        <f t="shared" ca="1" si="56"/>
        <v xml:space="preserve"> Mobilidade Digital. </v>
      </c>
      <c r="G456" s="3">
        <f t="shared" ca="1" si="57"/>
        <v>18</v>
      </c>
      <c r="H456" s="2">
        <f t="shared" ca="1" si="58"/>
        <v>39</v>
      </c>
      <c r="I456" t="e">
        <f t="shared" ca="1" si="59"/>
        <v>#VALUE!</v>
      </c>
      <c r="J456" s="3" t="e">
        <f t="shared" ca="1" si="61"/>
        <v>#VALUE!</v>
      </c>
      <c r="K456" t="str">
        <f t="shared" ca="1" si="32"/>
        <v xml:space="preserve">Gouveia, L. </v>
      </c>
      <c r="L456" t="str">
        <f t="shared" ca="1" si="33"/>
        <v xml:space="preserve">Quental, C. </v>
      </c>
    </row>
    <row r="457" spans="1:12" ht="15.75" customHeight="1">
      <c r="A457">
        <f ca="1">IFERROR(__xludf.DUMMYFUNCTION("""COMPUTED_VALUE"""),89)</f>
        <v>89</v>
      </c>
      <c r="B457" t="str">
        <f ca="1">IFERROR(__xludf.DUMMYFUNCTION("""COMPUTED_VALUE"""),"Gouveia, L. (2013). Reunião de trabalho e integração de atividade. Grupo 
*TRS. 24 de Julho. Instituto Politécnico de Viseu, Viseu.
[ apresentação ]")</f>
        <v>Gouveia, L. (2013). Reunião de trabalho e integração de atividade. Grupo 
*TRS. 24 de Julho. Instituto Politécnico de Viseu, Viseu.
[ apresentação ]</v>
      </c>
      <c r="C457" s="2">
        <f t="shared" ca="1" si="31"/>
        <v>13</v>
      </c>
      <c r="D457" t="str">
        <f t="shared" ca="1" si="60"/>
        <v xml:space="preserve">Gouveia, L. </v>
      </c>
      <c r="E457" t="str">
        <f t="shared" ca="1" si="55"/>
        <v>2013</v>
      </c>
      <c r="F457" t="str">
        <f t="shared" ca="1" si="56"/>
        <v xml:space="preserve"> Reunião de trabalho e integração de atividade. </v>
      </c>
      <c r="G457" s="3">
        <f t="shared" ca="1" si="57"/>
        <v>18</v>
      </c>
      <c r="H457" s="2">
        <f t="shared" ca="1" si="58"/>
        <v>66</v>
      </c>
      <c r="I457" t="e">
        <f t="shared" ca="1" si="59"/>
        <v>#VALUE!</v>
      </c>
      <c r="J457" s="3" t="e">
        <f t="shared" ca="1" si="61"/>
        <v>#VALUE!</v>
      </c>
      <c r="K457" t="str">
        <f t="shared" ca="1" si="32"/>
        <v xml:space="preserve">Gouveia, L. </v>
      </c>
      <c r="L457" t="str">
        <f t="shared" ca="1" si="33"/>
        <v xml:space="preserve">Quental, C. </v>
      </c>
    </row>
    <row r="458" spans="1:12" ht="15.75" customHeight="1">
      <c r="A458">
        <f ca="1">IFERROR(__xludf.DUMMYFUNCTION("""COMPUTED_VALUE"""),88)</f>
        <v>88</v>
      </c>
      <c r="B458" t="str">
        <f ca="1">IFERROR(__xludf.DUMMYFUNCTION("""COMPUTED_VALUE"""),"Gouveia, L. (2013). *Redes e Território*. Seminário, Mestrado de 
Administração Pública. Instituto Politécnico da Guarda. 17 de Maio.
[ apresentação ]")</f>
        <v>Gouveia, L. (2013). *Redes e Território*. Seminário, Mestrado de 
Administração Pública. Instituto Politécnico da Guarda. 17 de Maio.
[ apresentação ]</v>
      </c>
      <c r="C458" s="2">
        <f t="shared" ca="1" si="31"/>
        <v>13</v>
      </c>
      <c r="D458" t="str">
        <f t="shared" ca="1" si="60"/>
        <v xml:space="preserve">Gouveia, L. </v>
      </c>
      <c r="E458" t="str">
        <f t="shared" ca="1" si="55"/>
        <v>2013</v>
      </c>
      <c r="F458" t="str">
        <f t="shared" ca="1" si="56"/>
        <v xml:space="preserve"> *Redes e Território*. </v>
      </c>
      <c r="G458" s="3">
        <f t="shared" ca="1" si="57"/>
        <v>18</v>
      </c>
      <c r="H458" s="2">
        <f t="shared" ca="1" si="58"/>
        <v>41</v>
      </c>
      <c r="I458" t="e">
        <f t="shared" ca="1" si="59"/>
        <v>#VALUE!</v>
      </c>
      <c r="J458" s="3" t="e">
        <f t="shared" ca="1" si="61"/>
        <v>#VALUE!</v>
      </c>
      <c r="K458" t="str">
        <f t="shared" ca="1" si="32"/>
        <v xml:space="preserve">Gouveia, L. </v>
      </c>
      <c r="L458" t="str">
        <f t="shared" ca="1" si="33"/>
        <v xml:space="preserve">Quental, C. </v>
      </c>
    </row>
    <row r="459" spans="1:12" ht="15.75" customHeight="1">
      <c r="A459">
        <f ca="1">IFERROR(__xludf.DUMMYFUNCTION("""COMPUTED_VALUE"""),87)</f>
        <v>87</v>
      </c>
      <c r="B459" t="str">
        <f ca="1">IFERROR(__xludf.DUMMYFUNCTION("""COMPUTED_VALUE"""),"Gouveia, L. e Neves, J. (2013). *Grupo *TRS: T – Tecnologia, R – Redes, S – 
Sociedade. Enquadramento e apresentação*. Universidade Fernando Pessoa. 13 
de Maio.
[ apresentação ]")</f>
        <v>Gouveia, L. e Neves, J. (2013). *Grupo *TRS: T – Tecnologia, R – Redes, S – 
Sociedade. Enquadramento e apresentação*. Universidade Fernando Pessoa. 13 
de Maio.
[ apresentação ]</v>
      </c>
      <c r="C459" s="2">
        <f t="shared" ca="1" si="31"/>
        <v>25</v>
      </c>
      <c r="D459" t="str">
        <f t="shared" ca="1" si="60"/>
        <v xml:space="preserve">Gouveia, L. e Neves, J. </v>
      </c>
      <c r="E459" t="str">
        <f t="shared" ca="1" si="55"/>
        <v>2013</v>
      </c>
      <c r="F459" t="str">
        <f t="shared" ca="1" si="56"/>
        <v xml:space="preserve"> *Grupo *TRS: T – Tecnologia, R – Redes, S – 
Sociedade. </v>
      </c>
      <c r="G459" s="3">
        <f t="shared" ca="1" si="57"/>
        <v>30</v>
      </c>
      <c r="H459" s="2">
        <f t="shared" ca="1" si="58"/>
        <v>87</v>
      </c>
      <c r="I459" t="e">
        <f t="shared" ca="1" si="59"/>
        <v>#VALUE!</v>
      </c>
      <c r="J459" s="3" t="e">
        <f t="shared" ca="1" si="61"/>
        <v>#VALUE!</v>
      </c>
      <c r="K459" t="str">
        <f t="shared" ca="1" si="32"/>
        <v xml:space="preserve">Gouveia, L. e Neves, J. </v>
      </c>
      <c r="L459" t="str">
        <f t="shared" ca="1" si="33"/>
        <v xml:space="preserve">Quental, C. </v>
      </c>
    </row>
    <row r="460" spans="1:12" ht="15.75" customHeight="1">
      <c r="A460">
        <f ca="1">IFERROR(__xludf.DUMMYFUNCTION("""COMPUTED_VALUE"""),86)</f>
        <v>86</v>
      </c>
      <c r="B460" t="str">
        <f ca="1">IFERROR(__xludf.DUMMYFUNCTION("""COMPUTED_VALUE"""),"Gouveia, L. (2013). *The Library, the digital and the quest for open 
access.* UFP's Erasmus Staff Week for Librarians. Workshop. Universidade 
Fernando Pessoa. 20th March.
[ slideshare ]")</f>
        <v>Gouveia, L. (2013). *The Library, the digital and the quest for open 
access.* UFP's Erasmus Staff Week for Librarians. Workshop. Universidade 
Fernando Pessoa. 20th March.
[ slideshare ]</v>
      </c>
      <c r="C460" s="2">
        <f t="shared" ca="1" si="31"/>
        <v>13</v>
      </c>
      <c r="D460" t="str">
        <f t="shared" ca="1" si="60"/>
        <v xml:space="preserve">Gouveia, L. </v>
      </c>
      <c r="E460" t="str">
        <f t="shared" ca="1" si="55"/>
        <v>2013</v>
      </c>
      <c r="F460" t="str">
        <f t="shared" ca="1" si="56"/>
        <v xml:space="preserve"> *The Library, the digital and the quest for open 
access.*</v>
      </c>
      <c r="G460" s="3">
        <f t="shared" ca="1" si="57"/>
        <v>18</v>
      </c>
      <c r="H460" s="2">
        <f t="shared" ca="1" si="58"/>
        <v>77</v>
      </c>
      <c r="I460" t="e">
        <f t="shared" ca="1" si="59"/>
        <v>#VALUE!</v>
      </c>
      <c r="J460" s="3" t="e">
        <f t="shared" ca="1" si="61"/>
        <v>#VALUE!</v>
      </c>
      <c r="K460" t="str">
        <f t="shared" ca="1" si="32"/>
        <v xml:space="preserve">Gouveia, L. </v>
      </c>
      <c r="L460" t="str">
        <f t="shared" ca="1" si="33"/>
        <v xml:space="preserve">Quental, C. </v>
      </c>
    </row>
    <row r="461" spans="1:12" ht="15.75" customHeight="1">
      <c r="A461">
        <f ca="1">IFERROR(__xludf.DUMMYFUNCTION("""COMPUTED_VALUE"""),85)</f>
        <v>85</v>
      </c>
      <c r="B461" t="str">
        <f ca="1">IFERROR(__xludf.DUMMYFUNCTION("""COMPUTED_VALUE"""),"Gouveia, L. (2012). Tudo mudou e o trabalho também. trabalhar no Séc. XXI. 
IGNITE Portugal, Desemprego e trabalhador. Galarias de Paris. Porto. 14 de 
Novembro.
[ slideshare ]")</f>
        <v>Gouveia, L. (2012). Tudo mudou e o trabalho também. trabalhar no Séc. XXI. 
IGNITE Portugal, Desemprego e trabalhador. Galarias de Paris. Porto. 14 de 
Novembro.
[ slideshare ]</v>
      </c>
      <c r="C461" s="2">
        <f t="shared" ca="1" si="31"/>
        <v>13</v>
      </c>
      <c r="D461" t="str">
        <f t="shared" ca="1" si="60"/>
        <v xml:space="preserve">Gouveia, L. </v>
      </c>
      <c r="E461" t="str">
        <f t="shared" ca="1" si="55"/>
        <v>2012</v>
      </c>
      <c r="F461" t="str">
        <f t="shared" ca="1" si="56"/>
        <v xml:space="preserve"> Tudo mudou e o trabalho também. </v>
      </c>
      <c r="G461" s="3">
        <f t="shared" ca="1" si="57"/>
        <v>18</v>
      </c>
      <c r="H461" s="2">
        <f t="shared" ca="1" si="58"/>
        <v>51</v>
      </c>
      <c r="I461" t="e">
        <f t="shared" ca="1" si="59"/>
        <v>#VALUE!</v>
      </c>
      <c r="J461" s="3" t="e">
        <f t="shared" ca="1" si="61"/>
        <v>#VALUE!</v>
      </c>
      <c r="K461" t="str">
        <f t="shared" ca="1" si="32"/>
        <v xml:space="preserve">Gouveia, L. </v>
      </c>
      <c r="L461" t="str">
        <f t="shared" ca="1" si="33"/>
        <v xml:space="preserve">Quental, C. </v>
      </c>
    </row>
    <row r="462" spans="1:12" ht="15.75" customHeight="1">
      <c r="A462">
        <f ca="1">IFERROR(__xludf.DUMMYFUNCTION("""COMPUTED_VALUE"""),84)</f>
        <v>84</v>
      </c>
      <c r="B462" t="str">
        <f ca="1">IFERROR(__xludf.DUMMYFUNCTION("""COMPUTED_VALUE"""),"Gouveia, L. (2012). Apresentação da 14ª Tomada de Posição do GAN. Cultura e 
Arte na SI - Indústrias Criativas. APDSI - GAN. Guimarães: auditório da 
Plataforma das Artes. 29 de Setembro.
[ slideshare ]")</f>
        <v>Gouveia, L. (2012). Apresentação da 14ª Tomada de Posição do GAN. Cultura e 
Arte na SI - Indústrias Criativas. APDSI - GAN. Guimarães: auditório da 
Plataforma das Artes. 29 de Setembro.
[ slideshare ]</v>
      </c>
      <c r="C462" s="2">
        <f t="shared" ca="1" si="31"/>
        <v>13</v>
      </c>
      <c r="D462" t="str">
        <f t="shared" ca="1" si="60"/>
        <v xml:space="preserve">Gouveia, L. </v>
      </c>
      <c r="E462" t="str">
        <f t="shared" ca="1" si="55"/>
        <v>2012</v>
      </c>
      <c r="F462" t="str">
        <f t="shared" ca="1" si="56"/>
        <v xml:space="preserve"> Apresentação da 14ª Tomada de Posição do GAN. </v>
      </c>
      <c r="G462" s="3">
        <f t="shared" ca="1" si="57"/>
        <v>18</v>
      </c>
      <c r="H462" s="2">
        <f t="shared" ca="1" si="58"/>
        <v>65</v>
      </c>
      <c r="I462" t="e">
        <f t="shared" ca="1" si="59"/>
        <v>#VALUE!</v>
      </c>
      <c r="J462" s="3" t="e">
        <f t="shared" ca="1" si="61"/>
        <v>#VALUE!</v>
      </c>
      <c r="K462" t="str">
        <f t="shared" ca="1" si="32"/>
        <v xml:space="preserve">Gouveia, L. </v>
      </c>
      <c r="L462" t="str">
        <f t="shared" ca="1" si="33"/>
        <v xml:space="preserve">Quental, C. </v>
      </c>
    </row>
    <row r="463" spans="1:12" ht="15.75" customHeight="1">
      <c r="A463">
        <f ca="1">IFERROR(__xludf.DUMMYFUNCTION("""COMPUTED_VALUE"""),83)</f>
        <v>83</v>
      </c>
      <c r="B463" t="str">
        <f ca="1">IFERROR(__xludf.DUMMYFUNCTION("""COMPUTED_VALUE"""),"Gouveia, L. (2012). O uso de dispositivos móveis no ensino superior 
tradicional: do fluxo de informação à organização de espaços. Workshop 2 
anos do e-learning Lab da UL. Salão Nobre da Reitoria da Universidade de 
Lisboa. Universidade de Lisboa, 3 de J"&amp;"unho.
[ slideshare ]")</f>
        <v>Gouveia, L. (2012). O uso de dispositivos móveis no ensino superior 
tradicional: do fluxo de informação à organização de espaços. Workshop 2 
anos do e-learning Lab da UL. Salão Nobre da Reitoria da Universidade de 
Lisboa. Universidade de Lisboa, 3 de Junho.
[ slideshare ]</v>
      </c>
      <c r="C463" s="2">
        <f t="shared" ca="1" si="31"/>
        <v>13</v>
      </c>
      <c r="D463" t="str">
        <f t="shared" ca="1" si="60"/>
        <v xml:space="preserve">Gouveia, L. </v>
      </c>
      <c r="E463" t="str">
        <f t="shared" ca="1" si="55"/>
        <v>2012</v>
      </c>
      <c r="F463" t="str">
        <f t="shared" ca="1" si="56"/>
        <v xml:space="preserve"> O uso de dispositivos móveis no ensino superior 
tradicional: do fluxo de informação à organização de espaços. </v>
      </c>
      <c r="G463" s="3">
        <f t="shared" ca="1" si="57"/>
        <v>18</v>
      </c>
      <c r="H463" s="2">
        <f t="shared" ca="1" si="58"/>
        <v>130</v>
      </c>
      <c r="I463" t="e">
        <f t="shared" ca="1" si="59"/>
        <v>#VALUE!</v>
      </c>
      <c r="J463" s="3" t="e">
        <f t="shared" ca="1" si="61"/>
        <v>#VALUE!</v>
      </c>
      <c r="K463" t="str">
        <f t="shared" ca="1" si="32"/>
        <v xml:space="preserve">Gouveia, L. </v>
      </c>
      <c r="L463" t="str">
        <f t="shared" ca="1" si="33"/>
        <v xml:space="preserve">Quental, C. </v>
      </c>
    </row>
    <row r="464" spans="1:12" ht="15.75" customHeight="1">
      <c r="A464">
        <f ca="1">IFERROR(__xludf.DUMMYFUNCTION("""COMPUTED_VALUE"""),82)</f>
        <v>82</v>
      </c>
      <c r="B464" t="str">
        <f ca="1">IFERROR(__xludf.DUMMYFUNCTION("""COMPUTED_VALUE"""),"Gouveia, L. (2012). Educação Sustentável e Redes de Aprendizagem. Social 
Media Day. Mashable. Convento Corpus Christi. Vila Nova de Gaia, Portugal.
[ slideshare ]")</f>
        <v>Gouveia, L. (2012). Educação Sustentável e Redes de Aprendizagem. Social 
Media Day. Mashable. Convento Corpus Christi. Vila Nova de Gaia, Portugal.
[ slideshare ]</v>
      </c>
      <c r="C464" s="2">
        <f t="shared" ca="1" si="31"/>
        <v>13</v>
      </c>
      <c r="D464" t="str">
        <f t="shared" ca="1" si="60"/>
        <v xml:space="preserve">Gouveia, L. </v>
      </c>
      <c r="E464" t="str">
        <f t="shared" ca="1" si="55"/>
        <v>2012</v>
      </c>
      <c r="F464" t="str">
        <f t="shared" ca="1" si="56"/>
        <v xml:space="preserve"> Educação Sustentável e Redes de Aprendizagem. </v>
      </c>
      <c r="G464" s="3">
        <f t="shared" ca="1" si="57"/>
        <v>18</v>
      </c>
      <c r="H464" s="2">
        <f t="shared" ca="1" si="58"/>
        <v>65</v>
      </c>
      <c r="I464" t="e">
        <f t="shared" ca="1" si="59"/>
        <v>#VALUE!</v>
      </c>
      <c r="J464" s="3" t="e">
        <f t="shared" ca="1" si="61"/>
        <v>#VALUE!</v>
      </c>
      <c r="K464" t="str">
        <f t="shared" ca="1" si="32"/>
        <v xml:space="preserve">Gouveia, L. </v>
      </c>
      <c r="L464" t="str">
        <f t="shared" ca="1" si="33"/>
        <v xml:space="preserve">Quental, C. </v>
      </c>
    </row>
    <row r="465" spans="1:12" ht="15.75" customHeight="1">
      <c r="A465">
        <f ca="1">IFERROR(__xludf.DUMMYFUNCTION("""COMPUTED_VALUE"""),81)</f>
        <v>81</v>
      </c>
      <c r="B465" t="str">
        <f ca="1">IFERROR(__xludf.DUMMYFUNCTION("""COMPUTED_VALUE"""),"Gouveia, L. (2012). A Universidade e a Sociedade do Conhecimento 
(manifesto). 21º IGNITE Portugal. Galerias de Paris. 11 de Abril. Porto.
apresentação [ slideshare ] video [ youtube ]")</f>
        <v>Gouveia, L. (2012). A Universidade e a Sociedade do Conhecimento 
(manifesto). 21º IGNITE Portugal. Galerias de Paris. 11 de Abril. Porto.
apresentação [ slideshare ] video [ youtube ]</v>
      </c>
      <c r="C465" s="2">
        <f t="shared" ca="1" si="31"/>
        <v>13</v>
      </c>
      <c r="D465" t="str">
        <f t="shared" ca="1" si="60"/>
        <v xml:space="preserve">Gouveia, L. </v>
      </c>
      <c r="E465" t="str">
        <f t="shared" ca="1" si="55"/>
        <v>2012</v>
      </c>
      <c r="F465" t="str">
        <f t="shared" ca="1" si="56"/>
        <v xml:space="preserve"> A Universidade e a Sociedade do Conhecimento 
(manifesto). </v>
      </c>
      <c r="G465" s="3">
        <f t="shared" ca="1" si="57"/>
        <v>18</v>
      </c>
      <c r="H465" s="2">
        <f t="shared" ca="1" si="58"/>
        <v>78</v>
      </c>
      <c r="I465" t="e">
        <f t="shared" ca="1" si="59"/>
        <v>#VALUE!</v>
      </c>
      <c r="J465" s="3" t="e">
        <f t="shared" ca="1" si="61"/>
        <v>#VALUE!</v>
      </c>
      <c r="K465" t="str">
        <f t="shared" ca="1" si="32"/>
        <v xml:space="preserve">Gouveia, L. </v>
      </c>
      <c r="L465" t="str">
        <f t="shared" ca="1" si="33"/>
        <v xml:space="preserve">Quental, C. </v>
      </c>
    </row>
    <row r="466" spans="1:12" ht="15.75" customHeight="1">
      <c r="A466">
        <f ca="1">IFERROR(__xludf.DUMMYFUNCTION("""COMPUTED_VALUE"""),80)</f>
        <v>80</v>
      </c>
      <c r="B466" t="str">
        <f ca="1">IFERROR(__xludf.DUMMYFUNCTION("""COMPUTED_VALUE"""),"Gouveia, L. (2012). Participar na e descobrir informação: o digital e o 
papel da biblioteca. II Encontro Bibliotecas Escolares. Biblioteca 
Municipal de Barcelos. 9 de Março. Barcelos.
apresentação [ slideshare ]")</f>
        <v>Gouveia, L. (2012). Participar na e descobrir informação: o digital e o 
papel da biblioteca. II Encontro Bibliotecas Escolares. Biblioteca 
Municipal de Barcelos. 9 de Março. Barcelos.
apresentação [ slideshare ]</v>
      </c>
      <c r="C466" s="2">
        <f t="shared" ca="1" si="31"/>
        <v>13</v>
      </c>
      <c r="D466" t="str">
        <f t="shared" ca="1" si="60"/>
        <v xml:space="preserve">Gouveia, L. </v>
      </c>
      <c r="E466" t="str">
        <f t="shared" ca="1" si="55"/>
        <v>2012</v>
      </c>
      <c r="F466" t="str">
        <f t="shared" ca="1" si="56"/>
        <v xml:space="preserve"> Participar na e descobrir informação: o digital e o 
papel da biblioteca. </v>
      </c>
      <c r="G466" s="3">
        <f t="shared" ca="1" si="57"/>
        <v>18</v>
      </c>
      <c r="H466" s="2">
        <f t="shared" ca="1" si="58"/>
        <v>93</v>
      </c>
      <c r="I466" t="e">
        <f t="shared" ca="1" si="59"/>
        <v>#VALUE!</v>
      </c>
      <c r="J466" s="3" t="e">
        <f t="shared" ca="1" si="61"/>
        <v>#VALUE!</v>
      </c>
      <c r="K466" t="str">
        <f t="shared" ca="1" si="32"/>
        <v xml:space="preserve">Gouveia, L. </v>
      </c>
      <c r="L466" t="str">
        <f t="shared" ca="1" si="33"/>
        <v xml:space="preserve">Quental, C. </v>
      </c>
    </row>
    <row r="467" spans="1:12" ht="15.75" customHeight="1">
      <c r="A467">
        <f ca="1">IFERROR(__xludf.DUMMYFUNCTION("""COMPUTED_VALUE"""),79)</f>
        <v>79</v>
      </c>
      <c r="B467" t="str">
        <f ca="1">IFERROR(__xludf.DUMMYFUNCTION("""COMPUTED_VALUE"""),"Gouveia, L. (2011). As oportunidades e desafios do digital para o 
território: do e-government ao e-governance. Sistemas de Informação na 
Administração Pública. Mestrado em Gestão, do ramo de Administração 
Pública. Escola Superior de Gestão. Instituto P"&amp;"olitécnico da Guarda. 
Guarda, 14 de Outubro.
apresentação [ slideshare ]")</f>
        <v>Gouveia, L. (2011). As oportunidades e desafios do digital para o 
território: do e-government ao e-governance. Sistemas de Informação na 
Administração Pública. Mestrado em Gestão, do ramo de Administração 
Pública. Escola Superior de Gestão. Instituto Politécnico da Guarda. 
Guarda, 14 de Outubro.
apresentação [ slideshare ]</v>
      </c>
      <c r="C467" s="2">
        <f t="shared" ca="1" si="31"/>
        <v>13</v>
      </c>
      <c r="D467" t="str">
        <f t="shared" ca="1" si="60"/>
        <v xml:space="preserve">Gouveia, L. </v>
      </c>
      <c r="E467" t="str">
        <f t="shared" ca="1" si="55"/>
        <v>2011</v>
      </c>
      <c r="F467" t="str">
        <f t="shared" ca="1" si="56"/>
        <v xml:space="preserve"> As oportunidades e desafios do digital para o 
território: do e-government ao e-governance. </v>
      </c>
      <c r="G467" s="3">
        <f t="shared" ca="1" si="57"/>
        <v>18</v>
      </c>
      <c r="H467" s="2">
        <f t="shared" ca="1" si="58"/>
        <v>111</v>
      </c>
      <c r="I467" t="e">
        <f t="shared" ca="1" si="59"/>
        <v>#VALUE!</v>
      </c>
      <c r="J467" s="3" t="e">
        <f t="shared" ca="1" si="61"/>
        <v>#VALUE!</v>
      </c>
      <c r="K467" t="str">
        <f t="shared" ca="1" si="32"/>
        <v xml:space="preserve">Gouveia, L. </v>
      </c>
      <c r="L467" t="str">
        <f t="shared" ca="1" si="33"/>
        <v xml:space="preserve">Quental, C. </v>
      </c>
    </row>
    <row r="468" spans="1:12" ht="15.75" customHeight="1">
      <c r="A468">
        <f ca="1">IFERROR(__xludf.DUMMYFUNCTION("""COMPUTED_VALUE"""),78)</f>
        <v>78</v>
      </c>
      <c r="B468" t="str">
        <f ca="1">IFERROR(__xludf.DUMMYFUNCTION("""COMPUTED_VALUE"""),"Gouveia, L. (2011). Participação no Dia Mundial de Redes. Exponor. 30 de 
Junho.")</f>
        <v>Gouveia, L. (2011). Participação no Dia Mundial de Redes. Exponor. 30 de 
Junho.</v>
      </c>
      <c r="C468" s="2">
        <f t="shared" ca="1" si="31"/>
        <v>13</v>
      </c>
      <c r="D468" t="str">
        <f t="shared" ca="1" si="60"/>
        <v xml:space="preserve">Gouveia, L. </v>
      </c>
      <c r="E468" t="str">
        <f t="shared" ca="1" si="55"/>
        <v>2011</v>
      </c>
      <c r="F468" t="str">
        <f t="shared" ca="1" si="56"/>
        <v xml:space="preserve"> Participação no Dia Mundial de Redes. </v>
      </c>
      <c r="G468" s="3">
        <f t="shared" ca="1" si="57"/>
        <v>18</v>
      </c>
      <c r="H468" s="2">
        <f t="shared" ca="1" si="58"/>
        <v>57</v>
      </c>
      <c r="I468" t="e">
        <f t="shared" ca="1" si="59"/>
        <v>#VALUE!</v>
      </c>
      <c r="J468" s="3" t="e">
        <f t="shared" ca="1" si="61"/>
        <v>#VALUE!</v>
      </c>
      <c r="K468" t="str">
        <f t="shared" ca="1" si="32"/>
        <v xml:space="preserve">Gouveia, L. </v>
      </c>
      <c r="L468" t="str">
        <f t="shared" ca="1" si="33"/>
        <v xml:space="preserve">Quental, C. </v>
      </c>
    </row>
    <row r="469" spans="1:12" ht="15.75" customHeight="1">
      <c r="A469">
        <f ca="1">IFERROR(__xludf.DUMMYFUNCTION("""COMPUTED_VALUE"""),77)</f>
        <v>77</v>
      </c>
      <c r="B469" t="str">
        <f ca="1">IFERROR(__xludf.DUMMYFUNCTION("""COMPUTED_VALUE"""),"Gouveia, L. (2011). A Governação Digital na Autarquia e o tempo das redes. 
Palestra de Negócio e Governo Electrónico na Pós-Graduação em Informação 
Empresarial. Escola Superior de Estudos Industriais e de Gestão 
(Politécnico do Porto). Vila do Conde. 5"&amp;" de Março.
apresentação [ slideshare ]")</f>
        <v>Gouveia, L. (2011). A Governação Digital na Autarquia e o tempo das redes. 
Palestra de Negócio e Governo Electrónico na Pós-Graduação em Informação 
Empresarial. Escola Superior de Estudos Industriais e de Gestão 
(Politécnico do Porto). Vila do Conde. 5 de Março.
apresentação [ slideshare ]</v>
      </c>
      <c r="C469" s="2">
        <f t="shared" ca="1" si="31"/>
        <v>13</v>
      </c>
      <c r="D469" t="str">
        <f t="shared" ca="1" si="60"/>
        <v xml:space="preserve">Gouveia, L. </v>
      </c>
      <c r="E469" t="str">
        <f t="shared" ca="1" si="55"/>
        <v>2011</v>
      </c>
      <c r="F469" t="str">
        <f t="shared" ca="1" si="56"/>
        <v xml:space="preserve"> A Governação Digital na Autarquia e o tempo das redes. </v>
      </c>
      <c r="G469" s="3">
        <f t="shared" ca="1" si="57"/>
        <v>18</v>
      </c>
      <c r="H469" s="2">
        <f t="shared" ca="1" si="58"/>
        <v>74</v>
      </c>
      <c r="I469" t="str">
        <f t="shared" ca="1" si="59"/>
        <v xml:space="preserve">
Palestra de Negócio e Governo Electrónico na Pós-Graduação em Informação 
Empresarial. Escola Superior de Estudos Industriais e de Gestão 
(Politécnico do Porto).</v>
      </c>
      <c r="J469" s="3">
        <f t="shared" ca="1" si="61"/>
        <v>237</v>
      </c>
      <c r="K469" t="str">
        <f t="shared" ca="1" si="32"/>
        <v xml:space="preserve">Gouveia, L. </v>
      </c>
      <c r="L469" t="str">
        <f t="shared" ca="1" si="33"/>
        <v xml:space="preserve">Quental, C. </v>
      </c>
    </row>
    <row r="470" spans="1:12" ht="15.75" customHeight="1">
      <c r="A470">
        <f ca="1">IFERROR(__xludf.DUMMYFUNCTION("""COMPUTED_VALUE"""),76)</f>
        <v>76</v>
      </c>
      <c r="B470" t="str">
        <f ca="1">IFERROR(__xludf.DUMMYFUNCTION("""COMPUTED_VALUE"""),"Gouveia, L. (2010). Gerir conhecimento, com o território e com as pessoas. 
Palestra convidada no Seminário Emprego e Formação na Administração Local. 
Universidade do Minho, Braga, 3 de Dezembro.
apresentação [ slideshare ]")</f>
        <v>Gouveia, L. (2010). Gerir conhecimento, com o território e com as pessoas. 
Palestra convidada no Seminário Emprego e Formação na Administração Local. 
Universidade do Minho, Braga, 3 de Dezembro.
apresentação [ slideshare ]</v>
      </c>
      <c r="C470" s="2">
        <f t="shared" ca="1" si="31"/>
        <v>13</v>
      </c>
      <c r="D470" t="str">
        <f t="shared" ca="1" si="60"/>
        <v xml:space="preserve">Gouveia, L. </v>
      </c>
      <c r="E470" t="str">
        <f t="shared" ca="1" si="55"/>
        <v>2010</v>
      </c>
      <c r="F470" t="str">
        <f t="shared" ca="1" si="56"/>
        <v xml:space="preserve"> Gerir conhecimento, com o território e com as pessoas. </v>
      </c>
      <c r="G470" s="3">
        <f t="shared" ca="1" si="57"/>
        <v>18</v>
      </c>
      <c r="H470" s="2">
        <f t="shared" ca="1" si="58"/>
        <v>74</v>
      </c>
      <c r="I470" t="e">
        <f t="shared" ca="1" si="59"/>
        <v>#VALUE!</v>
      </c>
      <c r="J470" s="3" t="e">
        <f t="shared" ca="1" si="61"/>
        <v>#VALUE!</v>
      </c>
      <c r="K470" t="str">
        <f t="shared" ca="1" si="32"/>
        <v xml:space="preserve">Gouveia, L. </v>
      </c>
      <c r="L470" t="str">
        <f t="shared" ca="1" si="33"/>
        <v xml:space="preserve">Quental, C. </v>
      </c>
    </row>
    <row r="471" spans="1:12" ht="15.75" customHeight="1">
      <c r="A471">
        <f ca="1">IFERROR(__xludf.DUMMYFUNCTION("""COMPUTED_VALUE"""),75)</f>
        <v>75</v>
      </c>
      <c r="B471" t="str">
        <f ca="1">IFERROR(__xludf.DUMMYFUNCTION("""COMPUTED_VALUE"""),"Gouveia, L. (2010). *Dinamizar, aproximar e projectar o território com o 
digital*. Conferência Cidades pela Retoma. 20-21 de Outubro. Clube 
Literário do Porto. Porto, 21 de Outubro.
apresentação [ slideshare ]")</f>
        <v>Gouveia, L. (2010). *Dinamizar, aproximar e projectar o território com o 
digital*. Conferência Cidades pela Retoma. 20-21 de Outubro. Clube 
Literário do Porto. Porto, 21 de Outubro.
apresentação [ slideshare ]</v>
      </c>
      <c r="C471" s="2">
        <f t="shared" ca="1" si="31"/>
        <v>13</v>
      </c>
      <c r="D471" t="str">
        <f t="shared" ca="1" si="60"/>
        <v xml:space="preserve">Gouveia, L. </v>
      </c>
      <c r="E471" t="str">
        <f t="shared" ca="1" si="55"/>
        <v>2010</v>
      </c>
      <c r="F471" t="str">
        <f t="shared" ca="1" si="56"/>
        <v xml:space="preserve"> *Dinamizar, aproximar e projectar o território com o 
digital*. </v>
      </c>
      <c r="G471" s="3">
        <f t="shared" ca="1" si="57"/>
        <v>18</v>
      </c>
      <c r="H471" s="2">
        <f t="shared" ca="1" si="58"/>
        <v>83</v>
      </c>
      <c r="I471" t="e">
        <f t="shared" ca="1" si="59"/>
        <v>#VALUE!</v>
      </c>
      <c r="J471" s="3" t="e">
        <f t="shared" ca="1" si="61"/>
        <v>#VALUE!</v>
      </c>
      <c r="K471" t="str">
        <f t="shared" ca="1" si="32"/>
        <v xml:space="preserve">Gouveia, L. </v>
      </c>
      <c r="L471" t="str">
        <f t="shared" ca="1" si="33"/>
        <v xml:space="preserve">Quental, C. </v>
      </c>
    </row>
    <row r="472" spans="1:12" ht="15.75" customHeight="1">
      <c r="A472">
        <f ca="1">IFERROR(__xludf.DUMMYFUNCTION("""COMPUTED_VALUE"""),74)</f>
        <v>74</v>
      </c>
      <c r="B472" t="str">
        <f ca="1">IFERROR(__xludf.DUMMYFUNCTION("""COMPUTED_VALUE"""),"Gouveia, L. (2010). *Opensource e a Sociedade da Informação: uma crítica 
sobre os custos associados*. Semana do Acesso Livre da Universidade 
Fernando Pessoa. Porto, 19 de Outubro.
apresentação [ slideshare ]")</f>
        <v>Gouveia, L. (2010). *Opensource e a Sociedade da Informação: uma crítica 
sobre os custos associados*. Semana do Acesso Livre da Universidade 
Fernando Pessoa. Porto, 19 de Outubro.
apresentação [ slideshare ]</v>
      </c>
      <c r="C472" s="2">
        <f t="shared" ca="1" si="31"/>
        <v>13</v>
      </c>
      <c r="D472" t="str">
        <f t="shared" ca="1" si="60"/>
        <v xml:space="preserve">Gouveia, L. </v>
      </c>
      <c r="E472" t="str">
        <f t="shared" ca="1" si="55"/>
        <v>2010</v>
      </c>
      <c r="F472" t="str">
        <f t="shared" ca="1" si="56"/>
        <v xml:space="preserve"> *Opensource e a Sociedade da Informação: uma crítica 
sobre os custos associados*. </v>
      </c>
      <c r="G472" s="3">
        <f t="shared" ca="1" si="57"/>
        <v>18</v>
      </c>
      <c r="H472" s="2">
        <f t="shared" ca="1" si="58"/>
        <v>102</v>
      </c>
      <c r="I472" t="e">
        <f t="shared" ca="1" si="59"/>
        <v>#VALUE!</v>
      </c>
      <c r="J472" s="3" t="e">
        <f t="shared" ca="1" si="61"/>
        <v>#VALUE!</v>
      </c>
      <c r="K472" t="str">
        <f t="shared" ca="1" si="32"/>
        <v xml:space="preserve">Gouveia, L. </v>
      </c>
      <c r="L472" t="str">
        <f t="shared" ca="1" si="33"/>
        <v xml:space="preserve">Quental, C. </v>
      </c>
    </row>
    <row r="473" spans="1:12" ht="15.75" customHeight="1">
      <c r="A473">
        <f ca="1">IFERROR(__xludf.DUMMYFUNCTION("""COMPUTED_VALUE"""),73)</f>
        <v>73</v>
      </c>
      <c r="B473" t="str">
        <f ca="1">IFERROR(__xludf.DUMMYFUNCTION("""COMPUTED_VALUE"""),"Gouveia, L. (2010). *Democracy for a New Age*. World e.gov Forum. 
Presentation at the European e-democracy Awards. Hotel de Ville d’ 
Issy-les-Moulineaux. Paris. 14th October. 
apresentação [ slideshare ]")</f>
        <v>Gouveia, L. (2010). *Democracy for a New Age*. World e.gov Forum. 
Presentation at the European e-democracy Awards. Hotel de Ville d’ 
Issy-les-Moulineaux. Paris. 14th October. 
apresentação [ slideshare ]</v>
      </c>
      <c r="C473" s="2">
        <f t="shared" ca="1" si="31"/>
        <v>13</v>
      </c>
      <c r="D473" t="str">
        <f t="shared" ca="1" si="60"/>
        <v xml:space="preserve">Gouveia, L. </v>
      </c>
      <c r="E473" t="str">
        <f t="shared" ca="1" si="55"/>
        <v>2010</v>
      </c>
      <c r="F473" t="str">
        <f t="shared" ca="1" si="56"/>
        <v xml:space="preserve"> *Democracy for a New Age*. </v>
      </c>
      <c r="G473" s="3">
        <f t="shared" ca="1" si="57"/>
        <v>18</v>
      </c>
      <c r="H473" s="2">
        <f t="shared" ca="1" si="58"/>
        <v>46</v>
      </c>
      <c r="I473" t="e">
        <f t="shared" ca="1" si="59"/>
        <v>#VALUE!</v>
      </c>
      <c r="J473" s="3" t="e">
        <f t="shared" ca="1" si="61"/>
        <v>#VALUE!</v>
      </c>
      <c r="K473" t="str">
        <f t="shared" ca="1" si="32"/>
        <v xml:space="preserve">Gouveia, L. </v>
      </c>
      <c r="L473" t="str">
        <f t="shared" ca="1" si="33"/>
        <v xml:space="preserve">Quental, C. </v>
      </c>
    </row>
    <row r="474" spans="1:12" ht="15.75" customHeight="1">
      <c r="A474">
        <f ca="1">IFERROR(__xludf.DUMMYFUNCTION("""COMPUTED_VALUE"""),72)</f>
        <v>72</v>
      </c>
      <c r="B474" t="str">
        <f ca="1">IFERROR(__xludf.DUMMYFUNCTION("""COMPUTED_VALUE"""),"Gouveia, L. (2010). *Beyond digital cities: a territorial concern on how to 
cope with globilisation*. Research Seminar. University East London (UEL). 
London, 15th September. 
presentation [ slideshare ]")</f>
        <v>Gouveia, L. (2010). *Beyond digital cities: a territorial concern on how to 
cope with globilisation*. Research Seminar. University East London (UEL). 
London, 15th September. 
presentation [ slideshare ]</v>
      </c>
      <c r="C474" s="2">
        <f t="shared" ca="1" si="31"/>
        <v>13</v>
      </c>
      <c r="D474" t="str">
        <f t="shared" ca="1" si="60"/>
        <v xml:space="preserve">Gouveia, L. </v>
      </c>
      <c r="E474" t="str">
        <f t="shared" ca="1" si="55"/>
        <v>2010</v>
      </c>
      <c r="F474" t="str">
        <f t="shared" ca="1" si="56"/>
        <v xml:space="preserve"> *Beyond digital cities: a territorial concern on how to 
cope with globilisation*. </v>
      </c>
      <c r="G474" s="3">
        <f t="shared" ca="1" si="57"/>
        <v>18</v>
      </c>
      <c r="H474" s="2">
        <f t="shared" ca="1" si="58"/>
        <v>102</v>
      </c>
      <c r="I474" t="str">
        <f t="shared" ca="1" si="59"/>
        <v>Research Seminar. University East London (UEL).</v>
      </c>
      <c r="J474" s="3">
        <f t="shared" ca="1" si="61"/>
        <v>149</v>
      </c>
      <c r="K474" t="str">
        <f t="shared" ca="1" si="32"/>
        <v xml:space="preserve">Gouveia, L. </v>
      </c>
      <c r="L474" t="str">
        <f t="shared" ca="1" si="33"/>
        <v xml:space="preserve">Quental, C. </v>
      </c>
    </row>
    <row r="475" spans="1:12" ht="15.75" customHeight="1">
      <c r="A475">
        <f ca="1">IFERROR(__xludf.DUMMYFUNCTION("""COMPUTED_VALUE"""),71)</f>
        <v>71</v>
      </c>
      <c r="B475" t="str">
        <f ca="1">IFERROR(__xludf.DUMMYFUNCTION("""COMPUTED_VALUE"""),"Gouveia, L. (2010). Uma reflexão crítica sobre a soberania da escola e do 
professor face às TIC. Seminário no Mestrado TIC na Educação. Universidade 
Portucalense. Porto, 11 de Setembro de 2010.
apresentação [ slideshare ]")</f>
        <v>Gouveia, L. (2010). Uma reflexão crítica sobre a soberania da escola e do 
professor face às TIC. Seminário no Mestrado TIC na Educação. Universidade 
Portucalense. Porto, 11 de Setembro de 2010.
apresentação [ slideshare ]</v>
      </c>
      <c r="C475" s="2">
        <f t="shared" ca="1" si="31"/>
        <v>13</v>
      </c>
      <c r="D475" t="str">
        <f t="shared" ca="1" si="60"/>
        <v xml:space="preserve">Gouveia, L. </v>
      </c>
      <c r="E475" t="str">
        <f t="shared" ca="1" si="55"/>
        <v>2010</v>
      </c>
      <c r="F475" t="str">
        <f t="shared" ca="1" si="56"/>
        <v xml:space="preserve"> Uma reflexão crítica sobre a soberania da escola e do 
professor face às TIC. </v>
      </c>
      <c r="G475" s="3">
        <f t="shared" ca="1" si="57"/>
        <v>18</v>
      </c>
      <c r="H475" s="2">
        <f t="shared" ca="1" si="58"/>
        <v>97</v>
      </c>
      <c r="I475" t="e">
        <f t="shared" ca="1" si="59"/>
        <v>#VALUE!</v>
      </c>
      <c r="J475" s="3" t="e">
        <f t="shared" ca="1" si="61"/>
        <v>#VALUE!</v>
      </c>
      <c r="K475" t="str">
        <f t="shared" ca="1" si="32"/>
        <v xml:space="preserve">Gouveia, L. </v>
      </c>
      <c r="L475" t="str">
        <f t="shared" ca="1" si="33"/>
        <v xml:space="preserve">Quental, C. </v>
      </c>
    </row>
    <row r="476" spans="1:12" ht="15.75" customHeight="1">
      <c r="A476">
        <f ca="1">IFERROR(__xludf.DUMMYFUNCTION("""COMPUTED_VALUE"""),70)</f>
        <v>70</v>
      </c>
      <c r="B476" t="str">
        <f ca="1">IFERROR(__xludf.DUMMYFUNCTION("""COMPUTED_VALUE"""),"Gouveia, L. (2010). O tempo das redes. Apresentação no 7º Ignite Portugal. 
IGNITE. The Hub. Porto, 14 de Julho.
apresentação [ slideshare ]")</f>
        <v>Gouveia, L. (2010). O tempo das redes. Apresentação no 7º Ignite Portugal. 
IGNITE. The Hub. Porto, 14 de Julho.
apresentação [ slideshare ]</v>
      </c>
      <c r="C476" s="2">
        <f t="shared" ca="1" si="31"/>
        <v>13</v>
      </c>
      <c r="D476" t="str">
        <f t="shared" ca="1" si="60"/>
        <v xml:space="preserve">Gouveia, L. </v>
      </c>
      <c r="E476" t="str">
        <f t="shared" ca="1" si="55"/>
        <v>2010</v>
      </c>
      <c r="F476" t="str">
        <f t="shared" ca="1" si="56"/>
        <v xml:space="preserve"> O tempo das redes. </v>
      </c>
      <c r="G476" s="3">
        <f t="shared" ca="1" si="57"/>
        <v>18</v>
      </c>
      <c r="H476" s="2">
        <f t="shared" ca="1" si="58"/>
        <v>38</v>
      </c>
      <c r="I476" t="e">
        <f t="shared" ca="1" si="59"/>
        <v>#VALUE!</v>
      </c>
      <c r="J476" s="3" t="e">
        <f t="shared" ca="1" si="61"/>
        <v>#VALUE!</v>
      </c>
      <c r="K476" t="str">
        <f t="shared" ca="1" si="32"/>
        <v xml:space="preserve">Gouveia, L. </v>
      </c>
      <c r="L476" t="str">
        <f t="shared" ca="1" si="33"/>
        <v xml:space="preserve">Quental, C. </v>
      </c>
    </row>
    <row r="477" spans="1:12" ht="15.75" customHeight="1">
      <c r="A477">
        <f ca="1">IFERROR(__xludf.DUMMYFUNCTION("""COMPUTED_VALUE"""),69)</f>
        <v>69</v>
      </c>
      <c r="B477" t="str">
        <f ca="1">IFERROR(__xludf.DUMMYFUNCTION("""COMPUTED_VALUE"""),"Gouveia, L. (2010). Uma reflexão crítica sobre a Web Social e o seu uso no 
ensino superior. LEA – Workshop sobre meios não convencionais de 
comunicação com estudantes. Faculdade de Engenharia da Universidade do 
Porto. Porto, 7 de Julho.
apresentação [ "&amp;"slideshare ]")</f>
        <v>Gouveia, L. (2010). Uma reflexão crítica sobre a Web Social e o seu uso no 
ensino superior. LEA – Workshop sobre meios não convencionais de 
comunicação com estudantes. Faculdade de Engenharia da Universidade do 
Porto. Porto, 7 de Julho.
apresentação [ slideshare ]</v>
      </c>
      <c r="C477" s="2">
        <f t="shared" ca="1" si="31"/>
        <v>13</v>
      </c>
      <c r="D477" t="str">
        <f t="shared" ca="1" si="60"/>
        <v xml:space="preserve">Gouveia, L. </v>
      </c>
      <c r="E477" t="str">
        <f t="shared" ca="1" si="55"/>
        <v>2010</v>
      </c>
      <c r="F477" t="str">
        <f t="shared" ca="1" si="56"/>
        <v xml:space="preserve"> Uma reflexão crítica sobre a Web Social e o seu uso no 
ensino superior. </v>
      </c>
      <c r="G477" s="3">
        <f t="shared" ca="1" si="57"/>
        <v>18</v>
      </c>
      <c r="H477" s="2">
        <f t="shared" ca="1" si="58"/>
        <v>92</v>
      </c>
      <c r="I477" t="e">
        <f t="shared" ca="1" si="59"/>
        <v>#VALUE!</v>
      </c>
      <c r="J477" s="3" t="e">
        <f t="shared" ca="1" si="61"/>
        <v>#VALUE!</v>
      </c>
      <c r="K477" t="str">
        <f t="shared" ca="1" si="32"/>
        <v xml:space="preserve">Gouveia, L. </v>
      </c>
      <c r="L477" t="str">
        <f t="shared" ca="1" si="33"/>
        <v xml:space="preserve">Quental, C. </v>
      </c>
    </row>
    <row r="478" spans="1:12" ht="15.75" customHeight="1">
      <c r="A478">
        <f ca="1">IFERROR(__xludf.DUMMYFUNCTION("""COMPUTED_VALUE"""),68)</f>
        <v>68</v>
      </c>
      <c r="B478" t="str">
        <f ca="1">IFERROR(__xludf.DUMMYFUNCTION("""COMPUTED_VALUE"""),"Gouveia, L. (2010). Ousar e fazer nas (e com) redes sociais! Portugal 
Social Media Day. UPTEC – Parque de Ciência e Tecnologia da Universidade do 
Porto. Porto, 30 de Junho.
apresentação [ slideshare ]")</f>
        <v>Gouveia, L. (2010). Ousar e fazer nas (e com) redes sociais! Portugal 
Social Media Day. UPTEC – Parque de Ciência e Tecnologia da Universidade do 
Porto. Porto, 30 de Junho.
apresentação [ slideshare ]</v>
      </c>
      <c r="C478" s="2">
        <f t="shared" ca="1" si="31"/>
        <v>13</v>
      </c>
      <c r="D478" t="str">
        <f t="shared" ca="1" si="60"/>
        <v xml:space="preserve">Gouveia, L. </v>
      </c>
      <c r="E478" t="str">
        <f t="shared" ca="1" si="55"/>
        <v>2010</v>
      </c>
      <c r="F478" t="str">
        <f t="shared" ca="1" si="56"/>
        <v xml:space="preserve"> Ousar e fazer nas (e com) redes sociais! Portugal 
Social Media Day. </v>
      </c>
      <c r="G478" s="3">
        <f t="shared" ca="1" si="57"/>
        <v>18</v>
      </c>
      <c r="H478" s="2">
        <f t="shared" ca="1" si="58"/>
        <v>88</v>
      </c>
      <c r="I478" t="e">
        <f t="shared" ca="1" si="59"/>
        <v>#VALUE!</v>
      </c>
      <c r="J478" s="3" t="e">
        <f t="shared" ca="1" si="61"/>
        <v>#VALUE!</v>
      </c>
      <c r="K478" t="str">
        <f t="shared" ca="1" si="32"/>
        <v xml:space="preserve">Gouveia, L. </v>
      </c>
      <c r="L478" t="str">
        <f t="shared" ca="1" si="33"/>
        <v xml:space="preserve">Quental, C. </v>
      </c>
    </row>
    <row r="479" spans="1:12" ht="15.75" customHeight="1">
      <c r="A479">
        <f ca="1">IFERROR(__xludf.DUMMYFUNCTION("""COMPUTED_VALUE"""),67)</f>
        <v>67</v>
      </c>
      <c r="B479" t="str">
        <f ca="1">IFERROR(__xludf.DUMMYFUNCTION("""COMPUTED_VALUE"""),"Gouveia, L. (2010). Local e-government. A governação digital na autarquia. 
Palestra no Mestrado em Gestão, do ramo de Administração Pública. Escola 
Superior de Gestão do Instituto Politécnico da Guarda. Guarda, 25 de Junho.
apresentação [ slideshare ]")</f>
        <v>Gouveia, L. (2010). Local e-government. A governação digital na autarquia. 
Palestra no Mestrado em Gestão, do ramo de Administração Pública. Escola 
Superior de Gestão do Instituto Politécnico da Guarda. Guarda, 25 de Junho.
apresentação [ slideshare ]</v>
      </c>
      <c r="C479" s="2">
        <f t="shared" ca="1" si="31"/>
        <v>13</v>
      </c>
      <c r="D479" t="str">
        <f t="shared" ca="1" si="60"/>
        <v xml:space="preserve">Gouveia, L. </v>
      </c>
      <c r="E479" t="str">
        <f t="shared" ca="1" si="55"/>
        <v>2010</v>
      </c>
      <c r="F479" t="str">
        <f t="shared" ca="1" si="56"/>
        <v xml:space="preserve"> Local e-government. </v>
      </c>
      <c r="G479" s="3">
        <f t="shared" ca="1" si="57"/>
        <v>18</v>
      </c>
      <c r="H479" s="2">
        <f t="shared" ca="1" si="58"/>
        <v>39</v>
      </c>
      <c r="I479" t="e">
        <f t="shared" ca="1" si="59"/>
        <v>#VALUE!</v>
      </c>
      <c r="J479" s="3" t="e">
        <f t="shared" ca="1" si="61"/>
        <v>#VALUE!</v>
      </c>
      <c r="K479" t="str">
        <f t="shared" ca="1" si="32"/>
        <v xml:space="preserve">Gouveia, L. </v>
      </c>
      <c r="L479" t="str">
        <f t="shared" ca="1" si="33"/>
        <v xml:space="preserve">Quental, C. </v>
      </c>
    </row>
    <row r="480" spans="1:12" ht="15.75" customHeight="1">
      <c r="A480">
        <f ca="1">IFERROR(__xludf.DUMMYFUNCTION("""COMPUTED_VALUE"""),66)</f>
        <v>66</v>
      </c>
      <c r="B480" t="str">
        <f ca="1">IFERROR(__xludf.DUMMYFUNCTION("""COMPUTED_VALUE"""),"Gouveia, L. (2010). Tecnologia e Educação – como? Seminário Educar Hoje. O 
futuro da educação começa hoje. Escola Secundária/3 de Carregal do Sal, 
Carregal do Sal, 5 de Junho.
apresentação [ slideshare ]")</f>
        <v>Gouveia, L. (2010). Tecnologia e Educação – como? Seminário Educar Hoje. O 
futuro da educação começa hoje. Escola Secundária/3 de Carregal do Sal, 
Carregal do Sal, 5 de Junho.
apresentação [ slideshare ]</v>
      </c>
      <c r="C480" s="2">
        <f t="shared" ca="1" si="31"/>
        <v>13</v>
      </c>
      <c r="D480" t="str">
        <f t="shared" ca="1" si="60"/>
        <v xml:space="preserve">Gouveia, L. </v>
      </c>
      <c r="E480" t="str">
        <f t="shared" ca="1" si="55"/>
        <v>2010</v>
      </c>
      <c r="F480" t="str">
        <f t="shared" ca="1" si="56"/>
        <v xml:space="preserve"> Tecnologia e Educação – como? Seminário Educar Hoje. </v>
      </c>
      <c r="G480" s="3">
        <f t="shared" ca="1" si="57"/>
        <v>18</v>
      </c>
      <c r="H480" s="2">
        <f t="shared" ca="1" si="58"/>
        <v>72</v>
      </c>
      <c r="I480" t="e">
        <f t="shared" ca="1" si="59"/>
        <v>#VALUE!</v>
      </c>
      <c r="J480" s="3" t="e">
        <f t="shared" ca="1" si="61"/>
        <v>#VALUE!</v>
      </c>
      <c r="K480" t="str">
        <f t="shared" ca="1" si="32"/>
        <v xml:space="preserve">Gouveia, L. </v>
      </c>
      <c r="L480" t="str">
        <f t="shared" ca="1" si="33"/>
        <v xml:space="preserve">Quental, C. </v>
      </c>
    </row>
    <row r="481" spans="1:12" ht="15.75" customHeight="1">
      <c r="A481">
        <f ca="1">IFERROR(__xludf.DUMMYFUNCTION("""COMPUTED_VALUE"""),65)</f>
        <v>65</v>
      </c>
      <c r="B481" t="str">
        <f ca="1">IFERROR(__xludf.DUMMYFUNCTION("""COMPUTED_VALUE"""),"Gouveia, L. (2010). Governação dos Sistemas e Tecnologias de Informação na 
Administração Pública. Audioconferência: Instituto Nacional de 
Administração. Lisboa, 14 de Maio.
presentation [ slideshare ]")</f>
        <v>Gouveia, L. (2010). Governação dos Sistemas e Tecnologias de Informação na 
Administração Pública. Audioconferência: Instituto Nacional de 
Administração. Lisboa, 14 de Maio.
presentation [ slideshare ]</v>
      </c>
      <c r="C481" s="2">
        <f t="shared" ca="1" si="31"/>
        <v>13</v>
      </c>
      <c r="D481" t="str">
        <f t="shared" ca="1" si="60"/>
        <v xml:space="preserve">Gouveia, L. </v>
      </c>
      <c r="E481" t="str">
        <f t="shared" ca="1" si="55"/>
        <v>2010</v>
      </c>
      <c r="F481" t="str">
        <f t="shared" ca="1" si="56"/>
        <v xml:space="preserve"> Governação dos Sistemas e Tecnologias de Informação na 
Administração Pública. </v>
      </c>
      <c r="G481" s="3">
        <f t="shared" ca="1" si="57"/>
        <v>18</v>
      </c>
      <c r="H481" s="2">
        <f t="shared" ca="1" si="58"/>
        <v>98</v>
      </c>
      <c r="I481" t="e">
        <f t="shared" ca="1" si="59"/>
        <v>#VALUE!</v>
      </c>
      <c r="J481" s="3" t="e">
        <f t="shared" ca="1" si="61"/>
        <v>#VALUE!</v>
      </c>
      <c r="K481" t="str">
        <f t="shared" ca="1" si="32"/>
        <v xml:space="preserve">Gouveia, L. </v>
      </c>
      <c r="L481" t="str">
        <f t="shared" ca="1" si="33"/>
        <v xml:space="preserve">Quental, C. </v>
      </c>
    </row>
    <row r="482" spans="1:12" ht="15.75" customHeight="1">
      <c r="A482">
        <f ca="1">IFERROR(__xludf.DUMMYFUNCTION("""COMPUTED_VALUE"""),64)</f>
        <v>64</v>
      </c>
      <c r="B482" t="str">
        <f ca="1">IFERROR(__xludf.DUMMYFUNCTION("""COMPUTED_VALUE"""),"Gouveia, L. (2010). Informação e conhecimento – o lado social da 
tecnologia. 1º Workshop de Ciências da Informação. Universidade Fernando 
Pessoa. Porto, 7 de Maio.
apresentação [ slideshare ]")</f>
        <v>Gouveia, L. (2010). Informação e conhecimento – o lado social da 
tecnologia. 1º Workshop de Ciências da Informação. Universidade Fernando 
Pessoa. Porto, 7 de Maio.
apresentação [ slideshare ]</v>
      </c>
      <c r="C482" s="2">
        <f t="shared" ca="1" si="31"/>
        <v>13</v>
      </c>
      <c r="D482" t="str">
        <f t="shared" ca="1" si="60"/>
        <v xml:space="preserve">Gouveia, L. </v>
      </c>
      <c r="E482" t="str">
        <f t="shared" ca="1" si="55"/>
        <v>2010</v>
      </c>
      <c r="F482" t="str">
        <f t="shared" ca="1" si="56"/>
        <v xml:space="preserve"> Informação e conhecimento – o lado social da 
tecnologia. </v>
      </c>
      <c r="G482" s="3">
        <f t="shared" ca="1" si="57"/>
        <v>18</v>
      </c>
      <c r="H482" s="2">
        <f t="shared" ca="1" si="58"/>
        <v>77</v>
      </c>
      <c r="I482" t="e">
        <f t="shared" ca="1" si="59"/>
        <v>#VALUE!</v>
      </c>
      <c r="J482" s="3" t="e">
        <f t="shared" ca="1" si="61"/>
        <v>#VALUE!</v>
      </c>
      <c r="K482" t="str">
        <f t="shared" ca="1" si="32"/>
        <v xml:space="preserve">Gouveia, L. </v>
      </c>
      <c r="L482" t="str">
        <f t="shared" ca="1" si="33"/>
        <v xml:space="preserve">Quental, C. </v>
      </c>
    </row>
    <row r="483" spans="1:12" ht="15.75" customHeight="1">
      <c r="A483">
        <f ca="1">IFERROR(__xludf.DUMMYFUNCTION("""COMPUTED_VALUE"""),63)</f>
        <v>63</v>
      </c>
      <c r="B483" t="str">
        <f ca="1">IFERROR(__xludf.DUMMYFUNCTION("""COMPUTED_VALUE"""),"Gouveia, L. (2010). *A escola e os novos desafios - A escola, o digital e o 
professor – um triângulo amoroso*. Think 2010. Agrupamento de Escolas 
Fajões. Fajões, 26 de Abril.
apresentação [ slideshare ]")</f>
        <v>Gouveia, L. (2010). *A escola e os novos desafios - A escola, o digital e o 
professor – um triângulo amoroso*. Think 2010. Agrupamento de Escolas 
Fajões. Fajões, 26 de Abril.
apresentação [ slideshare ]</v>
      </c>
      <c r="C483" s="2">
        <f t="shared" ca="1" si="31"/>
        <v>13</v>
      </c>
      <c r="D483" t="str">
        <f t="shared" ca="1" si="60"/>
        <v xml:space="preserve">Gouveia, L. </v>
      </c>
      <c r="E483" t="str">
        <f t="shared" ca="1" si="55"/>
        <v>2010</v>
      </c>
      <c r="F483" t="str">
        <f t="shared" ca="1" si="56"/>
        <v xml:space="preserve"> *A escola e os novos desafios - A escola, o digital e o 
professor – um triângulo amoroso*. </v>
      </c>
      <c r="G483" s="3">
        <f t="shared" ca="1" si="57"/>
        <v>18</v>
      </c>
      <c r="H483" s="2">
        <f t="shared" ca="1" si="58"/>
        <v>111</v>
      </c>
      <c r="I483" t="e">
        <f t="shared" ca="1" si="59"/>
        <v>#VALUE!</v>
      </c>
      <c r="J483" s="3" t="e">
        <f t="shared" ca="1" si="61"/>
        <v>#VALUE!</v>
      </c>
      <c r="K483" t="str">
        <f t="shared" ca="1" si="32"/>
        <v xml:space="preserve">Gouveia, L. </v>
      </c>
      <c r="L483" t="str">
        <f t="shared" ca="1" si="33"/>
        <v xml:space="preserve">Quental, C. </v>
      </c>
    </row>
    <row r="484" spans="1:12" ht="15.75" customHeight="1">
      <c r="A484">
        <f ca="1">IFERROR(__xludf.DUMMYFUNCTION("""COMPUTED_VALUE"""),62)</f>
        <v>62</v>
      </c>
      <c r="B484" t="str">
        <f ca="1">IFERROR(__xludf.DUMMYFUNCTION("""COMPUTED_VALUE"""),"Gouveia, L. (2010). *What’s up with the physical dimension in the digital 
world?* Global Ignite week. IGNITE. Escola Superior de Gestão do Porto. 
Porto, 4 de Março. 
presentation [ slideshare ]")</f>
        <v>Gouveia, L. (2010). *What’s up with the physical dimension in the digital 
world?* Global Ignite week. IGNITE. Escola Superior de Gestão do Porto. 
Porto, 4 de Março. 
presentation [ slideshare ]</v>
      </c>
      <c r="C484" s="2">
        <f t="shared" ca="1" si="31"/>
        <v>13</v>
      </c>
      <c r="D484" t="str">
        <f t="shared" ca="1" si="60"/>
        <v xml:space="preserve">Gouveia, L. </v>
      </c>
      <c r="E484" t="str">
        <f t="shared" ca="1" si="55"/>
        <v>2010</v>
      </c>
      <c r="F484" t="str">
        <f t="shared" ca="1" si="56"/>
        <v xml:space="preserve"> *What’s up with the physical dimension in the digital 
world?* Global Ignite week. </v>
      </c>
      <c r="G484" s="3">
        <f t="shared" ca="1" si="57"/>
        <v>18</v>
      </c>
      <c r="H484" s="2">
        <f t="shared" ca="1" si="58"/>
        <v>102</v>
      </c>
      <c r="I484" t="e">
        <f t="shared" ca="1" si="59"/>
        <v>#VALUE!</v>
      </c>
      <c r="J484" s="3" t="e">
        <f t="shared" ca="1" si="61"/>
        <v>#VALUE!</v>
      </c>
      <c r="K484" t="str">
        <f t="shared" ca="1" si="32"/>
        <v xml:space="preserve">Gouveia, L. </v>
      </c>
      <c r="L484" t="str">
        <f t="shared" ca="1" si="33"/>
        <v xml:space="preserve">Quental, C. </v>
      </c>
    </row>
    <row r="485" spans="1:12" ht="15.75" customHeight="1">
      <c r="A485">
        <f ca="1">IFERROR(__xludf.DUMMYFUNCTION("""COMPUTED_VALUE"""),61)</f>
        <v>61</v>
      </c>
      <c r="B485" t="str">
        <f ca="1">IFERROR(__xludf.DUMMYFUNCTION("""COMPUTED_VALUE"""),"Gouveia, L. (2010). Revisitar o estudo APDSI. Modelos de Governação. FESI, 
Jantar Executivo. Ordem dos Engenheiros. Lisboa, 27 de Janeiro.
apresentação [ slideshare ]")</f>
        <v>Gouveia, L. (2010). Revisitar o estudo APDSI. Modelos de Governação. FESI, 
Jantar Executivo. Ordem dos Engenheiros. Lisboa, 27 de Janeiro.
apresentação [ slideshare ]</v>
      </c>
      <c r="C485" s="2">
        <f t="shared" ca="1" si="31"/>
        <v>13</v>
      </c>
      <c r="D485" t="str">
        <f t="shared" ca="1" si="60"/>
        <v xml:space="preserve">Gouveia, L. </v>
      </c>
      <c r="E485" t="str">
        <f t="shared" ca="1" si="55"/>
        <v>2010</v>
      </c>
      <c r="F485" t="str">
        <f t="shared" ca="1" si="56"/>
        <v xml:space="preserve"> Revisitar o estudo APDSI. </v>
      </c>
      <c r="G485" s="3">
        <f t="shared" ca="1" si="57"/>
        <v>18</v>
      </c>
      <c r="H485" s="2">
        <f t="shared" ca="1" si="58"/>
        <v>45</v>
      </c>
      <c r="I485" t="e">
        <f t="shared" ca="1" si="59"/>
        <v>#VALUE!</v>
      </c>
      <c r="J485" s="3" t="e">
        <f t="shared" ca="1" si="61"/>
        <v>#VALUE!</v>
      </c>
      <c r="K485" t="str">
        <f t="shared" ca="1" si="32"/>
        <v xml:space="preserve">Gouveia, L. </v>
      </c>
      <c r="L485" t="str">
        <f t="shared" ca="1" si="33"/>
        <v xml:space="preserve">Quental, C. </v>
      </c>
    </row>
    <row r="486" spans="1:12" ht="15.75" customHeight="1">
      <c r="A486">
        <f ca="1">IFERROR(__xludf.DUMMYFUNCTION("""COMPUTED_VALUE"""),60)</f>
        <v>60</v>
      </c>
      <c r="B486" t="str">
        <f ca="1">IFERROR(__xludf.DUMMYFUNCTION("""COMPUTED_VALUE"""),"Gouveia, L. (2009). Viver o digital com novas competências. Ignite 
Portugal. IGNITE #1. 15 de Outubro. Lisboa.
apresentação [ slideshare | video ]")</f>
        <v>Gouveia, L. (2009). Viver o digital com novas competências. Ignite 
Portugal. IGNITE #1. 15 de Outubro. Lisboa.
apresentação [ slideshare | video ]</v>
      </c>
      <c r="C486" s="2">
        <f t="shared" ca="1" si="31"/>
        <v>13</v>
      </c>
      <c r="D486" t="str">
        <f t="shared" ca="1" si="60"/>
        <v xml:space="preserve">Gouveia, L. </v>
      </c>
      <c r="E486" t="str">
        <f t="shared" ca="1" si="55"/>
        <v>2009</v>
      </c>
      <c r="F486" t="str">
        <f t="shared" ca="1" si="56"/>
        <v xml:space="preserve"> Viver o digital com novas competências. </v>
      </c>
      <c r="G486" s="3">
        <f t="shared" ca="1" si="57"/>
        <v>18</v>
      </c>
      <c r="H486" s="2">
        <f t="shared" ca="1" si="58"/>
        <v>59</v>
      </c>
      <c r="I486" t="e">
        <f t="shared" ca="1" si="59"/>
        <v>#VALUE!</v>
      </c>
      <c r="J486" s="3" t="e">
        <f t="shared" ca="1" si="61"/>
        <v>#VALUE!</v>
      </c>
      <c r="K486" t="str">
        <f t="shared" ca="1" si="32"/>
        <v xml:space="preserve">Gouveia, L. </v>
      </c>
      <c r="L486" t="str">
        <f t="shared" ca="1" si="33"/>
        <v xml:space="preserve">Quental, C. </v>
      </c>
    </row>
    <row r="487" spans="1:12" ht="15.75" customHeight="1">
      <c r="A487">
        <f ca="1">IFERROR(__xludf.DUMMYFUNCTION("""COMPUTED_VALUE"""),59)</f>
        <v>59</v>
      </c>
      <c r="B487" t="str">
        <f ca="1">IFERROR(__xludf.DUMMYFUNCTION("""COMPUTED_VALUE"""),"Gouveia, L. (2009). *UFP ongoing experience with Sakai. The last three 
years*. Learning Management Systems (LMS) usage in Higher Education 
Institutions´ Meeting. ISCAP, Porto 28th May.")</f>
        <v>Gouveia, L. (2009). *UFP ongoing experience with Sakai. The last three 
years*. Learning Management Systems (LMS) usage in Higher Education 
Institutions´ Meeting. ISCAP, Porto 28th May.</v>
      </c>
      <c r="C487" s="2">
        <f t="shared" ca="1" si="31"/>
        <v>13</v>
      </c>
      <c r="D487" t="str">
        <f t="shared" ca="1" si="60"/>
        <v xml:space="preserve">Gouveia, L. </v>
      </c>
      <c r="E487" t="str">
        <f t="shared" ca="1" si="55"/>
        <v>2009</v>
      </c>
      <c r="F487" t="str">
        <f t="shared" ca="1" si="56"/>
        <v xml:space="preserve"> *UFP ongoing experience with Sakai. </v>
      </c>
      <c r="G487" s="3">
        <f t="shared" ca="1" si="57"/>
        <v>18</v>
      </c>
      <c r="H487" s="2">
        <f t="shared" ca="1" si="58"/>
        <v>55</v>
      </c>
      <c r="I487" t="e">
        <f t="shared" ca="1" si="59"/>
        <v>#VALUE!</v>
      </c>
      <c r="J487" s="3" t="e">
        <f t="shared" ca="1" si="61"/>
        <v>#VALUE!</v>
      </c>
      <c r="K487" t="str">
        <f t="shared" ca="1" si="32"/>
        <v xml:space="preserve">Gouveia, L. </v>
      </c>
      <c r="L487" t="str">
        <f t="shared" ca="1" si="33"/>
        <v xml:space="preserve">Quental, C. </v>
      </c>
    </row>
    <row r="488" spans="1:12" ht="15.75" customHeight="1">
      <c r="A488">
        <f ca="1">IFERROR(__xludf.DUMMYFUNCTION("""COMPUTED_VALUE"""),58)</f>
        <v>58</v>
      </c>
      <c r="B488" t="str">
        <f ca="1">IFERROR(__xludf.DUMMYFUNCTION("""COMPUTED_VALUE"""),"Gouveia, L. (2009). *Evolução da Internet &amp; Web.* Apresentação na 
Universidade Fernando Pessoa. 19 e 21 de Maio.
apresentação [ pdf (1340KB)]")</f>
        <v>Gouveia, L. (2009). *Evolução da Internet &amp; Web.* Apresentação na 
Universidade Fernando Pessoa. 19 e 21 de Maio.
apresentação [ pdf (1340KB)]</v>
      </c>
      <c r="C488" s="2">
        <f t="shared" ca="1" si="31"/>
        <v>13</v>
      </c>
      <c r="D488" t="str">
        <f t="shared" ca="1" si="60"/>
        <v xml:space="preserve">Gouveia, L. </v>
      </c>
      <c r="E488" t="str">
        <f t="shared" ca="1" si="55"/>
        <v>2009</v>
      </c>
      <c r="F488" t="str">
        <f t="shared" ca="1" si="56"/>
        <v xml:space="preserve"> *Evolução da Internet &amp; Web.*</v>
      </c>
      <c r="G488" s="3">
        <f t="shared" ca="1" si="57"/>
        <v>18</v>
      </c>
      <c r="H488" s="2">
        <f t="shared" ca="1" si="58"/>
        <v>48</v>
      </c>
      <c r="I488" t="e">
        <f t="shared" ca="1" si="59"/>
        <v>#VALUE!</v>
      </c>
      <c r="J488" s="3" t="e">
        <f t="shared" ca="1" si="61"/>
        <v>#VALUE!</v>
      </c>
      <c r="K488" t="str">
        <f t="shared" ca="1" si="32"/>
        <v xml:space="preserve">Gouveia, L. </v>
      </c>
      <c r="L488" t="str">
        <f t="shared" ca="1" si="33"/>
        <v xml:space="preserve">Quental, C. </v>
      </c>
    </row>
    <row r="489" spans="1:12" ht="15.75" customHeight="1">
      <c r="A489">
        <f ca="1">IFERROR(__xludf.DUMMYFUNCTION("""COMPUTED_VALUE"""),57)</f>
        <v>57</v>
      </c>
      <c r="B489" t="str">
        <f ca="1">IFERROR(__xludf.DUMMYFUNCTION("""COMPUTED_VALUE"""),"Gouveia, L. (2008). *Novas abordagens para a Gestão do Conhecimento*. 
Palestra sobre Gestão do Conhecimento. ISLA. Porto, 23 de Maio.
apresentação [ pdf (1187KB)]")</f>
        <v>Gouveia, L. (2008). *Novas abordagens para a Gestão do Conhecimento*. 
Palestra sobre Gestão do Conhecimento. ISLA. Porto, 23 de Maio.
apresentação [ pdf (1187KB)]</v>
      </c>
      <c r="C489" s="2">
        <f t="shared" ca="1" si="31"/>
        <v>13</v>
      </c>
      <c r="D489" t="str">
        <f t="shared" ca="1" si="60"/>
        <v xml:space="preserve">Gouveia, L. </v>
      </c>
      <c r="E489" t="str">
        <f t="shared" ca="1" si="55"/>
        <v>2008</v>
      </c>
      <c r="F489" t="str">
        <f t="shared" ca="1" si="56"/>
        <v xml:space="preserve"> *Novas abordagens para a Gestão do Conhecimento*. </v>
      </c>
      <c r="G489" s="3">
        <f t="shared" ca="1" si="57"/>
        <v>18</v>
      </c>
      <c r="H489" s="2">
        <f t="shared" ca="1" si="58"/>
        <v>69</v>
      </c>
      <c r="I489" t="e">
        <f t="shared" ca="1" si="59"/>
        <v>#VALUE!</v>
      </c>
      <c r="J489" s="3" t="e">
        <f t="shared" ca="1" si="61"/>
        <v>#VALUE!</v>
      </c>
      <c r="K489" t="str">
        <f t="shared" ca="1" si="32"/>
        <v xml:space="preserve">Gouveia, L. </v>
      </c>
      <c r="L489" t="str">
        <f t="shared" ca="1" si="33"/>
        <v xml:space="preserve">Quental, C. </v>
      </c>
    </row>
    <row r="490" spans="1:12" ht="15.75" customHeight="1">
      <c r="A490">
        <f ca="1">IFERROR(__xludf.DUMMYFUNCTION("""COMPUTED_VALUE"""),56)</f>
        <v>56</v>
      </c>
      <c r="B490" t="str">
        <f ca="1">IFERROR(__xludf.DUMMYFUNCTION("""COMPUTED_VALUE"""),"Gouveia, L. (2009). *Modelos de Governação na Sociedade da Informação e do 
Conhecimento*. Apresentação de Estudo APDSI. Associação para a Promoção e 
Desenvolvimento da Sociedade da Informação. Calouste Gulbenkian. Lisboa. 21 
de Abril.
Apresentação [ pd"&amp;"f (660KB)]")</f>
        <v>Gouveia, L. (2009). *Modelos de Governação na Sociedade da Informação e do 
Conhecimento*. Apresentação de Estudo APDSI. Associação para a Promoção e 
Desenvolvimento da Sociedade da Informação. Calouste Gulbenkian. Lisboa. 21 
de Abril.
Apresentação [ pdf (660KB)]</v>
      </c>
      <c r="C490" s="2">
        <f t="shared" ca="1" si="31"/>
        <v>13</v>
      </c>
      <c r="D490" t="str">
        <f t="shared" ca="1" si="60"/>
        <v xml:space="preserve">Gouveia, L. </v>
      </c>
      <c r="E490" t="str">
        <f t="shared" ca="1" si="55"/>
        <v>2009</v>
      </c>
      <c r="F490" t="str">
        <f t="shared" ca="1" si="56"/>
        <v xml:space="preserve"> *Modelos de Governação na Sociedade da Informação e do 
Conhecimento*. </v>
      </c>
      <c r="G490" s="3">
        <f t="shared" ca="1" si="57"/>
        <v>18</v>
      </c>
      <c r="H490" s="2">
        <f t="shared" ca="1" si="58"/>
        <v>90</v>
      </c>
      <c r="I490" t="e">
        <f t="shared" ca="1" si="59"/>
        <v>#VALUE!</v>
      </c>
      <c r="J490" s="3" t="e">
        <f t="shared" ca="1" si="61"/>
        <v>#VALUE!</v>
      </c>
      <c r="K490" t="str">
        <f t="shared" ca="1" si="32"/>
        <v xml:space="preserve">Gouveia, L. </v>
      </c>
      <c r="L490" t="str">
        <f t="shared" ca="1" si="33"/>
        <v xml:space="preserve">Quental, C. </v>
      </c>
    </row>
    <row r="491" spans="1:12" ht="15.75" customHeight="1">
      <c r="A491">
        <f ca="1">IFERROR(__xludf.DUMMYFUNCTION("""COMPUTED_VALUE"""),55)</f>
        <v>55</v>
      </c>
      <c r="B491" t="str">
        <f ca="1">IFERROR(__xludf.DUMMYFUNCTION("""COMPUTED_VALUE"""),"Gouveia, L. (2008). *Uma perspectiva sobre o Negócio Electrónico.* 
Seminário sobre Negócio Electrónico. ISCAP. Porto, 21 de Maio.
apresentação [ pdf (490KB)]")</f>
        <v>Gouveia, L. (2008). *Uma perspectiva sobre o Negócio Electrónico.* 
Seminário sobre Negócio Electrónico. ISCAP. Porto, 21 de Maio.
apresentação [ pdf (490KB)]</v>
      </c>
      <c r="C491" s="2">
        <f t="shared" ca="1" si="31"/>
        <v>13</v>
      </c>
      <c r="D491" t="str">
        <f t="shared" ca="1" si="60"/>
        <v xml:space="preserve">Gouveia, L. </v>
      </c>
      <c r="E491" t="str">
        <f t="shared" ca="1" si="55"/>
        <v>2008</v>
      </c>
      <c r="F491" t="str">
        <f t="shared" ca="1" si="56"/>
        <v xml:space="preserve"> *Uma perspectiva sobre o Negócio Electrónico.*</v>
      </c>
      <c r="G491" s="3">
        <f t="shared" ca="1" si="57"/>
        <v>18</v>
      </c>
      <c r="H491" s="2">
        <f t="shared" ca="1" si="58"/>
        <v>65</v>
      </c>
      <c r="I491" t="e">
        <f t="shared" ca="1" si="59"/>
        <v>#VALUE!</v>
      </c>
      <c r="J491" s="3" t="e">
        <f t="shared" ca="1" si="61"/>
        <v>#VALUE!</v>
      </c>
      <c r="K491" t="str">
        <f t="shared" ca="1" si="32"/>
        <v xml:space="preserve">Gouveia, L. </v>
      </c>
      <c r="L491" t="str">
        <f t="shared" ca="1" si="33"/>
        <v xml:space="preserve">Quental, C. </v>
      </c>
    </row>
    <row r="492" spans="1:12" ht="15.75" customHeight="1">
      <c r="A492">
        <f ca="1">IFERROR(__xludf.DUMMYFUNCTION("""COMPUTED_VALUE"""),54)</f>
        <v>54</v>
      </c>
      <c r="B492" t="str">
        <f ca="1">IFERROR(__xludf.DUMMYFUNCTION("""COMPUTED_VALUE"""),"Gouveia, L. (2008). *As Tecnologias e as Pessoas: um testemunho próprio da 
Sociedade da Informação.* X Jornadas do Departamento de Sociologia. O mundo 
em mudança. Universidade de Évora. Évora, 15 de Maio.
apresentação [ pdf (807KB)]")</f>
        <v>Gouveia, L. (2008). *As Tecnologias e as Pessoas: um testemunho próprio da 
Sociedade da Informação.* X Jornadas do Departamento de Sociologia. O mundo 
em mudança. Universidade de Évora. Évora, 15 de Maio.
apresentação [ pdf (807KB)]</v>
      </c>
      <c r="C492" s="2">
        <f t="shared" ca="1" si="31"/>
        <v>13</v>
      </c>
      <c r="D492" t="str">
        <f t="shared" ca="1" si="60"/>
        <v xml:space="preserve">Gouveia, L. </v>
      </c>
      <c r="E492" t="str">
        <f t="shared" ca="1" si="55"/>
        <v>2008</v>
      </c>
      <c r="F492" t="str">
        <f t="shared" ca="1" si="56"/>
        <v xml:space="preserve"> *As Tecnologias e as Pessoas: um testemunho próprio da 
Sociedade da Informação.*</v>
      </c>
      <c r="G492" s="3">
        <f t="shared" ca="1" si="57"/>
        <v>18</v>
      </c>
      <c r="H492" s="2">
        <f t="shared" ca="1" si="58"/>
        <v>100</v>
      </c>
      <c r="I492" t="e">
        <f t="shared" ca="1" si="59"/>
        <v>#VALUE!</v>
      </c>
      <c r="J492" s="3" t="e">
        <f t="shared" ca="1" si="61"/>
        <v>#VALUE!</v>
      </c>
      <c r="K492" t="str">
        <f t="shared" ca="1" si="32"/>
        <v xml:space="preserve">Gouveia, L. </v>
      </c>
      <c r="L492" t="str">
        <f t="shared" ca="1" si="33"/>
        <v xml:space="preserve">Quental, C. </v>
      </c>
    </row>
    <row r="493" spans="1:12" ht="15.75" customHeight="1">
      <c r="A493">
        <f ca="1">IFERROR(__xludf.DUMMYFUNCTION("""COMPUTED_VALUE"""),53)</f>
        <v>53</v>
      </c>
      <c r="B493" t="str">
        <f ca="1">IFERROR(__xludf.DUMMYFUNCTION("""COMPUTED_VALUE"""),"Gouveia, L. (2008). *Território: implicações do digital.* Seminário 
Governação na era digital. Tâmega Digital. Amarante. 27 de Fevereiro.
apresentação [ pdf ( 401KB) ]")</f>
        <v>Gouveia, L. (2008). *Território: implicações do digital.* Seminário 
Governação na era digital. Tâmega Digital. Amarante. 27 de Fevereiro.
apresentação [ pdf ( 401KB) ]</v>
      </c>
      <c r="C493" s="2">
        <f t="shared" ca="1" si="31"/>
        <v>13</v>
      </c>
      <c r="D493" t="str">
        <f t="shared" ca="1" si="60"/>
        <v xml:space="preserve">Gouveia, L. </v>
      </c>
      <c r="E493" t="str">
        <f t="shared" ca="1" si="55"/>
        <v>2008</v>
      </c>
      <c r="F493" t="str">
        <f t="shared" ca="1" si="56"/>
        <v xml:space="preserve"> *Território: implicações do digital.*</v>
      </c>
      <c r="G493" s="3">
        <f t="shared" ca="1" si="57"/>
        <v>18</v>
      </c>
      <c r="H493" s="2">
        <f t="shared" ca="1" si="58"/>
        <v>56</v>
      </c>
      <c r="I493" t="e">
        <f t="shared" ca="1" si="59"/>
        <v>#VALUE!</v>
      </c>
      <c r="J493" s="3" t="e">
        <f t="shared" ca="1" si="61"/>
        <v>#VALUE!</v>
      </c>
      <c r="K493" t="str">
        <f t="shared" ca="1" si="32"/>
        <v xml:space="preserve">Gouveia, L. </v>
      </c>
      <c r="L493" t="str">
        <f t="shared" ca="1" si="33"/>
        <v xml:space="preserve">Quental, C. </v>
      </c>
    </row>
    <row r="494" spans="1:12" ht="15.75" customHeight="1">
      <c r="A494">
        <f ca="1">IFERROR(__xludf.DUMMYFUNCTION("""COMPUTED_VALUE"""),52)</f>
        <v>52</v>
      </c>
      <c r="B494" t="str">
        <f ca="1">IFERROR(__xludf.DUMMYFUNCTION("""COMPUTED_VALUE"""),"Gouveia, L. (2007). *Web 2.0: finalmente a Web somos nós.* Feira das 
Carreiras. Colégio Luso Internacional do Porto (CLIP). 2 de Março.
apresentação [ pdf (2,29MB) ]")</f>
        <v>Gouveia, L. (2007). *Web 2.0: finalmente a Web somos nós.* Feira das 
Carreiras. Colégio Luso Internacional do Porto (CLIP). 2 de Março.
apresentação [ pdf (2,29MB) ]</v>
      </c>
      <c r="C494" s="2">
        <f t="shared" ca="1" si="31"/>
        <v>13</v>
      </c>
      <c r="D494" t="str">
        <f t="shared" ca="1" si="60"/>
        <v xml:space="preserve">Gouveia, L. </v>
      </c>
      <c r="E494" t="str">
        <f t="shared" ca="1" si="55"/>
        <v>2007</v>
      </c>
      <c r="F494" t="str">
        <f t="shared" ca="1" si="56"/>
        <v xml:space="preserve"> *Web 2.0</v>
      </c>
      <c r="G494" s="3">
        <f t="shared" ca="1" si="57"/>
        <v>18</v>
      </c>
      <c r="H494" s="2">
        <f t="shared" ca="1" si="58"/>
        <v>27</v>
      </c>
      <c r="I494" t="str">
        <f t="shared" ca="1" si="59"/>
        <v>: finalmente a Web somos nós.* Feira das 
Carreiras. Colégio Luso Internacional do Porto (CLIP).</v>
      </c>
      <c r="J494" s="3">
        <f t="shared" ca="1" si="61"/>
        <v>123</v>
      </c>
      <c r="K494" t="str">
        <f t="shared" ca="1" si="32"/>
        <v xml:space="preserve">Gouveia, L. </v>
      </c>
      <c r="L494" t="str">
        <f t="shared" ca="1" si="33"/>
        <v xml:space="preserve">Quental, C. </v>
      </c>
    </row>
    <row r="495" spans="1:12" ht="15.75" customHeight="1">
      <c r="A495">
        <f ca="1">IFERROR(__xludf.DUMMYFUNCTION("""COMPUTED_VALUE"""),51)</f>
        <v>51</v>
      </c>
      <c r="B495" t="str">
        <f ca="1">IFERROR(__xludf.DUMMYFUNCTION("""COMPUTED_VALUE"""),"Gouveia, L. (2007). *Apresentação do Projecto Comunidade Digital de 
Professores*. Auditório do Centro de Formação da Escola Secundária com 3º 
Ciclo Dr. Joaquim Gomes Ferreira Alves. 7 de Fevereiro.
apresentação [ pdf (183KB) ]")</f>
        <v>Gouveia, L. (2007). *Apresentação do Projecto Comunidade Digital de 
Professores*. Auditório do Centro de Formação da Escola Secundária com 3º 
Ciclo Dr. Joaquim Gomes Ferreira Alves. 7 de Fevereiro.
apresentação [ pdf (183KB) ]</v>
      </c>
      <c r="C495" s="2">
        <f t="shared" ca="1" si="31"/>
        <v>13</v>
      </c>
      <c r="D495" t="str">
        <f t="shared" ca="1" si="60"/>
        <v xml:space="preserve">Gouveia, L. </v>
      </c>
      <c r="E495" t="str">
        <f t="shared" ca="1" si="55"/>
        <v>2007</v>
      </c>
      <c r="F495" t="str">
        <f t="shared" ca="1" si="56"/>
        <v xml:space="preserve"> *Apresentação do Projecto Comunidade Digital de 
Professores*. </v>
      </c>
      <c r="G495" s="3">
        <f t="shared" ca="1" si="57"/>
        <v>18</v>
      </c>
      <c r="H495" s="2">
        <f t="shared" ca="1" si="58"/>
        <v>82</v>
      </c>
      <c r="I495" t="e">
        <f t="shared" ca="1" si="59"/>
        <v>#VALUE!</v>
      </c>
      <c r="J495" s="3" t="e">
        <f t="shared" ca="1" si="61"/>
        <v>#VALUE!</v>
      </c>
      <c r="K495" t="str">
        <f t="shared" ca="1" si="32"/>
        <v xml:space="preserve">Gouveia, L. </v>
      </c>
      <c r="L495" t="str">
        <f t="shared" ca="1" si="33"/>
        <v xml:space="preserve">Quental, C. </v>
      </c>
    </row>
    <row r="496" spans="1:12" ht="15.75" customHeight="1">
      <c r="A496">
        <f ca="1">IFERROR(__xludf.DUMMYFUNCTION("""COMPUTED_VALUE"""),50)</f>
        <v>50</v>
      </c>
      <c r="B496" t="str">
        <f ca="1">IFERROR(__xludf.DUMMYFUNCTION("""COMPUTED_VALUE"""),"Gouveia, L. (2006). *A Sociedade da Informação e do Conhecimento: Ensaio 
sobre a exploração e oportunidades no contexto da Sociedade da Informação*. 
Semana dos Sistemas de Informação – Seminários de Informática de Gestão. 
Escola Superior de Gestão – In"&amp;"stituto Politécnico de Santarém. 18 de 
Novembro de 2006.
apresentação [ pdf (660KB)]")</f>
        <v>Gouveia, L. (2006). *A Sociedade da Informação e do Conhecimento: Ensaio 
sobre a exploração e oportunidades no contexto da Sociedade da Informação*. 
Semana dos Sistemas de Informação – Seminários de Informática de Gestão. 
Escola Superior de Gestão – Instituto Politécnico de Santarém. 18 de 
Novembro de 2006.
apresentação [ pdf (660KB)]</v>
      </c>
      <c r="C496" s="2">
        <f t="shared" ca="1" si="31"/>
        <v>13</v>
      </c>
      <c r="D496" t="str">
        <f t="shared" ca="1" si="60"/>
        <v xml:space="preserve">Gouveia, L. </v>
      </c>
      <c r="E496" t="str">
        <f t="shared" ca="1" si="55"/>
        <v>2006</v>
      </c>
      <c r="F496" t="str">
        <f t="shared" ca="1" si="56"/>
        <v xml:space="preserve"> *A Sociedade da Informação e do Conhecimento: Ensaio 
sobre a exploração e oportunidades no contexto da Sociedade da Informação*. </v>
      </c>
      <c r="G496" s="3">
        <f t="shared" ca="1" si="57"/>
        <v>18</v>
      </c>
      <c r="H496" s="2">
        <f t="shared" ca="1" si="58"/>
        <v>149</v>
      </c>
      <c r="I496" t="e">
        <f t="shared" ca="1" si="59"/>
        <v>#VALUE!</v>
      </c>
      <c r="J496" s="3" t="e">
        <f t="shared" ca="1" si="61"/>
        <v>#VALUE!</v>
      </c>
      <c r="K496" t="str">
        <f t="shared" ca="1" si="32"/>
        <v xml:space="preserve">Gouveia, L. </v>
      </c>
      <c r="L496" t="str">
        <f t="shared" ca="1" si="33"/>
        <v xml:space="preserve">Quental, C. </v>
      </c>
    </row>
    <row r="497" spans="1:12" ht="15.75" customHeight="1">
      <c r="A497">
        <f ca="1">IFERROR(__xludf.DUMMYFUNCTION("""COMPUTED_VALUE"""),49)</f>
        <v>49</v>
      </c>
      <c r="B497" t="str">
        <f ca="1">IFERROR(__xludf.DUMMYFUNCTION("""COMPUTED_VALUE"""),"Gouveia, L. (2006). *Viver numa Sociedade da Informação e do Conhecimento. 
Desafios de hoje e amanhã*. Dia Internacional dos Sistemas de Informação 
Geográfica “GIS DAY”. Faculdade de Engenharia de Recursos Naturais – 
Universidade do Algarve. 15 de Nove"&amp;"mbro de 2006.
apresentação [ pdf (616KB)]")</f>
        <v>Gouveia, L. (2006). *Viver numa Sociedade da Informação e do Conhecimento. 
Desafios de hoje e amanhã*. Dia Internacional dos Sistemas de Informação 
Geográfica “GIS DAY”. Faculdade de Engenharia de Recursos Naturais – 
Universidade do Algarve. 15 de Novembro de 2006.
apresentação [ pdf (616KB)]</v>
      </c>
      <c r="C497" s="2">
        <f t="shared" ca="1" si="31"/>
        <v>13</v>
      </c>
      <c r="D497" t="str">
        <f t="shared" ca="1" si="60"/>
        <v xml:space="preserve">Gouveia, L. </v>
      </c>
      <c r="E497" t="str">
        <f t="shared" ca="1" si="55"/>
        <v>2006</v>
      </c>
      <c r="F497" t="str">
        <f t="shared" ca="1" si="56"/>
        <v xml:space="preserve"> *Viver numa Sociedade da Informação e do Conhecimento. </v>
      </c>
      <c r="G497" s="3">
        <f t="shared" ca="1" si="57"/>
        <v>18</v>
      </c>
      <c r="H497" s="2">
        <f t="shared" ca="1" si="58"/>
        <v>74</v>
      </c>
      <c r="I497" t="e">
        <f t="shared" ca="1" si="59"/>
        <v>#VALUE!</v>
      </c>
      <c r="J497" s="3" t="e">
        <f t="shared" ca="1" si="61"/>
        <v>#VALUE!</v>
      </c>
      <c r="K497" t="str">
        <f t="shared" ca="1" si="32"/>
        <v xml:space="preserve">Gouveia, L. </v>
      </c>
      <c r="L497" t="str">
        <f t="shared" ca="1" si="33"/>
        <v xml:space="preserve">Quental, C. </v>
      </c>
    </row>
    <row r="498" spans="1:12" ht="15.75" customHeight="1">
      <c r="A498">
        <f ca="1">IFERROR(__xludf.DUMMYFUNCTION("""COMPUTED_VALUE"""),48)</f>
        <v>48</v>
      </c>
      <c r="B498" t="str">
        <f ca="1">IFERROR(__xludf.DUMMYFUNCTION("""COMPUTED_VALUE"""),"Gouveia, L. (2006). *Flexibilidade do trabalho, produtividade e gestão 
empresarial: uma visão tecnológica.* Seminário Modalidade Flexíveis de 
Trabalho AEP – 21 de Setembro de 2006.
apresentação [ pdf (852KB)]")</f>
        <v>Gouveia, L. (2006). *Flexibilidade do trabalho, produtividade e gestão 
empresarial: uma visão tecnológica.* Seminário Modalidade Flexíveis de 
Trabalho AEP – 21 de Setembro de 2006.
apresentação [ pdf (852KB)]</v>
      </c>
      <c r="C498" s="2">
        <f t="shared" ca="1" si="31"/>
        <v>13</v>
      </c>
      <c r="D498" t="str">
        <f t="shared" ca="1" si="60"/>
        <v xml:space="preserve">Gouveia, L. </v>
      </c>
      <c r="E498" t="str">
        <f t="shared" ca="1" si="55"/>
        <v>2006</v>
      </c>
      <c r="F498" t="str">
        <f t="shared" ca="1" si="56"/>
        <v xml:space="preserve"> *Flexibilidade do trabalho, produtividade e gestão 
empresarial: uma visão tecnológica.*</v>
      </c>
      <c r="G498" s="3">
        <f t="shared" ca="1" si="57"/>
        <v>18</v>
      </c>
      <c r="H498" s="2">
        <f t="shared" ca="1" si="58"/>
        <v>107</v>
      </c>
      <c r="I498" t="e">
        <f t="shared" ca="1" si="59"/>
        <v>#VALUE!</v>
      </c>
      <c r="J498" s="3" t="e">
        <f t="shared" ca="1" si="61"/>
        <v>#VALUE!</v>
      </c>
      <c r="K498" t="str">
        <f t="shared" ca="1" si="32"/>
        <v xml:space="preserve">Gouveia, L. </v>
      </c>
      <c r="L498" t="str">
        <f t="shared" ca="1" si="33"/>
        <v xml:space="preserve">Quental, C. </v>
      </c>
    </row>
    <row r="499" spans="1:12" ht="15.75" customHeight="1">
      <c r="A499">
        <f ca="1">IFERROR(__xludf.DUMMYFUNCTION("""COMPUTED_VALUE"""),47)</f>
        <v>47</v>
      </c>
      <c r="B499" t="str">
        <f ca="1">IFERROR(__xludf.DUMMYFUNCTION("""COMPUTED_VALUE"""),"Gouveia, L. e Gouveia, F. (2006). *UFP-UV: plano de acção do terceiro ano 
de actividade*. Anfiteatro da Saúde. Porto, 9 de Junho.
apresentação [ pdf (480KB)]")</f>
        <v>Gouveia, L. e Gouveia, F. (2006). *UFP-UV: plano de acção do terceiro ano 
de actividade*. Anfiteatro da Saúde. Porto, 9 de Junho.
apresentação [ pdf (480KB)]</v>
      </c>
      <c r="C499" s="2">
        <f t="shared" ca="1" si="31"/>
        <v>27</v>
      </c>
      <c r="D499" t="str">
        <f t="shared" ca="1" si="60"/>
        <v xml:space="preserve">Gouveia, L. e Gouveia, F. </v>
      </c>
      <c r="E499" t="str">
        <f t="shared" ca="1" si="55"/>
        <v>2006</v>
      </c>
      <c r="F499" t="str">
        <f t="shared" ca="1" si="56"/>
        <v xml:space="preserve"> *UFP-UV: plano de acção do terceiro ano 
de actividade*. </v>
      </c>
      <c r="G499" s="3">
        <f t="shared" ca="1" si="57"/>
        <v>32</v>
      </c>
      <c r="H499" s="2">
        <f t="shared" ca="1" si="58"/>
        <v>90</v>
      </c>
      <c r="I499" t="e">
        <f t="shared" ca="1" si="59"/>
        <v>#VALUE!</v>
      </c>
      <c r="J499" s="3" t="e">
        <f t="shared" ca="1" si="61"/>
        <v>#VALUE!</v>
      </c>
      <c r="K499" t="str">
        <f t="shared" ca="1" si="32"/>
        <v xml:space="preserve">Gouveia, L. e Gouveia, F. </v>
      </c>
      <c r="L499" t="str">
        <f t="shared" ca="1" si="33"/>
        <v xml:space="preserve">Quental, C. </v>
      </c>
    </row>
    <row r="500" spans="1:12" ht="15.75" customHeight="1">
      <c r="A500">
        <f ca="1">IFERROR(__xludf.DUMMYFUNCTION("""COMPUTED_VALUE"""),46)</f>
        <v>46</v>
      </c>
      <c r="B500" t="str">
        <f ca="1">IFERROR(__xludf.DUMMYFUNCTION("""COMPUTED_VALUE"""),"Gouveia, L. (2006). Gestão da Informação: oportunidade ou necessidade. 
Apresentação no IESF. Vila Nova de  Gaia, 12 de Abril.
apresentação [ pdf (462KB)]")</f>
        <v>Gouveia, L. (2006). Gestão da Informação: oportunidade ou necessidade. 
Apresentação no IESF. Vila Nova de  Gaia, 12 de Abril.
apresentação [ pdf (462KB)]</v>
      </c>
      <c r="C500" s="2">
        <f t="shared" ca="1" si="31"/>
        <v>13</v>
      </c>
      <c r="D500" t="str">
        <f t="shared" ca="1" si="60"/>
        <v xml:space="preserve">Gouveia, L. </v>
      </c>
      <c r="E500" t="str">
        <f t="shared" ca="1" si="55"/>
        <v>2006</v>
      </c>
      <c r="F500" t="str">
        <f t="shared" ca="1" si="56"/>
        <v xml:space="preserve"> Gestão da Informação: oportunidade ou necessidade. </v>
      </c>
      <c r="G500" s="3">
        <f t="shared" ca="1" si="57"/>
        <v>18</v>
      </c>
      <c r="H500" s="2">
        <f t="shared" ca="1" si="58"/>
        <v>70</v>
      </c>
      <c r="I500" t="e">
        <f t="shared" ca="1" si="59"/>
        <v>#VALUE!</v>
      </c>
      <c r="J500" s="3" t="e">
        <f t="shared" ca="1" si="61"/>
        <v>#VALUE!</v>
      </c>
      <c r="K500" t="str">
        <f t="shared" ca="1" si="32"/>
        <v xml:space="preserve">Gouveia, L. </v>
      </c>
      <c r="L500" t="str">
        <f t="shared" ca="1" si="33"/>
        <v xml:space="preserve">Quental, C. </v>
      </c>
    </row>
    <row r="501" spans="1:12" ht="15.75" customHeight="1">
      <c r="A501">
        <f ca="1">IFERROR(__xludf.DUMMYFUNCTION("""COMPUTED_VALUE"""),45)</f>
        <v>45</v>
      </c>
      <c r="B501" t="str">
        <f ca="1">IFERROR(__xludf.DUMMYFUNCTION("""COMPUTED_VALUE"""),"Gouveia, L. (2006). *IT Governance - uma janela de oportunidades*. 14º ERSI 
- A Governança dos SI/TI na Administração Pública: O quê, como, onde e 
porquê? Hotel do Vimeiro, 22 de Março.
apresentação [ pdf (357KB)]")</f>
        <v>Gouveia, L. (2006). *IT Governance - uma janela de oportunidades*. 14º ERSI 
- A Governança dos SI/TI na Administração Pública: O quê, como, onde e 
porquê? Hotel do Vimeiro, 22 de Março.
apresentação [ pdf (357KB)]</v>
      </c>
      <c r="C501" s="2">
        <f t="shared" ca="1" si="31"/>
        <v>13</v>
      </c>
      <c r="D501" t="str">
        <f t="shared" ca="1" si="60"/>
        <v xml:space="preserve">Gouveia, L. </v>
      </c>
      <c r="E501" t="str">
        <f t="shared" ca="1" si="55"/>
        <v>2006</v>
      </c>
      <c r="F501" t="str">
        <f t="shared" ca="1" si="56"/>
        <v xml:space="preserve"> *IT Governance - uma janela de oportunidades*. </v>
      </c>
      <c r="G501" s="3">
        <f t="shared" ca="1" si="57"/>
        <v>18</v>
      </c>
      <c r="H501" s="2">
        <f t="shared" ca="1" si="58"/>
        <v>66</v>
      </c>
      <c r="I501" t="e">
        <f t="shared" ca="1" si="59"/>
        <v>#VALUE!</v>
      </c>
      <c r="J501" s="3" t="e">
        <f t="shared" ca="1" si="61"/>
        <v>#VALUE!</v>
      </c>
      <c r="K501" t="str">
        <f t="shared" ca="1" si="32"/>
        <v xml:space="preserve">Gouveia, L. </v>
      </c>
      <c r="L501" t="str">
        <f t="shared" ca="1" si="33"/>
        <v xml:space="preserve">Quental, C. </v>
      </c>
    </row>
    <row r="502" spans="1:12" ht="15.75" customHeight="1">
      <c r="A502">
        <f ca="1">IFERROR(__xludf.DUMMYFUNCTION("""COMPUTED_VALUE"""),44)</f>
        <v>44</v>
      </c>
      <c r="B502" t="str">
        <f ca="1">IFERROR(__xludf.DUMMYFUNCTION("""COMPUTED_VALUE"""),"Gouveia, L. (2006). *Gestão de Projectos Multimédia*. Aula convidada na Pós 
Graduação de Sistemas de Informação. Escola de Ciência e Tecnologia. 
Instituto Politécnico de Castelo Branco. 23 de Fevereiro.
apresentação [ pdf (450KB) ]")</f>
        <v>Gouveia, L. (2006). *Gestão de Projectos Multimédia*. Aula convidada na Pós 
Graduação de Sistemas de Informação. Escola de Ciência e Tecnologia. 
Instituto Politécnico de Castelo Branco. 23 de Fevereiro.
apresentação [ pdf (450KB) ]</v>
      </c>
      <c r="C502" s="2">
        <f t="shared" ca="1" si="31"/>
        <v>13</v>
      </c>
      <c r="D502" t="str">
        <f t="shared" ca="1" si="60"/>
        <v xml:space="preserve">Gouveia, L. </v>
      </c>
      <c r="E502" t="str">
        <f t="shared" ca="1" si="55"/>
        <v>2006</v>
      </c>
      <c r="F502" t="str">
        <f t="shared" ca="1" si="56"/>
        <v xml:space="preserve"> *Gestão de Projectos Multimédia*. </v>
      </c>
      <c r="G502" s="3">
        <f t="shared" ca="1" si="57"/>
        <v>18</v>
      </c>
      <c r="H502" s="2">
        <f t="shared" ca="1" si="58"/>
        <v>53</v>
      </c>
      <c r="I502" t="e">
        <f t="shared" ca="1" si="59"/>
        <v>#VALUE!</v>
      </c>
      <c r="J502" s="3" t="e">
        <f t="shared" ca="1" si="61"/>
        <v>#VALUE!</v>
      </c>
      <c r="K502" t="str">
        <f t="shared" ca="1" si="32"/>
        <v xml:space="preserve">Gouveia, L. </v>
      </c>
      <c r="L502" t="str">
        <f t="shared" ca="1" si="33"/>
        <v xml:space="preserve">Quental, C. </v>
      </c>
    </row>
    <row r="503" spans="1:12" ht="15.75" customHeight="1">
      <c r="A503">
        <f ca="1">IFERROR(__xludf.DUMMYFUNCTION("""COMPUTED_VALUE"""),43)</f>
        <v>43</v>
      </c>
      <c r="B503" t="str">
        <f ca="1">IFERROR(__xludf.DUMMYFUNCTION("""COMPUTED_VALUE"""),"Gouveia, L. (2005). *Uma oportunidade para reinventar o território*. 
Cidades e Regiões Digitais: o que falta fazer. Algébrica. Hotel dos 
Templários. Tomar. 23 de Novembro.
apresentação [ pdf (708KB)]")</f>
        <v>Gouveia, L. (2005). *Uma oportunidade para reinventar o território*. 
Cidades e Regiões Digitais: o que falta fazer. Algébrica. Hotel dos 
Templários. Tomar. 23 de Novembro.
apresentação [ pdf (708KB)]</v>
      </c>
      <c r="C503" s="2">
        <f t="shared" ca="1" si="31"/>
        <v>13</v>
      </c>
      <c r="D503" t="str">
        <f t="shared" ca="1" si="60"/>
        <v xml:space="preserve">Gouveia, L. </v>
      </c>
      <c r="E503" t="str">
        <f t="shared" ca="1" si="55"/>
        <v>2005</v>
      </c>
      <c r="F503" t="str">
        <f t="shared" ca="1" si="56"/>
        <v xml:space="preserve"> *Uma oportunidade para reinventar o território*. </v>
      </c>
      <c r="G503" s="3">
        <f t="shared" ca="1" si="57"/>
        <v>18</v>
      </c>
      <c r="H503" s="2">
        <f t="shared" ca="1" si="58"/>
        <v>68</v>
      </c>
      <c r="I503" t="e">
        <f t="shared" ca="1" si="59"/>
        <v>#VALUE!</v>
      </c>
      <c r="J503" s="3" t="e">
        <f t="shared" ca="1" si="61"/>
        <v>#VALUE!</v>
      </c>
      <c r="K503" t="str">
        <f t="shared" ca="1" si="32"/>
        <v xml:space="preserve">Gouveia, L. </v>
      </c>
      <c r="L503" t="str">
        <f t="shared" ca="1" si="33"/>
        <v xml:space="preserve">Quental, C. </v>
      </c>
    </row>
    <row r="504" spans="1:12" ht="15.75" customHeight="1">
      <c r="A504">
        <f ca="1">IFERROR(__xludf.DUMMYFUNCTION("""COMPUTED_VALUE"""),42)</f>
        <v>42</v>
      </c>
      <c r="B504" t="str">
        <f ca="1">IFERROR(__xludf.DUMMYFUNCTION("""COMPUTED_VALUE"""),"Gouveia, F. e Gouveia, L. (2005). *Apresentação da Plataforma de e-learning 
da UFP*. Comemorações do Dia da Faculdade de Ciências da Saúde. 
Universidade Fernando Pessoa. 8 de Outubro.
apresentação [ pdf (720KB) ]")</f>
        <v>Gouveia, F. e Gouveia, L. (2005). *Apresentação da Plataforma de e-learning 
da UFP*. Comemorações do Dia da Faculdade de Ciências da Saúde. 
Universidade Fernando Pessoa. 8 de Outubro.
apresentação [ pdf (720KB) ]</v>
      </c>
      <c r="C504" s="2">
        <f t="shared" ca="1" si="31"/>
        <v>27</v>
      </c>
      <c r="D504" t="str">
        <f t="shared" ca="1" si="60"/>
        <v xml:space="preserve">Gouveia, F. e Gouveia, L. </v>
      </c>
      <c r="E504" t="str">
        <f t="shared" ca="1" si="55"/>
        <v>2005</v>
      </c>
      <c r="F504" t="str">
        <f t="shared" ca="1" si="56"/>
        <v xml:space="preserve"> *Apresentação da Plataforma de e-learning 
da UFP*. </v>
      </c>
      <c r="G504" s="3">
        <f t="shared" ca="1" si="57"/>
        <v>32</v>
      </c>
      <c r="H504" s="2">
        <f t="shared" ca="1" si="58"/>
        <v>85</v>
      </c>
      <c r="I504" t="e">
        <f t="shared" ca="1" si="59"/>
        <v>#VALUE!</v>
      </c>
      <c r="J504" s="3" t="e">
        <f t="shared" ca="1" si="61"/>
        <v>#VALUE!</v>
      </c>
      <c r="K504" t="str">
        <f t="shared" ca="1" si="32"/>
        <v xml:space="preserve">Gouveia, F. e Gouveia, L. </v>
      </c>
      <c r="L504" t="str">
        <f t="shared" ca="1" si="33"/>
        <v xml:space="preserve">Quental, C. </v>
      </c>
    </row>
    <row r="505" spans="1:12" ht="15.75" customHeight="1">
      <c r="A505">
        <f ca="1">IFERROR(__xludf.DUMMYFUNCTION("""COMPUTED_VALUE"""),41)</f>
        <v>41</v>
      </c>
      <c r="B505" t="str">
        <f ca="1">IFERROR(__xludf.DUMMYFUNCTION("""COMPUTED_VALUE"""),"Gouveia, L. (2005). *Ensino Virtual  e e-learning: a experiência da 
Universidade Fernando Pessoa*. Jornadas Prof2000. Centro Cultural e de 
Congressos. 27 de Abril. Aveiro.
apresentação [ pdf (292KB) ]")</f>
        <v>Gouveia, L. (2005). *Ensino Virtual  e e-learning: a experiência da 
Universidade Fernando Pessoa*. Jornadas Prof2000. Centro Cultural e de 
Congressos. 27 de Abril. Aveiro.
apresentação [ pdf (292KB) ]</v>
      </c>
      <c r="C505" s="2">
        <f t="shared" ca="1" si="31"/>
        <v>13</v>
      </c>
      <c r="D505" t="str">
        <f t="shared" ca="1" si="60"/>
        <v xml:space="preserve">Gouveia, L. </v>
      </c>
      <c r="E505" t="str">
        <f t="shared" ca="1" si="55"/>
        <v>2005</v>
      </c>
      <c r="F505" t="str">
        <f t="shared" ca="1" si="56"/>
        <v xml:space="preserve"> *Ensino Virtual  e e-learning: a experiência da 
Universidade Fernando Pessoa*. </v>
      </c>
      <c r="G505" s="3">
        <f t="shared" ca="1" si="57"/>
        <v>18</v>
      </c>
      <c r="H505" s="2">
        <f t="shared" ca="1" si="58"/>
        <v>99</v>
      </c>
      <c r="I505" t="e">
        <f t="shared" ca="1" si="59"/>
        <v>#VALUE!</v>
      </c>
      <c r="J505" s="3" t="e">
        <f t="shared" ca="1" si="61"/>
        <v>#VALUE!</v>
      </c>
      <c r="K505" t="str">
        <f t="shared" ca="1" si="32"/>
        <v xml:space="preserve">Gouveia, L. </v>
      </c>
      <c r="L505" t="str">
        <f t="shared" ca="1" si="33"/>
        <v xml:space="preserve">Quental, C. </v>
      </c>
    </row>
    <row r="506" spans="1:12" ht="15.75" customHeight="1">
      <c r="A506">
        <f ca="1">IFERROR(__xludf.DUMMYFUNCTION("""COMPUTED_VALUE"""),40)</f>
        <v>40</v>
      </c>
      <c r="B506" t="str">
        <f ca="1">IFERROR(__xludf.DUMMYFUNCTION("""COMPUTED_VALUE"""),"Gouveia, L. (2005). *Sociedade da Informação: a quanto obrigas!* 12a 
Jornadas Licenciatura em Informática de Gestão. 21 de Abril - Auditório 
Nobre. Universidade do Minho Guimarães.
resumo da apresentação [ gif (57 KB) ]")</f>
        <v>Gouveia, L. (2005). *Sociedade da Informação: a quanto obrigas!* 12a 
Jornadas Licenciatura em Informática de Gestão. 21 de Abril - Auditório 
Nobre. Universidade do Minho Guimarães.
resumo da apresentação [ gif (57 KB) ]</v>
      </c>
      <c r="C506" s="2">
        <f t="shared" ca="1" si="31"/>
        <v>13</v>
      </c>
      <c r="D506" t="str">
        <f t="shared" ca="1" si="60"/>
        <v xml:space="preserve">Gouveia, L. </v>
      </c>
      <c r="E506" t="str">
        <f t="shared" ca="1" si="55"/>
        <v>2005</v>
      </c>
      <c r="F506" t="str">
        <f t="shared" ca="1" si="56"/>
        <v xml:space="preserve"> *Sociedade da Informação: a quanto obrigas!* 12a 
Jornadas Licenciatura em Informática de Gestão. </v>
      </c>
      <c r="G506" s="3">
        <f t="shared" ca="1" si="57"/>
        <v>18</v>
      </c>
      <c r="H506" s="2">
        <f t="shared" ca="1" si="58"/>
        <v>117</v>
      </c>
      <c r="I506" t="e">
        <f t="shared" ca="1" si="59"/>
        <v>#VALUE!</v>
      </c>
      <c r="J506" s="3" t="e">
        <f t="shared" ca="1" si="61"/>
        <v>#VALUE!</v>
      </c>
      <c r="K506" t="str">
        <f t="shared" ca="1" si="32"/>
        <v xml:space="preserve">Gouveia, L. </v>
      </c>
      <c r="L506" t="str">
        <f t="shared" ca="1" si="33"/>
        <v xml:space="preserve">Quental, C. </v>
      </c>
    </row>
    <row r="507" spans="1:12" ht="15.75" customHeight="1">
      <c r="A507">
        <f ca="1">IFERROR(__xludf.DUMMYFUNCTION("""COMPUTED_VALUE"""),39)</f>
        <v>39</v>
      </c>
      <c r="B507" t="str">
        <f ca="1">IFERROR(__xludf.DUMMYFUNCTION("""COMPUTED_VALUE"""),"Gouveia, L. (2005).  *Cidades e Regiões Digitais*. Seminário no âmbito do 
Curso de Alta Direcção da Administração Pública do INA. Parque Tecnológico 
da Maia, 4 de Janeiro de 2005
apresentações [ pdf (655KB) e pdf (2540KB) ]")</f>
        <v>Gouveia, L. (2005).  *Cidades e Regiões Digitais*. Seminário no âmbito do 
Curso de Alta Direcção da Administração Pública do INA. Parque Tecnológico 
da Maia, 4 de Janeiro de 2005
apresentações [ pdf (655KB) e pdf (2540KB) ]</v>
      </c>
      <c r="C507" s="2">
        <f t="shared" ca="1" si="31"/>
        <v>13</v>
      </c>
      <c r="D507" t="str">
        <f t="shared" ca="1" si="60"/>
        <v xml:space="preserve">Gouveia, L. </v>
      </c>
      <c r="E507" t="str">
        <f t="shared" ca="1" si="55"/>
        <v>2005</v>
      </c>
      <c r="F507" t="str">
        <f t="shared" ca="1" si="56"/>
        <v xml:space="preserve">  *Cidades e Regiões Digitais*. </v>
      </c>
      <c r="G507" s="3">
        <f t="shared" ca="1" si="57"/>
        <v>18</v>
      </c>
      <c r="H507" s="2">
        <f t="shared" ca="1" si="58"/>
        <v>50</v>
      </c>
      <c r="I507" t="e">
        <f t="shared" ca="1" si="59"/>
        <v>#VALUE!</v>
      </c>
      <c r="J507" s="3" t="e">
        <f t="shared" ca="1" si="61"/>
        <v>#VALUE!</v>
      </c>
      <c r="K507" t="str">
        <f t="shared" ca="1" si="32"/>
        <v xml:space="preserve">Gouveia, L. </v>
      </c>
      <c r="L507" t="str">
        <f t="shared" ca="1" si="33"/>
        <v xml:space="preserve">Quental, C. </v>
      </c>
    </row>
    <row r="508" spans="1:12" ht="15.75" customHeight="1">
      <c r="A508">
        <f ca="1">IFERROR(__xludf.DUMMYFUNCTION("""COMPUTED_VALUE"""),38)</f>
        <v>38</v>
      </c>
      <c r="B508" t="str">
        <f ca="1">IFERROR(__xludf.DUMMYFUNCTION("""COMPUTED_VALUE"""),"Gouveia, L. (2004). O digital, a logística e o território. Curso Logística 
e Gestão Industrial. Programa Aveiro Norte. Universidade de Aveiro. Sala do 
Senado da Reitoria, 16 de Outubro.
apresentação [ pdf (117KB)]")</f>
        <v>Gouveia, L. (2004). O digital, a logística e o território. Curso Logística 
e Gestão Industrial. Programa Aveiro Norte. Universidade de Aveiro. Sala do 
Senado da Reitoria, 16 de Outubro.
apresentação [ pdf (117KB)]</v>
      </c>
      <c r="C508" s="2">
        <f t="shared" ca="1" si="31"/>
        <v>13</v>
      </c>
      <c r="D508" t="str">
        <f t="shared" ca="1" si="60"/>
        <v xml:space="preserve">Gouveia, L. </v>
      </c>
      <c r="E508" t="str">
        <f t="shared" ca="1" si="55"/>
        <v>2004</v>
      </c>
      <c r="F508" t="str">
        <f t="shared" ca="1" si="56"/>
        <v xml:space="preserve"> O digital, a logística e o território. </v>
      </c>
      <c r="G508" s="3">
        <f t="shared" ca="1" si="57"/>
        <v>18</v>
      </c>
      <c r="H508" s="2">
        <f t="shared" ca="1" si="58"/>
        <v>58</v>
      </c>
      <c r="I508" t="e">
        <f t="shared" ca="1" si="59"/>
        <v>#VALUE!</v>
      </c>
      <c r="J508" s="3" t="e">
        <f t="shared" ca="1" si="61"/>
        <v>#VALUE!</v>
      </c>
      <c r="K508" t="str">
        <f t="shared" ca="1" si="32"/>
        <v xml:space="preserve">Gouveia, L. </v>
      </c>
      <c r="L508" t="str">
        <f t="shared" ca="1" si="33"/>
        <v xml:space="preserve">Quental, C. </v>
      </c>
    </row>
    <row r="509" spans="1:12" ht="15.75" customHeight="1">
      <c r="A509">
        <f ca="1">IFERROR(__xludf.DUMMYFUNCTION("""COMPUTED_VALUE"""),37)</f>
        <v>37</v>
      </c>
      <c r="B509" t="str">
        <f ca="1">IFERROR(__xludf.DUMMYFUNCTION("""COMPUTED_VALUE"""),"Gouveia, L. (2004). *O Gaia Global e o serviço ao munícip*e. Interface, 
Jornadas Administração Local. Algébrica. Braga, 7 de Outubro.
apresentação [ pdf (1,32MB)]")</f>
        <v>Gouveia, L. (2004). *O Gaia Global e o serviço ao munícip*e. Interface, 
Jornadas Administração Local. Algébrica. Braga, 7 de Outubro.
apresentação [ pdf (1,32MB)]</v>
      </c>
      <c r="C509" s="2">
        <f t="shared" ca="1" si="31"/>
        <v>13</v>
      </c>
      <c r="D509" t="str">
        <f t="shared" ca="1" si="60"/>
        <v xml:space="preserve">Gouveia, L. </v>
      </c>
      <c r="E509" t="str">
        <f t="shared" ca="1" si="55"/>
        <v>2004</v>
      </c>
      <c r="F509" t="str">
        <f t="shared" ca="1" si="56"/>
        <v xml:space="preserve"> *O Gaia Global e o serviço ao munícip*e. </v>
      </c>
      <c r="G509" s="3">
        <f t="shared" ca="1" si="57"/>
        <v>18</v>
      </c>
      <c r="H509" s="2">
        <f t="shared" ca="1" si="58"/>
        <v>60</v>
      </c>
      <c r="I509" t="e">
        <f t="shared" ca="1" si="59"/>
        <v>#VALUE!</v>
      </c>
      <c r="J509" s="3" t="e">
        <f t="shared" ca="1" si="61"/>
        <v>#VALUE!</v>
      </c>
      <c r="K509" t="str">
        <f t="shared" ca="1" si="32"/>
        <v xml:space="preserve">Gouveia, L. </v>
      </c>
      <c r="L509" t="str">
        <f t="shared" ca="1" si="33"/>
        <v xml:space="preserve">Quental, C. </v>
      </c>
    </row>
    <row r="510" spans="1:12" ht="15.75" customHeight="1">
      <c r="A510">
        <f ca="1">IFERROR(__xludf.DUMMYFUNCTION("""COMPUTED_VALUE"""),36)</f>
        <v>36</v>
      </c>
      <c r="B510" t="str">
        <f ca="1">IFERROR(__xludf.DUMMYFUNCTION("""COMPUTED_VALUE"""),"Gouveia, L. (2004). O Projecto Gaia Global como integrador de serviços da 
autarquia. Seminário Indústria das Comunicações: dos Fornecedores aos 
Utilizadores. APDC - Associação Portuguesa para o Desenvolvimento das 
Telecomunicações.  6 de Maio. Porto.")</f>
        <v>Gouveia, L. (2004). O Projecto Gaia Global como integrador de serviços da 
autarquia. Seminário Indústria das Comunicações: dos Fornecedores aos 
Utilizadores. APDC - Associação Portuguesa para o Desenvolvimento das 
Telecomunicações.  6 de Maio. Porto.</v>
      </c>
      <c r="C510" s="2">
        <f t="shared" ca="1" si="31"/>
        <v>13</v>
      </c>
      <c r="D510" t="str">
        <f t="shared" ca="1" si="60"/>
        <v xml:space="preserve">Gouveia, L. </v>
      </c>
      <c r="E510" t="str">
        <f t="shared" ca="1" si="55"/>
        <v>2004</v>
      </c>
      <c r="F510" t="str">
        <f t="shared" ca="1" si="56"/>
        <v xml:space="preserve"> O Projecto Gaia Global como integrador de serviços da 
autarquia. </v>
      </c>
      <c r="G510" s="3">
        <f t="shared" ca="1" si="57"/>
        <v>18</v>
      </c>
      <c r="H510" s="2">
        <f t="shared" ca="1" si="58"/>
        <v>85</v>
      </c>
      <c r="I510" t="e">
        <f t="shared" ca="1" si="59"/>
        <v>#VALUE!</v>
      </c>
      <c r="J510" s="3" t="e">
        <f t="shared" ca="1" si="61"/>
        <v>#VALUE!</v>
      </c>
      <c r="K510" t="str">
        <f t="shared" ca="1" si="32"/>
        <v xml:space="preserve">Gouveia, L. </v>
      </c>
      <c r="L510" t="str">
        <f t="shared" ca="1" si="33"/>
        <v xml:space="preserve">Quental, C. </v>
      </c>
    </row>
    <row r="511" spans="1:12" ht="15.75" customHeight="1">
      <c r="A511">
        <f ca="1">IFERROR(__xludf.DUMMYFUNCTION("""COMPUTED_VALUE"""),35)</f>
        <v>35</v>
      </c>
      <c r="B511" t="str">
        <f ca="1">IFERROR(__xludf.DUMMYFUNCTION("""COMPUTED_VALUE"""),"Gouveia, L. (2003). O projecto Gaia Global. Evento de apresentação do 
projecto Viseu Digital. Lusitânia - ADR.  Viseu, 19 de Dezembro.")</f>
        <v>Gouveia, L. (2003). O projecto Gaia Global. Evento de apresentação do 
projecto Viseu Digital. Lusitânia - ADR.  Viseu, 19 de Dezembro.</v>
      </c>
      <c r="C511" s="2">
        <f t="shared" ca="1" si="31"/>
        <v>13</v>
      </c>
      <c r="D511" t="str">
        <f t="shared" ca="1" si="60"/>
        <v xml:space="preserve">Gouveia, L. </v>
      </c>
      <c r="E511" t="str">
        <f t="shared" ca="1" si="55"/>
        <v>2003</v>
      </c>
      <c r="F511" t="str">
        <f t="shared" ca="1" si="56"/>
        <v xml:space="preserve"> O projecto Gaia Global. </v>
      </c>
      <c r="G511" s="3">
        <f t="shared" ca="1" si="57"/>
        <v>18</v>
      </c>
      <c r="H511" s="2">
        <f t="shared" ca="1" si="58"/>
        <v>43</v>
      </c>
      <c r="I511" t="e">
        <f t="shared" ca="1" si="59"/>
        <v>#VALUE!</v>
      </c>
      <c r="J511" s="3" t="e">
        <f t="shared" ca="1" si="61"/>
        <v>#VALUE!</v>
      </c>
      <c r="K511" t="str">
        <f t="shared" ca="1" si="32"/>
        <v xml:space="preserve">Gouveia, L. </v>
      </c>
      <c r="L511" t="str">
        <f t="shared" ca="1" si="33"/>
        <v xml:space="preserve">Quental, C. </v>
      </c>
    </row>
    <row r="512" spans="1:12" ht="15.75" customHeight="1">
      <c r="A512">
        <f ca="1">IFERROR(__xludf.DUMMYFUNCTION("""COMPUTED_VALUE"""),34)</f>
        <v>34</v>
      </c>
      <c r="B512" t="str">
        <f ca="1">IFERROR(__xludf.DUMMYFUNCTION("""COMPUTED_VALUE"""),"Gouveia, L. (2003). Gaia Global. Sharing Leadership, 9ª Reunião de 
Utilizadores Quatro 2003. Palácio Sotto Maior. Figueira da Foz. 9 de 
Outubro.")</f>
        <v>Gouveia, L. (2003). Gaia Global. Sharing Leadership, 9ª Reunião de 
Utilizadores Quatro 2003. Palácio Sotto Maior. Figueira da Foz. 9 de 
Outubro.</v>
      </c>
      <c r="C512" s="2">
        <f t="shared" ca="1" si="31"/>
        <v>13</v>
      </c>
      <c r="D512" t="str">
        <f t="shared" ca="1" si="60"/>
        <v xml:space="preserve">Gouveia, L. </v>
      </c>
      <c r="E512" t="str">
        <f t="shared" ca="1" si="55"/>
        <v>2003</v>
      </c>
      <c r="F512" t="str">
        <f t="shared" ca="1" si="56"/>
        <v xml:space="preserve"> Gaia Global. </v>
      </c>
      <c r="G512" s="3">
        <f t="shared" ca="1" si="57"/>
        <v>18</v>
      </c>
      <c r="H512" s="2">
        <f t="shared" ca="1" si="58"/>
        <v>32</v>
      </c>
      <c r="I512" t="e">
        <f t="shared" ca="1" si="59"/>
        <v>#VALUE!</v>
      </c>
      <c r="J512" s="3" t="e">
        <f t="shared" ca="1" si="61"/>
        <v>#VALUE!</v>
      </c>
      <c r="K512" t="str">
        <f t="shared" ca="1" si="32"/>
        <v xml:space="preserve">Gouveia, L. </v>
      </c>
      <c r="L512" t="str">
        <f t="shared" ca="1" si="33"/>
        <v xml:space="preserve">Quental, C. </v>
      </c>
    </row>
    <row r="513" spans="1:12" ht="15.75" customHeight="1">
      <c r="A513">
        <f ca="1">IFERROR(__xludf.DUMMYFUNCTION("""COMPUTED_VALUE"""),33)</f>
        <v>33</v>
      </c>
      <c r="B513" t="str">
        <f ca="1">IFERROR(__xludf.DUMMYFUNCTION("""COMPUTED_VALUE"""),"Gouveia, L. (2003). e-munícipe: Gaia Global. Cidades e Regiões Digitais: O 
Essencial. Fórum Administração Pública Local. Auditório da Reitoria da 
Universidade de Aveiro. 2 de Outubro.")</f>
        <v>Gouveia, L. (2003). e-munícipe: Gaia Global. Cidades e Regiões Digitais: O 
Essencial. Fórum Administração Pública Local. Auditório da Reitoria da 
Universidade de Aveiro. 2 de Outubro.</v>
      </c>
      <c r="C513" s="2">
        <f t="shared" ref="C513:C661" ca="1" si="62">FIND("(",B513)</f>
        <v>13</v>
      </c>
      <c r="D513" t="str">
        <f t="shared" ca="1" si="60"/>
        <v xml:space="preserve">Gouveia, L. </v>
      </c>
      <c r="E513" t="str">
        <f t="shared" ca="1" si="55"/>
        <v>2003</v>
      </c>
      <c r="F513" t="str">
        <f t="shared" ca="1" si="56"/>
        <v xml:space="preserve"> e-munícipe: Gaia Global. </v>
      </c>
      <c r="G513" s="3">
        <f t="shared" ca="1" si="57"/>
        <v>18</v>
      </c>
      <c r="H513" s="2">
        <f t="shared" ca="1" si="58"/>
        <v>44</v>
      </c>
      <c r="I513" t="e">
        <f t="shared" ca="1" si="59"/>
        <v>#VALUE!</v>
      </c>
      <c r="J513" s="3" t="e">
        <f t="shared" ca="1" si="61"/>
        <v>#VALUE!</v>
      </c>
      <c r="K513" t="str">
        <f t="shared" ref="K513:K660" ca="1" si="63">SUBSTITUTE(D513,"and",";")</f>
        <v xml:space="preserve">Gouveia, L. </v>
      </c>
      <c r="L513" t="str">
        <f t="shared" ref="L513:L660" ca="1" si="64">IFERROR(__xludf.DUMMYFUNCTION("SPLIT(K3,"";"")"),"Quental, C. ")</f>
        <v xml:space="preserve">Quental, C. </v>
      </c>
    </row>
    <row r="514" spans="1:12" ht="15.75" customHeight="1">
      <c r="A514">
        <f ca="1">IFERROR(__xludf.DUMMYFUNCTION("""COMPUTED_VALUE"""),32)</f>
        <v>32</v>
      </c>
      <c r="B514" t="str">
        <f ca="1">IFERROR(__xludf.DUMMYFUNCTION("""COMPUTED_VALUE"""),"Gouveia, L. (2003). Gaia Global: informação e serviços para o munícipe. *Lisf 
- Lisbon Information Society Forum*. FIL, Lisboa. 24 de Setembro.")</f>
        <v>Gouveia, L. (2003). Gaia Global: informação e serviços para o munícipe. *Lisf 
- Lisbon Information Society Forum*. FIL, Lisboa. 24 de Setembro.</v>
      </c>
      <c r="C514" s="2">
        <f t="shared" ca="1" si="62"/>
        <v>13</v>
      </c>
      <c r="D514" t="str">
        <f t="shared" ca="1" si="60"/>
        <v xml:space="preserve">Gouveia, L. </v>
      </c>
      <c r="E514" t="str">
        <f t="shared" ca="1" si="55"/>
        <v>2003</v>
      </c>
      <c r="F514" t="str">
        <f t="shared" ca="1" si="56"/>
        <v xml:space="preserve"> Gaia Global: informação e serviços para o munícipe. </v>
      </c>
      <c r="G514" s="3">
        <f t="shared" ca="1" si="57"/>
        <v>18</v>
      </c>
      <c r="H514" s="2">
        <f t="shared" ca="1" si="58"/>
        <v>71</v>
      </c>
      <c r="I514" t="e">
        <f t="shared" ca="1" si="59"/>
        <v>#VALUE!</v>
      </c>
      <c r="J514" s="3" t="e">
        <f t="shared" ca="1" si="61"/>
        <v>#VALUE!</v>
      </c>
      <c r="K514" t="str">
        <f t="shared" ca="1" si="63"/>
        <v xml:space="preserve">Gouveia, L. </v>
      </c>
      <c r="L514" t="str">
        <f t="shared" ca="1" si="64"/>
        <v xml:space="preserve">Quental, C. </v>
      </c>
    </row>
    <row r="515" spans="1:12" ht="15.75" customHeight="1">
      <c r="A515">
        <f ca="1">IFERROR(__xludf.DUMMYFUNCTION("""COMPUTED_VALUE"""),31)</f>
        <v>31</v>
      </c>
      <c r="B515" t="str">
        <f ca="1">IFERROR(__xludf.DUMMYFUNCTION("""COMPUTED_VALUE"""),"Gouveia, L. (2003). *Autarquias Digitais: promessas e desafios*. Internet – 
como democratizar o seu uso e as suas práticas, 26-28 de Junho. Câmara 
Municipal de Abrantes. 27 de Junho, Abrantes.
texto [ pdf (24KB)]")</f>
        <v>Gouveia, L. (2003). *Autarquias Digitais: promessas e desafios*. Internet – 
como democratizar o seu uso e as suas práticas, 26-28 de Junho. Câmara 
Municipal de Abrantes. 27 de Junho, Abrantes.
texto [ pdf (24KB)]</v>
      </c>
      <c r="C515" s="2">
        <f t="shared" ca="1" si="62"/>
        <v>13</v>
      </c>
      <c r="D515" t="str">
        <f t="shared" ca="1" si="60"/>
        <v xml:space="preserve">Gouveia, L. </v>
      </c>
      <c r="E515" t="str">
        <f t="shared" ref="E515:E578" ca="1" si="65">MID(B515,C515+1,4)</f>
        <v>2003</v>
      </c>
      <c r="F515" t="str">
        <f t="shared" ref="F515:F578" ca="1" si="66">MID(B515,G515+2,H515-G515)</f>
        <v xml:space="preserve"> *Autarquias Digitais: promessas e desafios*. </v>
      </c>
      <c r="G515" s="3">
        <f t="shared" ref="G515:G578" ca="1" si="67">FIND(").",B515)</f>
        <v>18</v>
      </c>
      <c r="H515" s="2">
        <f t="shared" ref="H515:H578" ca="1" si="68">FIND(".",B515,G515+2)</f>
        <v>64</v>
      </c>
      <c r="I515" t="e">
        <f t="shared" ref="I515:I578" ca="1" si="69">MID(B515,H515+2,J515-H515)</f>
        <v>#VALUE!</v>
      </c>
      <c r="J515" s="3" t="e">
        <f t="shared" ca="1" si="61"/>
        <v>#VALUE!</v>
      </c>
      <c r="K515" t="str">
        <f t="shared" ca="1" si="63"/>
        <v xml:space="preserve">Gouveia, L. </v>
      </c>
      <c r="L515" t="str">
        <f t="shared" ca="1" si="64"/>
        <v xml:space="preserve">Quental, C. </v>
      </c>
    </row>
    <row r="516" spans="1:12" ht="15.75" customHeight="1">
      <c r="A516">
        <f ca="1">IFERROR(__xludf.DUMMYFUNCTION("""COMPUTED_VALUE"""),30)</f>
        <v>30</v>
      </c>
      <c r="B516" t="str">
        <f ca="1">IFERROR(__xludf.DUMMYFUNCTION("""COMPUTED_VALUE"""),"Gouveia, L. (2003). E-learning: Oportunidades e Desafios para o Ensino 
Superior. Seminário O E-Learning em Contexto de Ensino Superior. 
Universidade Fernando Pessoa. 12 de Junho de 2003. Porto.
apresentação [ pdf(160KB)]")</f>
        <v>Gouveia, L. (2003). E-learning: Oportunidades e Desafios para o Ensino 
Superior. Seminário O E-Learning em Contexto de Ensino Superior. 
Universidade Fernando Pessoa. 12 de Junho de 2003. Porto.
apresentação [ pdf(160KB)]</v>
      </c>
      <c r="C516" s="2">
        <f t="shared" ca="1" si="62"/>
        <v>13</v>
      </c>
      <c r="D516" t="str">
        <f t="shared" ref="D516:D579" ca="1" si="70">LEFT(B516,FIND("(",B516)-1)</f>
        <v xml:space="preserve">Gouveia, L. </v>
      </c>
      <c r="E516" t="str">
        <f t="shared" ca="1" si="65"/>
        <v>2003</v>
      </c>
      <c r="F516" t="str">
        <f t="shared" ca="1" si="66"/>
        <v xml:space="preserve"> E-learning: Oportunidades e Desafios para o Ensino 
Superior. </v>
      </c>
      <c r="G516" s="3">
        <f t="shared" ca="1" si="67"/>
        <v>18</v>
      </c>
      <c r="H516" s="2">
        <f t="shared" ca="1" si="68"/>
        <v>81</v>
      </c>
      <c r="I516" t="e">
        <f t="shared" ca="1" si="69"/>
        <v>#VALUE!</v>
      </c>
      <c r="J516" s="3" t="e">
        <f t="shared" ref="J516:J579" ca="1" si="71">FIND(").",B516,H516+1)</f>
        <v>#VALUE!</v>
      </c>
      <c r="K516" t="str">
        <f t="shared" ca="1" si="63"/>
        <v xml:space="preserve">Gouveia, L. </v>
      </c>
      <c r="L516" t="str">
        <f t="shared" ca="1" si="64"/>
        <v xml:space="preserve">Quental, C. </v>
      </c>
    </row>
    <row r="517" spans="1:12" ht="15.75" customHeight="1">
      <c r="A517">
        <f ca="1">IFERROR(__xludf.DUMMYFUNCTION("""COMPUTED_VALUE"""),29)</f>
        <v>29</v>
      </c>
      <c r="B517" t="str">
        <f ca="1">IFERROR(__xludf.DUMMYFUNCTION("""COMPUTED_VALUE"""),"Gouveia, L. (2003). *Cidades e Regiões Digitais: questões e desafios no 
Digital**.* Apresentação no Workshop sobre Cidades e Regiões Digitais, 
Auditório da Universidade Fernando Pessoa. 6 de Junho de 2003. Porto.
apresentação [ pdf (650KB)]")</f>
        <v>Gouveia, L. (2003). *Cidades e Regiões Digitais: questões e desafios no 
Digital**.* Apresentação no Workshop sobre Cidades e Regiões Digitais, 
Auditório da Universidade Fernando Pessoa. 6 de Junho de 2003. Porto.
apresentação [ pdf (650KB)]</v>
      </c>
      <c r="C517" s="2">
        <f t="shared" ca="1" si="62"/>
        <v>13</v>
      </c>
      <c r="D517" t="str">
        <f t="shared" ca="1" si="70"/>
        <v xml:space="preserve">Gouveia, L. </v>
      </c>
      <c r="E517" t="str">
        <f t="shared" ca="1" si="65"/>
        <v>2003</v>
      </c>
      <c r="F517" t="str">
        <f t="shared" ca="1" si="66"/>
        <v xml:space="preserve"> *Cidades e Regiões Digitais: questões e desafios no 
Digital**.*</v>
      </c>
      <c r="G517" s="3">
        <f t="shared" ca="1" si="67"/>
        <v>18</v>
      </c>
      <c r="H517" s="2">
        <f t="shared" ca="1" si="68"/>
        <v>83</v>
      </c>
      <c r="I517" t="e">
        <f t="shared" ca="1" si="69"/>
        <v>#VALUE!</v>
      </c>
      <c r="J517" s="3" t="e">
        <f t="shared" ca="1" si="71"/>
        <v>#VALUE!</v>
      </c>
      <c r="K517" t="str">
        <f t="shared" ca="1" si="63"/>
        <v xml:space="preserve">Gouveia, L. </v>
      </c>
      <c r="L517" t="str">
        <f t="shared" ca="1" si="64"/>
        <v xml:space="preserve">Quental, C. </v>
      </c>
    </row>
    <row r="518" spans="1:12" ht="15.75" customHeight="1">
      <c r="A518">
        <f ca="1">IFERROR(__xludf.DUMMYFUNCTION("""COMPUTED_VALUE"""),28)</f>
        <v>28</v>
      </c>
      <c r="B518" t="str">
        <f ca="1">IFERROR(__xludf.DUMMYFUNCTION("""COMPUTED_VALUE"""),"Gouveia, L. (2003). *As cidades digitais e o Gaia Global: o método NVAT.* DEGEI 
- Universidade de Aveiro. 23 de Maio de 2003. Aveiro.")</f>
        <v>Gouveia, L. (2003). *As cidades digitais e o Gaia Global: o método NVAT.* DEGEI 
- Universidade de Aveiro. 23 de Maio de 2003. Aveiro.</v>
      </c>
      <c r="C518" s="2">
        <f t="shared" ca="1" si="62"/>
        <v>13</v>
      </c>
      <c r="D518" t="str">
        <f t="shared" ca="1" si="70"/>
        <v xml:space="preserve">Gouveia, L. </v>
      </c>
      <c r="E518" t="str">
        <f t="shared" ca="1" si="65"/>
        <v>2003</v>
      </c>
      <c r="F518" t="str">
        <f t="shared" ca="1" si="66"/>
        <v xml:space="preserve"> *As cidades digitais e o Gaia Global: o método NVAT.*</v>
      </c>
      <c r="G518" s="3">
        <f t="shared" ca="1" si="67"/>
        <v>18</v>
      </c>
      <c r="H518" s="2">
        <f t="shared" ca="1" si="68"/>
        <v>72</v>
      </c>
      <c r="I518" t="e">
        <f t="shared" ca="1" si="69"/>
        <v>#VALUE!</v>
      </c>
      <c r="J518" s="3" t="e">
        <f t="shared" ca="1" si="71"/>
        <v>#VALUE!</v>
      </c>
      <c r="K518" t="str">
        <f t="shared" ca="1" si="63"/>
        <v xml:space="preserve">Gouveia, L. </v>
      </c>
      <c r="L518" t="str">
        <f t="shared" ca="1" si="64"/>
        <v xml:space="preserve">Quental, C. </v>
      </c>
    </row>
    <row r="519" spans="1:12" ht="15.75" customHeight="1">
      <c r="A519">
        <f ca="1">IFERROR(__xludf.DUMMYFUNCTION("""COMPUTED_VALUE"""),27)</f>
        <v>27</v>
      </c>
      <c r="B519" t="str">
        <f ca="1">IFERROR(__xludf.DUMMYFUNCTION("""COMPUTED_VALUE"""),"Gouveia, L. (2003). *As cidades digitais e o Gaia Global**.* Apresentação 
no IPCA - Instituto Superior do Câvado e Ave. 16 de Maio de 2003. Barcelos.")</f>
        <v>Gouveia, L. (2003). *As cidades digitais e o Gaia Global**.* Apresentação 
no IPCA - Instituto Superior do Câvado e Ave. 16 de Maio de 2003. Barcelos.</v>
      </c>
      <c r="C519" s="2">
        <f t="shared" ca="1" si="62"/>
        <v>13</v>
      </c>
      <c r="D519" t="str">
        <f t="shared" ca="1" si="70"/>
        <v xml:space="preserve">Gouveia, L. </v>
      </c>
      <c r="E519" t="str">
        <f t="shared" ca="1" si="65"/>
        <v>2003</v>
      </c>
      <c r="F519" t="str">
        <f t="shared" ca="1" si="66"/>
        <v xml:space="preserve"> *As cidades digitais e o Gaia Global**.*</v>
      </c>
      <c r="G519" s="3">
        <f t="shared" ca="1" si="67"/>
        <v>18</v>
      </c>
      <c r="H519" s="2">
        <f t="shared" ca="1" si="68"/>
        <v>59</v>
      </c>
      <c r="I519" t="e">
        <f t="shared" ca="1" si="69"/>
        <v>#VALUE!</v>
      </c>
      <c r="J519" s="3" t="e">
        <f t="shared" ca="1" si="71"/>
        <v>#VALUE!</v>
      </c>
      <c r="K519" t="str">
        <f t="shared" ca="1" si="63"/>
        <v xml:space="preserve">Gouveia, L. </v>
      </c>
      <c r="L519" t="str">
        <f t="shared" ca="1" si="64"/>
        <v xml:space="preserve">Quental, C. </v>
      </c>
    </row>
    <row r="520" spans="1:12" ht="15.75" customHeight="1">
      <c r="A520">
        <f ca="1">IFERROR(__xludf.DUMMYFUNCTION("""COMPUTED_VALUE"""),26)</f>
        <v>26</v>
      </c>
      <c r="B520" t="str">
        <f ca="1">IFERROR(__xludf.DUMMYFUNCTION("""COMPUTED_VALUE"""),"Gouveia, L. (2003). *O Gaia Global: conceitos e diferenciação**.* 4ª 
Reunião das Cidades e Regiões Digitais. 14 de Maio de 2003. Salão Nobre da 
Câmara Municipal de Gaia. Gaia.
apresentação [ pdf (972KB)]")</f>
        <v>Gouveia, L. (2003). *O Gaia Global: conceitos e diferenciação**.* 4ª 
Reunião das Cidades e Regiões Digitais. 14 de Maio de 2003. Salão Nobre da 
Câmara Municipal de Gaia. Gaia.
apresentação [ pdf (972KB)]</v>
      </c>
      <c r="C520" s="2">
        <f t="shared" ca="1" si="62"/>
        <v>13</v>
      </c>
      <c r="D520" t="str">
        <f t="shared" ca="1" si="70"/>
        <v xml:space="preserve">Gouveia, L. </v>
      </c>
      <c r="E520" t="str">
        <f t="shared" ca="1" si="65"/>
        <v>2003</v>
      </c>
      <c r="F520" t="str">
        <f t="shared" ca="1" si="66"/>
        <v xml:space="preserve"> *O Gaia Global: conceitos e diferenciação**.*</v>
      </c>
      <c r="G520" s="3">
        <f t="shared" ca="1" si="67"/>
        <v>18</v>
      </c>
      <c r="H520" s="2">
        <f t="shared" ca="1" si="68"/>
        <v>64</v>
      </c>
      <c r="I520" t="e">
        <f t="shared" ca="1" si="69"/>
        <v>#VALUE!</v>
      </c>
      <c r="J520" s="3" t="e">
        <f t="shared" ca="1" si="71"/>
        <v>#VALUE!</v>
      </c>
      <c r="K520" t="str">
        <f t="shared" ca="1" si="63"/>
        <v xml:space="preserve">Gouveia, L. </v>
      </c>
      <c r="L520" t="str">
        <f t="shared" ca="1" si="64"/>
        <v xml:space="preserve">Quental, C. </v>
      </c>
    </row>
    <row r="521" spans="1:12" ht="15.75" customHeight="1">
      <c r="A521">
        <f ca="1">IFERROR(__xludf.DUMMYFUNCTION("""COMPUTED_VALUE"""),25)</f>
        <v>25</v>
      </c>
      <c r="B521" t="str">
        <f ca="1">IFERROR(__xludf.DUMMYFUNCTION("""COMPUTED_VALUE"""),"Gouveia, L. (2003). *Gaia Digital, Ligar o real com o virtual.* Cidades e 
Regiões Digitais - 1º Encontro Nacional 2003. 14 de Março de 2003, 
Auditório Municipal de Mirandela.
apresentação [ pdf (396KB)]")</f>
        <v>Gouveia, L. (2003). *Gaia Digital, Ligar o real com o virtual.* Cidades e 
Regiões Digitais - 1º Encontro Nacional 2003. 14 de Março de 2003, 
Auditório Municipal de Mirandela.
apresentação [ pdf (396KB)]</v>
      </c>
      <c r="C521" s="2">
        <f t="shared" ca="1" si="62"/>
        <v>13</v>
      </c>
      <c r="D521" t="str">
        <f t="shared" ca="1" si="70"/>
        <v xml:space="preserve">Gouveia, L. </v>
      </c>
      <c r="E521" t="str">
        <f t="shared" ca="1" si="65"/>
        <v>2003</v>
      </c>
      <c r="F521" t="str">
        <f t="shared" ca="1" si="66"/>
        <v xml:space="preserve"> *Gaia Digital, Ligar o real com o virtual.*</v>
      </c>
      <c r="G521" s="3">
        <f t="shared" ca="1" si="67"/>
        <v>18</v>
      </c>
      <c r="H521" s="2">
        <f t="shared" ca="1" si="68"/>
        <v>62</v>
      </c>
      <c r="I521" t="e">
        <f t="shared" ca="1" si="69"/>
        <v>#VALUE!</v>
      </c>
      <c r="J521" s="3" t="e">
        <f t="shared" ca="1" si="71"/>
        <v>#VALUE!</v>
      </c>
      <c r="K521" t="str">
        <f t="shared" ca="1" si="63"/>
        <v xml:space="preserve">Gouveia, L. </v>
      </c>
      <c r="L521" t="str">
        <f t="shared" ca="1" si="64"/>
        <v xml:space="preserve">Quental, C. </v>
      </c>
    </row>
    <row r="522" spans="1:12" ht="15.75" customHeight="1">
      <c r="A522">
        <f ca="1">IFERROR(__xludf.DUMMYFUNCTION("""COMPUTED_VALUE"""),24)</f>
        <v>24</v>
      </c>
      <c r="B522" t="str">
        <f ca="1">IFERROR(__xludf.DUMMYFUNCTION("""COMPUTED_VALUE"""),"Gouveia, L. (2003). *Cidades Digitais: o caso do Gaia Digital.* Ciclo de 
Palestras da  Área da Informática 2002/03. Palestra nº 2. 11 de Março de 
2003. Salão Nobre. Universidade Fernando Pessoa.
apresentação [ pdf (892KB)]")</f>
        <v>Gouveia, L. (2003). *Cidades Digitais: o caso do Gaia Digital.* Ciclo de 
Palestras da  Área da Informática 2002/03. Palestra nº 2. 11 de Março de 
2003. Salão Nobre. Universidade Fernando Pessoa.
apresentação [ pdf (892KB)]</v>
      </c>
      <c r="C522" s="2">
        <f t="shared" ca="1" si="62"/>
        <v>13</v>
      </c>
      <c r="D522" t="str">
        <f t="shared" ca="1" si="70"/>
        <v xml:space="preserve">Gouveia, L. </v>
      </c>
      <c r="E522" t="str">
        <f t="shared" ca="1" si="65"/>
        <v>2003</v>
      </c>
      <c r="F522" t="str">
        <f t="shared" ca="1" si="66"/>
        <v xml:space="preserve"> *Cidades Digitais: o caso do Gaia Digital.*</v>
      </c>
      <c r="G522" s="3">
        <f t="shared" ca="1" si="67"/>
        <v>18</v>
      </c>
      <c r="H522" s="2">
        <f t="shared" ca="1" si="68"/>
        <v>62</v>
      </c>
      <c r="I522" t="e">
        <f t="shared" ca="1" si="69"/>
        <v>#VALUE!</v>
      </c>
      <c r="J522" s="3" t="e">
        <f t="shared" ca="1" si="71"/>
        <v>#VALUE!</v>
      </c>
      <c r="K522" t="str">
        <f t="shared" ca="1" si="63"/>
        <v xml:space="preserve">Gouveia, L. </v>
      </c>
      <c r="L522" t="str">
        <f t="shared" ca="1" si="64"/>
        <v xml:space="preserve">Quental, C. </v>
      </c>
    </row>
    <row r="523" spans="1:12" ht="15.75" customHeight="1">
      <c r="A523">
        <f ca="1">IFERROR(__xludf.DUMMYFUNCTION("""COMPUTED_VALUE"""),23)</f>
        <v>23</v>
      </c>
      <c r="B523" t="str">
        <f ca="1">IFERROR(__xludf.DUMMYFUNCTION("""COMPUTED_VALUE"""),"Gouveia, L. (2003). *Do Gaia Digital ao Gaia Global*. 1º Encontro de 
Garagem. Gaia Global. 22 de Fevereiro. Energaia, Gaia.")</f>
        <v>Gouveia, L. (2003). *Do Gaia Digital ao Gaia Global*. 1º Encontro de 
Garagem. Gaia Global. 22 de Fevereiro. Energaia, Gaia.</v>
      </c>
      <c r="C523" s="2">
        <f t="shared" ca="1" si="62"/>
        <v>13</v>
      </c>
      <c r="D523" t="str">
        <f t="shared" ca="1" si="70"/>
        <v xml:space="preserve">Gouveia, L. </v>
      </c>
      <c r="E523" t="str">
        <f t="shared" ca="1" si="65"/>
        <v>2003</v>
      </c>
      <c r="F523" t="str">
        <f t="shared" ca="1" si="66"/>
        <v xml:space="preserve"> *Do Gaia Digital ao Gaia Global*. </v>
      </c>
      <c r="G523" s="3">
        <f t="shared" ca="1" si="67"/>
        <v>18</v>
      </c>
      <c r="H523" s="2">
        <f t="shared" ca="1" si="68"/>
        <v>53</v>
      </c>
      <c r="I523" t="e">
        <f t="shared" ca="1" si="69"/>
        <v>#VALUE!</v>
      </c>
      <c r="J523" s="3" t="e">
        <f t="shared" ca="1" si="71"/>
        <v>#VALUE!</v>
      </c>
      <c r="K523" t="str">
        <f t="shared" ca="1" si="63"/>
        <v xml:space="preserve">Gouveia, L. </v>
      </c>
      <c r="L523" t="str">
        <f t="shared" ca="1" si="64"/>
        <v xml:space="preserve">Quental, C. </v>
      </c>
    </row>
    <row r="524" spans="1:12" ht="15.75" customHeight="1">
      <c r="A524">
        <f ca="1">IFERROR(__xludf.DUMMYFUNCTION("""COMPUTED_VALUE"""),22)</f>
        <v>22</v>
      </c>
      <c r="B524" t="str">
        <f ca="1">IFERROR(__xludf.DUMMYFUNCTION("""COMPUTED_VALUE"""),"Gouveia, L. (2002). *Projecto Gaia Digital, do modelo ao método de trabalho*. 
30 de Julho de 2002. IDIT, Europarque, Vila da Feira.")</f>
        <v>Gouveia, L. (2002). *Projecto Gaia Digital, do modelo ao método de trabalho*. 
30 de Julho de 2002. IDIT, Europarque, Vila da Feira.</v>
      </c>
      <c r="C524" s="2">
        <f t="shared" ca="1" si="62"/>
        <v>13</v>
      </c>
      <c r="D524" t="str">
        <f t="shared" ca="1" si="70"/>
        <v xml:space="preserve">Gouveia, L. </v>
      </c>
      <c r="E524" t="str">
        <f t="shared" ca="1" si="65"/>
        <v>2002</v>
      </c>
      <c r="F524" t="str">
        <f t="shared" ca="1" si="66"/>
        <v xml:space="preserve"> *Projecto Gaia Digital, do modelo ao método de trabalho*. </v>
      </c>
      <c r="G524" s="3">
        <f t="shared" ca="1" si="67"/>
        <v>18</v>
      </c>
      <c r="H524" s="2">
        <f t="shared" ca="1" si="68"/>
        <v>77</v>
      </c>
      <c r="I524" t="e">
        <f t="shared" ca="1" si="69"/>
        <v>#VALUE!</v>
      </c>
      <c r="J524" s="3" t="e">
        <f t="shared" ca="1" si="71"/>
        <v>#VALUE!</v>
      </c>
      <c r="K524" t="str">
        <f t="shared" ca="1" si="63"/>
        <v xml:space="preserve">Gouveia, L. </v>
      </c>
      <c r="L524" t="str">
        <f t="shared" ca="1" si="64"/>
        <v xml:space="preserve">Quental, C. </v>
      </c>
    </row>
    <row r="525" spans="1:12" ht="15.75" customHeight="1">
      <c r="A525">
        <f ca="1">IFERROR(__xludf.DUMMYFUNCTION("""COMPUTED_VALUE"""),21)</f>
        <v>21</v>
      </c>
      <c r="B525" t="str">
        <f ca="1">IFERROR(__xludf.DUMMYFUNCTION("""COMPUTED_VALUE"""),"Gouveia, L. (2002). *Projecto Gaia Digital, o concelho de Gaia no espaço 
digital*. 26 de Julho de 2002. Jantar de entrega de diplomas de MBA do 
IESF. Valadares, Gaia.
resumo [ pdf (68KB)]")</f>
        <v>Gouveia, L. (2002). *Projecto Gaia Digital, o concelho de Gaia no espaço 
digital*. 26 de Julho de 2002. Jantar de entrega de diplomas de MBA do 
IESF. Valadares, Gaia.
resumo [ pdf (68KB)]</v>
      </c>
      <c r="C525" s="2">
        <f t="shared" ca="1" si="62"/>
        <v>13</v>
      </c>
      <c r="D525" t="str">
        <f t="shared" ca="1" si="70"/>
        <v xml:space="preserve">Gouveia, L. </v>
      </c>
      <c r="E525" t="str">
        <f t="shared" ca="1" si="65"/>
        <v>2002</v>
      </c>
      <c r="F525" t="str">
        <f t="shared" ca="1" si="66"/>
        <v xml:space="preserve"> *Projecto Gaia Digital, o concelho de Gaia no espaço 
digital*. </v>
      </c>
      <c r="G525" s="3">
        <f t="shared" ca="1" si="67"/>
        <v>18</v>
      </c>
      <c r="H525" s="2">
        <f t="shared" ca="1" si="68"/>
        <v>83</v>
      </c>
      <c r="I525" t="e">
        <f t="shared" ca="1" si="69"/>
        <v>#VALUE!</v>
      </c>
      <c r="J525" s="3" t="e">
        <f t="shared" ca="1" si="71"/>
        <v>#VALUE!</v>
      </c>
      <c r="K525" t="str">
        <f t="shared" ca="1" si="63"/>
        <v xml:space="preserve">Gouveia, L. </v>
      </c>
      <c r="L525" t="str">
        <f t="shared" ca="1" si="64"/>
        <v xml:space="preserve">Quental, C. </v>
      </c>
    </row>
    <row r="526" spans="1:12" ht="15.75" customHeight="1">
      <c r="A526">
        <f ca="1">IFERROR(__xludf.DUMMYFUNCTION("""COMPUTED_VALUE"""),20)</f>
        <v>20</v>
      </c>
      <c r="B526" t="str">
        <f ca="1">IFERROR(__xludf.DUMMYFUNCTION("""COMPUTED_VALUE"""),"Gouveia, L. (2002). *Gaia Digital: um cálice de ideias*. 5 de Julho de 
2002. Apresentação do Projecto Gaia Digital. IDIT, Europarque, Vila da 
Feira.")</f>
        <v>Gouveia, L. (2002). *Gaia Digital: um cálice de ideias*. 5 de Julho de 
2002. Apresentação do Projecto Gaia Digital. IDIT, Europarque, Vila da 
Feira.</v>
      </c>
      <c r="C526" s="2">
        <f t="shared" ca="1" si="62"/>
        <v>13</v>
      </c>
      <c r="D526" t="str">
        <f t="shared" ca="1" si="70"/>
        <v xml:space="preserve">Gouveia, L. </v>
      </c>
      <c r="E526" t="str">
        <f t="shared" ca="1" si="65"/>
        <v>2002</v>
      </c>
      <c r="F526" t="str">
        <f t="shared" ca="1" si="66"/>
        <v xml:space="preserve"> *Gaia Digital: um cálice de ideias*. </v>
      </c>
      <c r="G526" s="3">
        <f t="shared" ca="1" si="67"/>
        <v>18</v>
      </c>
      <c r="H526" s="2">
        <f t="shared" ca="1" si="68"/>
        <v>56</v>
      </c>
      <c r="I526" t="e">
        <f t="shared" ca="1" si="69"/>
        <v>#VALUE!</v>
      </c>
      <c r="J526" s="3" t="e">
        <f t="shared" ca="1" si="71"/>
        <v>#VALUE!</v>
      </c>
      <c r="K526" t="str">
        <f t="shared" ca="1" si="63"/>
        <v xml:space="preserve">Gouveia, L. </v>
      </c>
      <c r="L526" t="str">
        <f t="shared" ca="1" si="64"/>
        <v xml:space="preserve">Quental, C. </v>
      </c>
    </row>
    <row r="527" spans="1:12" ht="15.75" customHeight="1">
      <c r="A527">
        <f ca="1">IFERROR(__xludf.DUMMYFUNCTION("""COMPUTED_VALUE"""),19)</f>
        <v>19</v>
      </c>
      <c r="B527" t="str">
        <f ca="1">IFERROR(__xludf.DUMMYFUNCTION("""COMPUTED_VALUE"""),"Gouveia, L. (2002). *Sociedade da informação: desafios e oportunidades para 
as autarquias. A sociedade da informação e do conhecimento e o projecto 
Gaia Digital*. 18 de Junho de 2002. Auditório da Assembleia Municipal de 
Gaia, Gaia. Apresentação no âmb"&amp;"ito do Programa Foral.")</f>
        <v>Gouveia, L. (2002). *Sociedade da informação: desafios e oportunidades para 
as autarquias. A sociedade da informação e do conhecimento e o projecto 
Gaia Digital*. 18 de Junho de 2002. Auditório da Assembleia Municipal de 
Gaia, Gaia. Apresentação no âmbito do Programa Foral.</v>
      </c>
      <c r="C527" s="2">
        <f t="shared" ca="1" si="62"/>
        <v>13</v>
      </c>
      <c r="D527" t="str">
        <f t="shared" ca="1" si="70"/>
        <v xml:space="preserve">Gouveia, L. </v>
      </c>
      <c r="E527" t="str">
        <f t="shared" ca="1" si="65"/>
        <v>2002</v>
      </c>
      <c r="F527" t="str">
        <f t="shared" ca="1" si="66"/>
        <v xml:space="preserve"> *Sociedade da informação: desafios e oportunidades para 
as autarquias. </v>
      </c>
      <c r="G527" s="3">
        <f t="shared" ca="1" si="67"/>
        <v>18</v>
      </c>
      <c r="H527" s="2">
        <f t="shared" ca="1" si="68"/>
        <v>91</v>
      </c>
      <c r="I527" t="e">
        <f t="shared" ca="1" si="69"/>
        <v>#VALUE!</v>
      </c>
      <c r="J527" s="3" t="e">
        <f t="shared" ca="1" si="71"/>
        <v>#VALUE!</v>
      </c>
      <c r="K527" t="str">
        <f t="shared" ca="1" si="63"/>
        <v xml:space="preserve">Gouveia, L. </v>
      </c>
      <c r="L527" t="str">
        <f t="shared" ca="1" si="64"/>
        <v xml:space="preserve">Quental, C. </v>
      </c>
    </row>
    <row r="528" spans="1:12" ht="15.75" customHeight="1">
      <c r="A528">
        <f ca="1">IFERROR(__xludf.DUMMYFUNCTION("""COMPUTED_VALUE"""),18)</f>
        <v>18</v>
      </c>
      <c r="B528" t="str">
        <f ca="1">IFERROR(__xludf.DUMMYFUNCTION("""COMPUTED_VALUE"""),"Gouveia, L. (2002). *Ensinar a aprender, ensinar e aprender. Competências 
para a Sociedade da  Informação e do Conhecimento.* Seminário Interacto. 
Centro Multimeios de Espinho, Espinho, 9-10 de Maio. Apresentação 
convidada, 10 de Maio.")</f>
        <v>Gouveia, L. (2002). *Ensinar a aprender, ensinar e aprender. Competências 
para a Sociedade da  Informação e do Conhecimento.* Seminário Interacto. 
Centro Multimeios de Espinho, Espinho, 9-10 de Maio. Apresentação 
convidada, 10 de Maio.</v>
      </c>
      <c r="C528" s="2">
        <f t="shared" ca="1" si="62"/>
        <v>13</v>
      </c>
      <c r="D528" t="str">
        <f t="shared" ca="1" si="70"/>
        <v xml:space="preserve">Gouveia, L. </v>
      </c>
      <c r="E528" t="str">
        <f t="shared" ca="1" si="65"/>
        <v>2002</v>
      </c>
      <c r="F528" t="str">
        <f t="shared" ca="1" si="66"/>
        <v xml:space="preserve"> *Ensinar a aprender, ensinar e aprender. </v>
      </c>
      <c r="G528" s="3">
        <f t="shared" ca="1" si="67"/>
        <v>18</v>
      </c>
      <c r="H528" s="2">
        <f t="shared" ca="1" si="68"/>
        <v>60</v>
      </c>
      <c r="I528" t="e">
        <f t="shared" ca="1" si="69"/>
        <v>#VALUE!</v>
      </c>
      <c r="J528" s="3" t="e">
        <f t="shared" ca="1" si="71"/>
        <v>#VALUE!</v>
      </c>
      <c r="K528" t="str">
        <f t="shared" ca="1" si="63"/>
        <v xml:space="preserve">Gouveia, L. </v>
      </c>
      <c r="L528" t="str">
        <f t="shared" ca="1" si="64"/>
        <v xml:space="preserve">Quental, C. </v>
      </c>
    </row>
    <row r="529" spans="1:12" ht="15.75" customHeight="1">
      <c r="A529">
        <f ca="1">IFERROR(__xludf.DUMMYFUNCTION("""COMPUTED_VALUE"""),17)</f>
        <v>17</v>
      </c>
      <c r="B529" t="str">
        <f ca="1">IFERROR(__xludf.DUMMYFUNCTION("""COMPUTED_VALUE"""),"Gouveia, L. (2002). *Projecto Gaia Digital. O concelho de Gaia no Espaço 
Digital*. 9 de Janeiro de 2002. Parque Biológico, Gaia. Apresentação no 
âmbito do Programa Foral.")</f>
        <v>Gouveia, L. (2002). *Projecto Gaia Digital. O concelho de Gaia no Espaço 
Digital*. 9 de Janeiro de 2002. Parque Biológico, Gaia. Apresentação no 
âmbito do Programa Foral.</v>
      </c>
      <c r="C529" s="2">
        <f t="shared" ca="1" si="62"/>
        <v>13</v>
      </c>
      <c r="D529" t="str">
        <f t="shared" ca="1" si="70"/>
        <v xml:space="preserve">Gouveia, L. </v>
      </c>
      <c r="E529" t="str">
        <f t="shared" ca="1" si="65"/>
        <v>2002</v>
      </c>
      <c r="F529" t="str">
        <f t="shared" ca="1" si="66"/>
        <v xml:space="preserve"> *Projecto Gaia Digital. </v>
      </c>
      <c r="G529" s="3">
        <f t="shared" ca="1" si="67"/>
        <v>18</v>
      </c>
      <c r="H529" s="2">
        <f t="shared" ca="1" si="68"/>
        <v>43</v>
      </c>
      <c r="I529" t="e">
        <f t="shared" ca="1" si="69"/>
        <v>#VALUE!</v>
      </c>
      <c r="J529" s="3" t="e">
        <f t="shared" ca="1" si="71"/>
        <v>#VALUE!</v>
      </c>
      <c r="K529" t="str">
        <f t="shared" ca="1" si="63"/>
        <v xml:space="preserve">Gouveia, L. </v>
      </c>
      <c r="L529" t="str">
        <f t="shared" ca="1" si="64"/>
        <v xml:space="preserve">Quental, C. </v>
      </c>
    </row>
    <row r="530" spans="1:12" ht="15.75" customHeight="1">
      <c r="A530">
        <f ca="1">IFERROR(__xludf.DUMMYFUNCTION("""COMPUTED_VALUE"""),16)</f>
        <v>16</v>
      </c>
      <c r="B530" t="str">
        <f ca="1">IFERROR(__xludf.DUMMYFUNCTION("""COMPUTED_VALUE"""),"Gouveia, L. (2002). *Sociedade da informação: desafios e oportunidades para 
as autarquias. A sociedade da informação e do conhecimento e o projecto 
Gaia Digital*. 18 de Junho de 2002. Auditório da Assembleia Municipal de 
Gaia, Gaia. Apresentação no âmb"&amp;"ito do Programa Foral.")</f>
        <v>Gouveia, L. (2002). *Sociedade da informação: desafios e oportunidades para 
as autarquias. A sociedade da informação e do conhecimento e o projecto 
Gaia Digital*. 18 de Junho de 2002. Auditório da Assembleia Municipal de 
Gaia, Gaia. Apresentação no âmbito do Programa Foral.</v>
      </c>
      <c r="C530" s="2">
        <f t="shared" ca="1" si="62"/>
        <v>13</v>
      </c>
      <c r="D530" t="str">
        <f t="shared" ca="1" si="70"/>
        <v xml:space="preserve">Gouveia, L. </v>
      </c>
      <c r="E530" t="str">
        <f t="shared" ca="1" si="65"/>
        <v>2002</v>
      </c>
      <c r="F530" t="str">
        <f t="shared" ca="1" si="66"/>
        <v xml:space="preserve"> *Sociedade da informação: desafios e oportunidades para 
as autarquias. </v>
      </c>
      <c r="G530" s="3">
        <f t="shared" ca="1" si="67"/>
        <v>18</v>
      </c>
      <c r="H530" s="2">
        <f t="shared" ca="1" si="68"/>
        <v>91</v>
      </c>
      <c r="I530" t="e">
        <f t="shared" ca="1" si="69"/>
        <v>#VALUE!</v>
      </c>
      <c r="J530" s="3" t="e">
        <f t="shared" ca="1" si="71"/>
        <v>#VALUE!</v>
      </c>
      <c r="K530" t="str">
        <f t="shared" ca="1" si="63"/>
        <v xml:space="preserve">Gouveia, L. </v>
      </c>
      <c r="L530" t="str">
        <f t="shared" ca="1" si="64"/>
        <v xml:space="preserve">Quental, C. </v>
      </c>
    </row>
    <row r="531" spans="1:12" ht="15.75" customHeight="1">
      <c r="A531">
        <f ca="1">IFERROR(__xludf.DUMMYFUNCTION("""COMPUTED_VALUE"""),15)</f>
        <v>15</v>
      </c>
      <c r="B531" t="str">
        <f ca="1">IFERROR(__xludf.DUMMYFUNCTION("""COMPUTED_VALUE"""),"Gouveia, L. (1999). *CELTIC - Collaborative Electronic Language Translation 
for Information Control*. Primeiro Ciclo de Seminários Internos. 
Departamento de Ciência e Tecnologia, Universidade Fernando Pessoa. 20 de 
Maio. 
presentation [ pdf(187KB) ]")</f>
        <v>Gouveia, L. (1999). *CELTIC - Collaborative Electronic Language Translation 
for Information Control*. Primeiro Ciclo de Seminários Internos. 
Departamento de Ciência e Tecnologia, Universidade Fernando Pessoa. 20 de 
Maio. 
presentation [ pdf(187KB) ]</v>
      </c>
      <c r="C531" s="2">
        <f t="shared" ca="1" si="62"/>
        <v>13</v>
      </c>
      <c r="D531" t="str">
        <f t="shared" ca="1" si="70"/>
        <v xml:space="preserve">Gouveia, L. </v>
      </c>
      <c r="E531" t="str">
        <f t="shared" ca="1" si="65"/>
        <v>1999</v>
      </c>
      <c r="F531" t="str">
        <f t="shared" ca="1" si="66"/>
        <v xml:space="preserve"> *CELTIC - Collaborative Electronic Language Translation 
for Information Control*. </v>
      </c>
      <c r="G531" s="3">
        <f t="shared" ca="1" si="67"/>
        <v>18</v>
      </c>
      <c r="H531" s="2">
        <f t="shared" ca="1" si="68"/>
        <v>102</v>
      </c>
      <c r="I531" t="e">
        <f t="shared" ca="1" si="69"/>
        <v>#VALUE!</v>
      </c>
      <c r="J531" s="3" t="e">
        <f t="shared" ca="1" si="71"/>
        <v>#VALUE!</v>
      </c>
      <c r="K531" t="str">
        <f t="shared" ca="1" si="63"/>
        <v xml:space="preserve">Gouveia, L. </v>
      </c>
      <c r="L531" t="str">
        <f t="shared" ca="1" si="64"/>
        <v xml:space="preserve">Quental, C. </v>
      </c>
    </row>
    <row r="532" spans="1:12" ht="15.75" customHeight="1">
      <c r="A532">
        <f ca="1">IFERROR(__xludf.DUMMYFUNCTION("""COMPUTED_VALUE"""),14)</f>
        <v>14</v>
      </c>
      <c r="B532" t="str">
        <f ca="1">IFERROR(__xludf.DUMMYFUNCTION("""COMPUTED_VALUE"""),"Gouveia, L. (1999). *Internet e Teletrabalho*. 8º Jornadas ESPE. Hotel 
Praia Golfe, ESPE. Espinho, 13-14 de Maio.
transparências: [ pdf (162KB) ]")</f>
        <v>Gouveia, L. (1999). *Internet e Teletrabalho*. 8º Jornadas ESPE. Hotel 
Praia Golfe, ESPE. Espinho, 13-14 de Maio.
transparências: [ pdf (162KB) ]</v>
      </c>
      <c r="C532" s="2">
        <f t="shared" ca="1" si="62"/>
        <v>13</v>
      </c>
      <c r="D532" t="str">
        <f t="shared" ca="1" si="70"/>
        <v xml:space="preserve">Gouveia, L. </v>
      </c>
      <c r="E532" t="str">
        <f t="shared" ca="1" si="65"/>
        <v>1999</v>
      </c>
      <c r="F532" t="str">
        <f t="shared" ca="1" si="66"/>
        <v xml:space="preserve"> *Internet e Teletrabalho*. </v>
      </c>
      <c r="G532" s="3">
        <f t="shared" ca="1" si="67"/>
        <v>18</v>
      </c>
      <c r="H532" s="2">
        <f t="shared" ca="1" si="68"/>
        <v>46</v>
      </c>
      <c r="I532" t="e">
        <f t="shared" ca="1" si="69"/>
        <v>#VALUE!</v>
      </c>
      <c r="J532" s="3" t="e">
        <f t="shared" ca="1" si="71"/>
        <v>#VALUE!</v>
      </c>
      <c r="K532" t="str">
        <f t="shared" ca="1" si="63"/>
        <v xml:space="preserve">Gouveia, L. </v>
      </c>
      <c r="L532" t="str">
        <f t="shared" ca="1" si="64"/>
        <v xml:space="preserve">Quental, C. </v>
      </c>
    </row>
    <row r="533" spans="1:12" ht="15.75" customHeight="1">
      <c r="A533">
        <f ca="1">IFERROR(__xludf.DUMMYFUNCTION("""COMPUTED_VALUE"""),13)</f>
        <v>13</v>
      </c>
      <c r="B533" t="str">
        <f ca="1">IFERROR(__xludf.DUMMYFUNCTION("""COMPUTED_VALUE"""),"Gouveia, L. (1999). *As tecnologias de informação e comunicação. Potencial 
de aplicação no ensino, formação e treino*. Seminário integrado na Semana 
Académica da UFP, Porto. 10 de Março.
transparências: [ pdf (16KB) ]")</f>
        <v>Gouveia, L. (1999). *As tecnologias de informação e comunicação. Potencial 
de aplicação no ensino, formação e treino*. Seminário integrado na Semana 
Académica da UFP, Porto. 10 de Março.
transparências: [ pdf (16KB) ]</v>
      </c>
      <c r="C533" s="2">
        <f t="shared" ca="1" si="62"/>
        <v>13</v>
      </c>
      <c r="D533" t="str">
        <f t="shared" ca="1" si="70"/>
        <v xml:space="preserve">Gouveia, L. </v>
      </c>
      <c r="E533" t="str">
        <f t="shared" ca="1" si="65"/>
        <v>1999</v>
      </c>
      <c r="F533" t="str">
        <f t="shared" ca="1" si="66"/>
        <v xml:space="preserve"> *As tecnologias de informação e comunicação. </v>
      </c>
      <c r="G533" s="3">
        <f t="shared" ca="1" si="67"/>
        <v>18</v>
      </c>
      <c r="H533" s="2">
        <f t="shared" ca="1" si="68"/>
        <v>64</v>
      </c>
      <c r="I533" t="e">
        <f t="shared" ca="1" si="69"/>
        <v>#VALUE!</v>
      </c>
      <c r="J533" s="3" t="e">
        <f t="shared" ca="1" si="71"/>
        <v>#VALUE!</v>
      </c>
      <c r="K533" t="str">
        <f t="shared" ca="1" si="63"/>
        <v xml:space="preserve">Gouveia, L. </v>
      </c>
      <c r="L533" t="str">
        <f t="shared" ca="1" si="64"/>
        <v xml:space="preserve">Quental, C. </v>
      </c>
    </row>
    <row r="534" spans="1:12" ht="15.75" customHeight="1">
      <c r="A534">
        <f ca="1">IFERROR(__xludf.DUMMYFUNCTION("""COMPUTED_VALUE"""),12)</f>
        <v>12</v>
      </c>
      <c r="B534" t="str">
        <f ca="1">IFERROR(__xludf.DUMMYFUNCTION("""COMPUTED_VALUE"""),"Gouveia, L. (1998). *Actividade desenvolvida no âmbito do projecto dos 
portáteis*
Departamento de Informática da Universidade do Minho, Polo de Guimarães, 
(apresentação por convite). Guimarães, 7 de Outubro.
transparências: [ pdf (430KB) ]")</f>
        <v>Gouveia, L. (1998). *Actividade desenvolvida no âmbito do projecto dos 
portáteis*
Departamento de Informática da Universidade do Minho, Polo de Guimarães, 
(apresentação por convite). Guimarães, 7 de Outubro.
transparências: [ pdf (430KB) ]</v>
      </c>
      <c r="C534" s="2">
        <f t="shared" ca="1" si="62"/>
        <v>13</v>
      </c>
      <c r="D534" t="str">
        <f t="shared" ca="1" si="70"/>
        <v xml:space="preserve">Gouveia, L. </v>
      </c>
      <c r="E534" t="str">
        <f t="shared" ca="1" si="65"/>
        <v>1998</v>
      </c>
      <c r="F534" t="str">
        <f t="shared" ca="1" si="66"/>
        <v xml:space="preserve"> *Actividade desenvolvida no âmbito do projecto dos 
portáteis*
Departamento de Informática da Universidade do Minho, Polo de Guimarães, 
(apresentação por convite). </v>
      </c>
      <c r="G534" s="3">
        <f t="shared" ca="1" si="67"/>
        <v>18</v>
      </c>
      <c r="H534" s="2">
        <f t="shared" ca="1" si="68"/>
        <v>184</v>
      </c>
      <c r="I534" t="e">
        <f t="shared" ca="1" si="69"/>
        <v>#VALUE!</v>
      </c>
      <c r="J534" s="3" t="e">
        <f t="shared" ca="1" si="71"/>
        <v>#VALUE!</v>
      </c>
      <c r="K534" t="str">
        <f t="shared" ca="1" si="63"/>
        <v xml:space="preserve">Gouveia, L. </v>
      </c>
      <c r="L534" t="str">
        <f t="shared" ca="1" si="64"/>
        <v xml:space="preserve">Quental, C. </v>
      </c>
    </row>
    <row r="535" spans="1:12" ht="15.75" customHeight="1">
      <c r="A535">
        <f ca="1">IFERROR(__xludf.DUMMYFUNCTION("""COMPUTED_VALUE"""),11)</f>
        <v>11</v>
      </c>
      <c r="B535" t="str">
        <f ca="1">IFERROR(__xludf.DUMMYFUNCTION("""COMPUTED_VALUE"""),"Gouveia, L. (1998). *A Internet como aliado do professor, uma experiência 
de uso de páginas Web.* Acção de sensibilização à Internet, Escola Sec. Dr 
Manuel Laranjeira. Espinho, 29 de Junho.
texto [ pdf (18KB) ]")</f>
        <v>Gouveia, L. (1998). *A Internet como aliado do professor, uma experiência 
de uso de páginas Web.* Acção de sensibilização à Internet, Escola Sec. Dr 
Manuel Laranjeira. Espinho, 29 de Junho.
texto [ pdf (18KB) ]</v>
      </c>
      <c r="C535" s="2">
        <f t="shared" ca="1" si="62"/>
        <v>13</v>
      </c>
      <c r="D535" t="str">
        <f t="shared" ca="1" si="70"/>
        <v xml:space="preserve">Gouveia, L. </v>
      </c>
      <c r="E535" t="str">
        <f t="shared" ca="1" si="65"/>
        <v>1998</v>
      </c>
      <c r="F535" t="str">
        <f t="shared" ca="1" si="66"/>
        <v xml:space="preserve"> *A Internet como aliado do professor, uma experiência 
de uso de páginas Web.*</v>
      </c>
      <c r="G535" s="3">
        <f t="shared" ca="1" si="67"/>
        <v>18</v>
      </c>
      <c r="H535" s="2">
        <f t="shared" ca="1" si="68"/>
        <v>97</v>
      </c>
      <c r="I535" t="e">
        <f t="shared" ca="1" si="69"/>
        <v>#VALUE!</v>
      </c>
      <c r="J535" s="3" t="e">
        <f t="shared" ca="1" si="71"/>
        <v>#VALUE!</v>
      </c>
      <c r="K535" t="str">
        <f t="shared" ca="1" si="63"/>
        <v xml:space="preserve">Gouveia, L. </v>
      </c>
      <c r="L535" t="str">
        <f t="shared" ca="1" si="64"/>
        <v xml:space="preserve">Quental, C. </v>
      </c>
    </row>
    <row r="536" spans="1:12" ht="15.75" customHeight="1">
      <c r="A536">
        <f ca="1">IFERROR(__xludf.DUMMYFUNCTION("""COMPUTED_VALUE"""),10)</f>
        <v>10</v>
      </c>
      <c r="B536" t="str">
        <f ca="1">IFERROR(__xludf.DUMMYFUNCTION("""COMPUTED_VALUE"""),"Gouveia, L. (1998). *Internet, Publicidade e Ética*. 3º Workshop de 
Comunicação. Hotel Praia Golfe, ESPE. Espinho, 5 - 6 de Maio.
texto: [ HTML ] transparências: [ HTML ]")</f>
        <v>Gouveia, L. (1998). *Internet, Publicidade e Ética*. 3º Workshop de 
Comunicação. Hotel Praia Golfe, ESPE. Espinho, 5 - 6 de Maio.
texto: [ HTML ] transparências: [ HTML ]</v>
      </c>
      <c r="C536" s="2">
        <f t="shared" ca="1" si="62"/>
        <v>13</v>
      </c>
      <c r="D536" t="str">
        <f t="shared" ca="1" si="70"/>
        <v xml:space="preserve">Gouveia, L. </v>
      </c>
      <c r="E536" t="str">
        <f t="shared" ca="1" si="65"/>
        <v>1998</v>
      </c>
      <c r="F536" t="str">
        <f t="shared" ca="1" si="66"/>
        <v xml:space="preserve"> *Internet, Publicidade e Ética*. </v>
      </c>
      <c r="G536" s="3">
        <f t="shared" ca="1" si="67"/>
        <v>18</v>
      </c>
      <c r="H536" s="2">
        <f t="shared" ca="1" si="68"/>
        <v>52</v>
      </c>
      <c r="I536" t="e">
        <f t="shared" ca="1" si="69"/>
        <v>#VALUE!</v>
      </c>
      <c r="J536" s="3" t="e">
        <f t="shared" ca="1" si="71"/>
        <v>#VALUE!</v>
      </c>
      <c r="K536" t="str">
        <f t="shared" ca="1" si="63"/>
        <v xml:space="preserve">Gouveia, L. </v>
      </c>
      <c r="L536" t="str">
        <f t="shared" ca="1" si="64"/>
        <v xml:space="preserve">Quental, C. </v>
      </c>
    </row>
    <row r="537" spans="1:12" ht="15.75" customHeight="1">
      <c r="A537">
        <f ca="1">IFERROR(__xludf.DUMMYFUNCTION("""COMPUTED_VALUE"""),9)</f>
        <v>9</v>
      </c>
      <c r="B537" t="str">
        <f ca="1">IFERROR(__xludf.DUMMYFUNCTION("""COMPUTED_VALUE"""),"Gouveia, L. (1997). *NetLab, work at Fernando Pessoa.* Away Day, CSEG 
Group, Lancaster University. Lancaster, UK, November. 
apresentação [ pdf(246KB) ]")</f>
        <v>Gouveia, L. (1997). *NetLab, work at Fernando Pessoa.* Away Day, CSEG 
Group, Lancaster University. Lancaster, UK, November. 
apresentação [ pdf(246KB) ]</v>
      </c>
      <c r="C537" s="2">
        <f t="shared" ca="1" si="62"/>
        <v>13</v>
      </c>
      <c r="D537" t="str">
        <f t="shared" ca="1" si="70"/>
        <v xml:space="preserve">Gouveia, L. </v>
      </c>
      <c r="E537" t="str">
        <f t="shared" ca="1" si="65"/>
        <v>1997</v>
      </c>
      <c r="F537" t="str">
        <f t="shared" ca="1" si="66"/>
        <v xml:space="preserve"> *NetLab, work at Fernando Pessoa.*</v>
      </c>
      <c r="G537" s="3">
        <f t="shared" ca="1" si="67"/>
        <v>18</v>
      </c>
      <c r="H537" s="2">
        <f t="shared" ca="1" si="68"/>
        <v>53</v>
      </c>
      <c r="I537" t="e">
        <f t="shared" ca="1" si="69"/>
        <v>#VALUE!</v>
      </c>
      <c r="J537" s="3" t="e">
        <f t="shared" ca="1" si="71"/>
        <v>#VALUE!</v>
      </c>
      <c r="K537" t="str">
        <f t="shared" ca="1" si="63"/>
        <v xml:space="preserve">Gouveia, L. </v>
      </c>
      <c r="L537" t="str">
        <f t="shared" ca="1" si="64"/>
        <v xml:space="preserve">Quental, C. </v>
      </c>
    </row>
    <row r="538" spans="1:12" ht="15.75" customHeight="1">
      <c r="A538">
        <f ca="1">IFERROR(__xludf.DUMMYFUNCTION("""COMPUTED_VALUE"""),8)</f>
        <v>8</v>
      </c>
      <c r="B538" t="str">
        <f ca="1">IFERROR(__xludf.DUMMYFUNCTION("""COMPUTED_VALUE"""),"Gouveia, F. e Gouveia, L. (1996). *Educação activa: manifesto para uma 
atitude pedagógica.* 2º Conferência sociedade de informação interactiva, 
reinventar a educação. Funchal.
[ pdf ]")</f>
        <v>Gouveia, F. e Gouveia, L. (1996). *Educação activa: manifesto para uma 
atitude pedagógica.* 2º Conferência sociedade de informação interactiva, 
reinventar a educação. Funchal.
[ pdf ]</v>
      </c>
      <c r="C538" s="2">
        <f t="shared" ca="1" si="62"/>
        <v>27</v>
      </c>
      <c r="D538" t="str">
        <f t="shared" ca="1" si="70"/>
        <v xml:space="preserve">Gouveia, F. e Gouveia, L. </v>
      </c>
      <c r="E538" t="str">
        <f t="shared" ca="1" si="65"/>
        <v>1996</v>
      </c>
      <c r="F538" t="str">
        <f t="shared" ca="1" si="66"/>
        <v xml:space="preserve"> *Educação activa: manifesto para uma 
atitude pedagógica.*</v>
      </c>
      <c r="G538" s="3">
        <f t="shared" ca="1" si="67"/>
        <v>32</v>
      </c>
      <c r="H538" s="2">
        <f t="shared" ca="1" si="68"/>
        <v>91</v>
      </c>
      <c r="I538" t="e">
        <f t="shared" ca="1" si="69"/>
        <v>#VALUE!</v>
      </c>
      <c r="J538" s="3" t="e">
        <f t="shared" ca="1" si="71"/>
        <v>#VALUE!</v>
      </c>
      <c r="K538" t="str">
        <f t="shared" ca="1" si="63"/>
        <v xml:space="preserve">Gouveia, F. e Gouveia, L. </v>
      </c>
      <c r="L538" t="str">
        <f t="shared" ca="1" si="64"/>
        <v xml:space="preserve">Quental, C. </v>
      </c>
    </row>
    <row r="539" spans="1:12" ht="15.75" customHeight="1">
      <c r="A539">
        <f ca="1">IFERROR(__xludf.DUMMYFUNCTION("""COMPUTED_VALUE"""),7)</f>
        <v>7</v>
      </c>
      <c r="B539" t="str">
        <f ca="1">IFERROR(__xludf.DUMMYFUNCTION("""COMPUTED_VALUE"""),"Gouveia, L. (1996). *O Centro de Recursos Multimediáticos.* II Workshop de 
Informática, Perspectivar o Futuro, UFP. Porto.
apresentação [ pdf (50KB)]")</f>
        <v>Gouveia, L. (1996). *O Centro de Recursos Multimediáticos.* II Workshop de 
Informática, Perspectivar o Futuro, UFP. Porto.
apresentação [ pdf (50KB)]</v>
      </c>
      <c r="C539" s="2">
        <f t="shared" ca="1" si="62"/>
        <v>13</v>
      </c>
      <c r="D539" t="str">
        <f t="shared" ca="1" si="70"/>
        <v xml:space="preserve">Gouveia, L. </v>
      </c>
      <c r="E539" t="str">
        <f t="shared" ca="1" si="65"/>
        <v>1996</v>
      </c>
      <c r="F539" t="str">
        <f t="shared" ca="1" si="66"/>
        <v xml:space="preserve"> *O Centro de Recursos Multimediáticos.*</v>
      </c>
      <c r="G539" s="3">
        <f t="shared" ca="1" si="67"/>
        <v>18</v>
      </c>
      <c r="H539" s="2">
        <f t="shared" ca="1" si="68"/>
        <v>58</v>
      </c>
      <c r="I539" t="e">
        <f t="shared" ca="1" si="69"/>
        <v>#VALUE!</v>
      </c>
      <c r="J539" s="3" t="e">
        <f t="shared" ca="1" si="71"/>
        <v>#VALUE!</v>
      </c>
      <c r="K539" t="str">
        <f t="shared" ca="1" si="63"/>
        <v xml:space="preserve">Gouveia, L. </v>
      </c>
      <c r="L539" t="str">
        <f t="shared" ca="1" si="64"/>
        <v xml:space="preserve">Quental, C. </v>
      </c>
    </row>
    <row r="540" spans="1:12" ht="15.75" customHeight="1">
      <c r="A540">
        <f ca="1">IFERROR(__xludf.DUMMYFUNCTION("""COMPUTED_VALUE"""),6)</f>
        <v>6</v>
      </c>
      <c r="B540" t="str">
        <f ca="1">IFERROR(__xludf.DUMMYFUNCTION("""COMPUTED_VALUE"""),"Gouveia, L. (1996). *NetLab, explorar o potencial da rede universitária*. 
Divulgação do projecto dos portáteis - UFP. Porto.
apresentação [ pdf (143KB)]")</f>
        <v>Gouveia, L. (1996). *NetLab, explorar o potencial da rede universitária*. 
Divulgação do projecto dos portáteis - UFP. Porto.
apresentação [ pdf (143KB)]</v>
      </c>
      <c r="C540" s="2">
        <f t="shared" ca="1" si="62"/>
        <v>13</v>
      </c>
      <c r="D540" t="str">
        <f t="shared" ca="1" si="70"/>
        <v xml:space="preserve">Gouveia, L. </v>
      </c>
      <c r="E540" t="str">
        <f t="shared" ca="1" si="65"/>
        <v>1996</v>
      </c>
      <c r="F540" t="str">
        <f t="shared" ca="1" si="66"/>
        <v xml:space="preserve"> *NetLab, explorar o potencial da rede universitária*. </v>
      </c>
      <c r="G540" s="3">
        <f t="shared" ca="1" si="67"/>
        <v>18</v>
      </c>
      <c r="H540" s="2">
        <f t="shared" ca="1" si="68"/>
        <v>73</v>
      </c>
      <c r="I540" t="e">
        <f t="shared" ca="1" si="69"/>
        <v>#VALUE!</v>
      </c>
      <c r="J540" s="3" t="e">
        <f t="shared" ca="1" si="71"/>
        <v>#VALUE!</v>
      </c>
      <c r="K540" t="str">
        <f t="shared" ca="1" si="63"/>
        <v xml:space="preserve">Gouveia, L. </v>
      </c>
      <c r="L540" t="str">
        <f t="shared" ca="1" si="64"/>
        <v xml:space="preserve">Quental, C. </v>
      </c>
    </row>
    <row r="541" spans="1:12" ht="15.75" customHeight="1">
      <c r="A541">
        <f ca="1">IFERROR(__xludf.DUMMYFUNCTION("""COMPUTED_VALUE"""),5)</f>
        <v>5</v>
      </c>
      <c r="B541" t="str">
        <f ca="1">IFERROR(__xludf.DUMMYFUNCTION("""COMPUTED_VALUE"""),"Gouveia, L. (1996). *Realidade Virtual: novo mundo ou mundos alternativos.* 
ISTEC, (apresentação por convite). Porto, Fevereiro. 
apresentação [ pdf ]")</f>
        <v>Gouveia, L. (1996). *Realidade Virtual: novo mundo ou mundos alternativos.* 
ISTEC, (apresentação por convite). Porto, Fevereiro. 
apresentação [ pdf ]</v>
      </c>
      <c r="C541" s="2">
        <f t="shared" ca="1" si="62"/>
        <v>13</v>
      </c>
      <c r="D541" t="str">
        <f t="shared" ca="1" si="70"/>
        <v xml:space="preserve">Gouveia, L. </v>
      </c>
      <c r="E541" t="str">
        <f t="shared" ca="1" si="65"/>
        <v>1996</v>
      </c>
      <c r="F541" t="str">
        <f t="shared" ca="1" si="66"/>
        <v xml:space="preserve"> *Realidade Virtual: novo mundo ou mundos alternativos.*</v>
      </c>
      <c r="G541" s="3">
        <f t="shared" ca="1" si="67"/>
        <v>18</v>
      </c>
      <c r="H541" s="2">
        <f t="shared" ca="1" si="68"/>
        <v>74</v>
      </c>
      <c r="I541" t="str">
        <f t="shared" ca="1" si="69"/>
        <v xml:space="preserve"> 
ISTEC, (apresentação por convite).</v>
      </c>
      <c r="J541" s="3">
        <f t="shared" ca="1" si="71"/>
        <v>110</v>
      </c>
      <c r="K541" t="str">
        <f t="shared" ca="1" si="63"/>
        <v xml:space="preserve">Gouveia, L. </v>
      </c>
      <c r="L541" t="str">
        <f t="shared" ca="1" si="64"/>
        <v xml:space="preserve">Quental, C. </v>
      </c>
    </row>
    <row r="542" spans="1:12" ht="15.75" customHeight="1">
      <c r="A542">
        <f ca="1">IFERROR(__xludf.DUMMYFUNCTION("""COMPUTED_VALUE"""),4)</f>
        <v>4</v>
      </c>
      <c r="B542" t="str">
        <f ca="1">IFERROR(__xludf.DUMMYFUNCTION("""COMPUTED_VALUE"""),"Gouveia, L. (1996). *A rede universitária.* Divulgação do projecto dos 
portáteis - UFP. Porto, Janeiro. 
apresentação [ pdf ]")</f>
        <v>Gouveia, L. (1996). *A rede universitária.* Divulgação do projecto dos 
portáteis - UFP. Porto, Janeiro. 
apresentação [ pdf ]</v>
      </c>
      <c r="C542" s="2">
        <f t="shared" ca="1" si="62"/>
        <v>13</v>
      </c>
      <c r="D542" t="str">
        <f t="shared" ca="1" si="70"/>
        <v xml:space="preserve">Gouveia, L. </v>
      </c>
      <c r="E542" t="str">
        <f t="shared" ca="1" si="65"/>
        <v>1996</v>
      </c>
      <c r="F542" t="str">
        <f t="shared" ca="1" si="66"/>
        <v xml:space="preserve"> *A rede universitária.*</v>
      </c>
      <c r="G542" s="3">
        <f t="shared" ca="1" si="67"/>
        <v>18</v>
      </c>
      <c r="H542" s="2">
        <f t="shared" ca="1" si="68"/>
        <v>42</v>
      </c>
      <c r="I542" t="e">
        <f t="shared" ca="1" si="69"/>
        <v>#VALUE!</v>
      </c>
      <c r="J542" s="3" t="e">
        <f t="shared" ca="1" si="71"/>
        <v>#VALUE!</v>
      </c>
      <c r="K542" t="str">
        <f t="shared" ca="1" si="63"/>
        <v xml:space="preserve">Gouveia, L. </v>
      </c>
      <c r="L542" t="str">
        <f t="shared" ca="1" si="64"/>
        <v xml:space="preserve">Quental, C. </v>
      </c>
    </row>
    <row r="543" spans="1:12" ht="15.75" customHeight="1">
      <c r="A543">
        <f ca="1">IFERROR(__xludf.DUMMYFUNCTION("""COMPUTED_VALUE"""),3)</f>
        <v>3</v>
      </c>
      <c r="B543" t="str">
        <f ca="1">IFERROR(__xludf.DUMMYFUNCTION("""COMPUTED_VALUE"""),"Gouveia, L. (1994). *Aprendizagem Multimédia*. Seminário Educação e 
Multimédia, Instituto Multimédia. Porto.
apresentação [ pdf ]")</f>
        <v>Gouveia, L. (1994). *Aprendizagem Multimédia*. Seminário Educação e 
Multimédia, Instituto Multimédia. Porto.
apresentação [ pdf ]</v>
      </c>
      <c r="C543" s="2">
        <f t="shared" ca="1" si="62"/>
        <v>13</v>
      </c>
      <c r="D543" t="str">
        <f t="shared" ca="1" si="70"/>
        <v xml:space="preserve">Gouveia, L. </v>
      </c>
      <c r="E543" t="str">
        <f t="shared" ca="1" si="65"/>
        <v>1994</v>
      </c>
      <c r="F543" t="str">
        <f t="shared" ca="1" si="66"/>
        <v xml:space="preserve"> *Aprendizagem Multimédia*. </v>
      </c>
      <c r="G543" s="3">
        <f t="shared" ca="1" si="67"/>
        <v>18</v>
      </c>
      <c r="H543" s="2">
        <f t="shared" ca="1" si="68"/>
        <v>46</v>
      </c>
      <c r="I543" t="e">
        <f t="shared" ca="1" si="69"/>
        <v>#VALUE!</v>
      </c>
      <c r="J543" s="3" t="e">
        <f t="shared" ca="1" si="71"/>
        <v>#VALUE!</v>
      </c>
      <c r="K543" t="str">
        <f t="shared" ca="1" si="63"/>
        <v xml:space="preserve">Gouveia, L. </v>
      </c>
      <c r="L543" t="str">
        <f t="shared" ca="1" si="64"/>
        <v xml:space="preserve">Quental, C. </v>
      </c>
    </row>
    <row r="544" spans="1:12" ht="15.75" customHeight="1">
      <c r="A544">
        <f ca="1">IFERROR(__xludf.DUMMYFUNCTION("""COMPUTED_VALUE"""),2)</f>
        <v>2</v>
      </c>
      <c r="B544" t="str">
        <f ca="1">IFERROR(__xludf.DUMMYFUNCTION("""COMPUTED_VALUE"""),"Gouveia, L. (1991). *Soluções Videotex: da oportunidade à implementação.* 
Soluções Videotex, IBM (apresentação profissional). Porto.")</f>
        <v>Gouveia, L. (1991). *Soluções Videotex: da oportunidade à implementação.* 
Soluções Videotex, IBM (apresentação profissional). Porto.</v>
      </c>
      <c r="C544" s="2">
        <f t="shared" ca="1" si="62"/>
        <v>13</v>
      </c>
      <c r="D544" t="str">
        <f t="shared" ca="1" si="70"/>
        <v xml:space="preserve">Gouveia, L. </v>
      </c>
      <c r="E544" t="str">
        <f t="shared" ca="1" si="65"/>
        <v>1991</v>
      </c>
      <c r="F544" t="str">
        <f t="shared" ca="1" si="66"/>
        <v xml:space="preserve"> *Soluções Videotex: da oportunidade à implementação.*</v>
      </c>
      <c r="G544" s="3">
        <f t="shared" ca="1" si="67"/>
        <v>18</v>
      </c>
      <c r="H544" s="2">
        <f t="shared" ca="1" si="68"/>
        <v>72</v>
      </c>
      <c r="I544" t="str">
        <f t="shared" ca="1" si="69"/>
        <v xml:space="preserve"> 
Soluções Videotex, IBM (apresentação profissional).</v>
      </c>
      <c r="J544" s="3">
        <f t="shared" ca="1" si="71"/>
        <v>125</v>
      </c>
      <c r="K544" t="str">
        <f t="shared" ca="1" si="63"/>
        <v xml:space="preserve">Gouveia, L. </v>
      </c>
      <c r="L544" t="str">
        <f t="shared" ca="1" si="64"/>
        <v xml:space="preserve">Quental, C. </v>
      </c>
    </row>
    <row r="545" spans="1:12" ht="15.75" customHeight="1">
      <c r="A545">
        <f ca="1">IFERROR(__xludf.DUMMYFUNCTION("""COMPUTED_VALUE"""),1)</f>
        <v>1</v>
      </c>
      <c r="B545" t="str">
        <f ca="1">IFERROR(__xludf.DUMMYFUNCTION("""COMPUTED_VALUE"""),"Gouveia, L. (1990). *Soluções com recurso ao videotex*. Sistemas UNIX para 
Agentes Philips, Associação Comercial Portuense, (apresentação 
profissional). Porto.")</f>
        <v>Gouveia, L. (1990). *Soluções com recurso ao videotex*. Sistemas UNIX para 
Agentes Philips, Associação Comercial Portuense, (apresentação 
profissional). Porto.</v>
      </c>
      <c r="C545" s="2">
        <f t="shared" ca="1" si="62"/>
        <v>13</v>
      </c>
      <c r="D545" t="str">
        <f t="shared" ca="1" si="70"/>
        <v xml:space="preserve">Gouveia, L. </v>
      </c>
      <c r="E545" t="str">
        <f t="shared" ca="1" si="65"/>
        <v>1990</v>
      </c>
      <c r="F545" t="str">
        <f t="shared" ca="1" si="66"/>
        <v xml:space="preserve"> *Soluções com recurso ao videotex*. </v>
      </c>
      <c r="G545" s="3">
        <f t="shared" ca="1" si="67"/>
        <v>18</v>
      </c>
      <c r="H545" s="2">
        <f t="shared" ca="1" si="68"/>
        <v>55</v>
      </c>
      <c r="I545" t="str">
        <f t="shared" ca="1" si="69"/>
        <v>Sistemas UNIX para 
Agentes Philips, Associação Comercial Portuense, (apresentação 
profissional).</v>
      </c>
      <c r="J545" s="3">
        <f t="shared" ca="1" si="71"/>
        <v>153</v>
      </c>
      <c r="K545" t="str">
        <f t="shared" ca="1" si="63"/>
        <v xml:space="preserve">Gouveia, L. </v>
      </c>
      <c r="L545" t="str">
        <f t="shared" ca="1" si="64"/>
        <v xml:space="preserve">Quental, C. </v>
      </c>
    </row>
    <row r="546" spans="1:12" ht="15.75" customHeight="1">
      <c r="A546" t="str">
        <f ca="1">IFERROR(__xludf.DUMMYFUNCTION("""COMPUTED_VALUE"""),"_________")</f>
        <v>_________</v>
      </c>
      <c r="B546" t="str">
        <f ca="1">IFERROR(__xludf.DUMMYFUNCTION("""COMPUTED_VALUE"""),"paineis e mesas redondas / panels and roundtables")</f>
        <v>paineis e mesas redondas / panels and roundtables</v>
      </c>
      <c r="C546" s="2" t="e">
        <f t="shared" ca="1" si="62"/>
        <v>#VALUE!</v>
      </c>
      <c r="D546" t="e">
        <f t="shared" ca="1" si="70"/>
        <v>#VALUE!</v>
      </c>
      <c r="E546" t="e">
        <f t="shared" ca="1" si="65"/>
        <v>#VALUE!</v>
      </c>
      <c r="F546" t="e">
        <f t="shared" ca="1" si="66"/>
        <v>#VALUE!</v>
      </c>
      <c r="G546" s="3" t="e">
        <f t="shared" ca="1" si="67"/>
        <v>#VALUE!</v>
      </c>
      <c r="H546" s="2" t="e">
        <f t="shared" ca="1" si="68"/>
        <v>#VALUE!</v>
      </c>
      <c r="I546" t="e">
        <f t="shared" ca="1" si="69"/>
        <v>#VALUE!</v>
      </c>
      <c r="J546" s="3" t="e">
        <f t="shared" ca="1" si="71"/>
        <v>#VALUE!</v>
      </c>
      <c r="K546" t="e">
        <f t="shared" ca="1" si="63"/>
        <v>#VALUE!</v>
      </c>
      <c r="L546" t="str">
        <f t="shared" ca="1" si="64"/>
        <v xml:space="preserve">Quental, C. </v>
      </c>
    </row>
    <row r="547" spans="1:12" ht="15.75" customHeight="1">
      <c r="A547">
        <f ca="1">IFERROR(__xludf.DUMMYFUNCTION("""COMPUTED_VALUE"""),19)</f>
        <v>19</v>
      </c>
      <c r="B547" t="str">
        <f ca="1">IFERROR(__xludf.DUMMYFUNCTION("""COMPUTED_VALUE"""),"Gouveia, L. (2015). *O papel da Universidade para o Engenheiro Informático*. 
Moderação da Tertúlia promovida pelo Núcleo de Informática da UFP no âmbito 
da Semana de Engenharia. Auditório da UFP, Porto. Universidade Fernando 
Pessoa. 23 de Abril.")</f>
        <v>Gouveia, L. (2015). *O papel da Universidade para o Engenheiro Informático*. 
Moderação da Tertúlia promovida pelo Núcleo de Informática da UFP no âmbito 
da Semana de Engenharia. Auditório da UFP, Porto. Universidade Fernando 
Pessoa. 23 de Abril.</v>
      </c>
      <c r="C547" s="2">
        <f t="shared" ca="1" si="62"/>
        <v>13</v>
      </c>
      <c r="D547" t="str">
        <f t="shared" ca="1" si="70"/>
        <v xml:space="preserve">Gouveia, L. </v>
      </c>
      <c r="E547" t="str">
        <f t="shared" ca="1" si="65"/>
        <v>2015</v>
      </c>
      <c r="F547" t="str">
        <f t="shared" ca="1" si="66"/>
        <v xml:space="preserve"> *O papel da Universidade para o Engenheiro Informático*. </v>
      </c>
      <c r="G547" s="3">
        <f t="shared" ca="1" si="67"/>
        <v>18</v>
      </c>
      <c r="H547" s="2">
        <f t="shared" ca="1" si="68"/>
        <v>76</v>
      </c>
      <c r="I547" t="e">
        <f t="shared" ca="1" si="69"/>
        <v>#VALUE!</v>
      </c>
      <c r="J547" s="3" t="e">
        <f t="shared" ca="1" si="71"/>
        <v>#VALUE!</v>
      </c>
      <c r="K547" t="str">
        <f t="shared" ca="1" si="63"/>
        <v xml:space="preserve">Gouveia, L. </v>
      </c>
      <c r="L547" t="str">
        <f t="shared" ca="1" si="64"/>
        <v xml:space="preserve">Quental, C. </v>
      </c>
    </row>
    <row r="548" spans="1:12" ht="15.75" customHeight="1">
      <c r="A548">
        <f ca="1">IFERROR(__xludf.DUMMYFUNCTION("""COMPUTED_VALUE"""),18)</f>
        <v>18</v>
      </c>
      <c r="B548" t="str">
        <f ca="1">IFERROR(__xludf.DUMMYFUNCTION("""COMPUTED_VALUE"""),"Gouveia, L. (2014). *Segurança Informática ou Segurança da Informação?* 
Moderação da Mesa Redonda promovida pelo Núcleo de Informática da UFP. 
Auditório da UFP, Porto. Universidade Fernando Pessoa. 14 de Maio.
[ apresentação ]")</f>
        <v>Gouveia, L. (2014). *Segurança Informática ou Segurança da Informação?* 
Moderação da Mesa Redonda promovida pelo Núcleo de Informática da UFP. 
Auditório da UFP, Porto. Universidade Fernando Pessoa. 14 de Maio.
[ apresentação ]</v>
      </c>
      <c r="C548" s="2">
        <f t="shared" ca="1" si="62"/>
        <v>13</v>
      </c>
      <c r="D548" t="str">
        <f t="shared" ca="1" si="70"/>
        <v xml:space="preserve">Gouveia, L. </v>
      </c>
      <c r="E548" t="str">
        <f t="shared" ca="1" si="65"/>
        <v>2014</v>
      </c>
      <c r="F548" t="str">
        <f t="shared" ca="1" si="66"/>
        <v xml:space="preserve"> *Segurança Informática ou Segurança da Informação?* 
Moderação da Mesa Redonda promovida pelo Núcleo de Informática da UFP. </v>
      </c>
      <c r="G548" s="3">
        <f t="shared" ca="1" si="67"/>
        <v>18</v>
      </c>
      <c r="H548" s="2">
        <f t="shared" ca="1" si="68"/>
        <v>143</v>
      </c>
      <c r="I548" t="e">
        <f t="shared" ca="1" si="69"/>
        <v>#VALUE!</v>
      </c>
      <c r="J548" s="3" t="e">
        <f t="shared" ca="1" si="71"/>
        <v>#VALUE!</v>
      </c>
      <c r="K548" t="str">
        <f t="shared" ca="1" si="63"/>
        <v xml:space="preserve">Gouveia, L. </v>
      </c>
      <c r="L548" t="str">
        <f t="shared" ca="1" si="64"/>
        <v xml:space="preserve">Quental, C. </v>
      </c>
    </row>
    <row r="549" spans="1:12" ht="15.75" customHeight="1">
      <c r="A549">
        <f ca="1">IFERROR(__xludf.DUMMYFUNCTION("""COMPUTED_VALUE"""),17)</f>
        <v>17</v>
      </c>
      <c r="B549" t="str">
        <f ca="1">IFERROR(__xludf.DUMMYFUNCTION("""COMPUTED_VALUE"""),"Gouveia, L. (2013). Desafios para as Bibliotecas de Ensino Superior em 
Portugal. Participação em mesa redonda . 2º Encontro de Bibliotecas do 
Ensino Superior. Universidade de Aveiro, Aveiro. 7 de Junho
[ apresentação ]")</f>
        <v>Gouveia, L. (2013). Desafios para as Bibliotecas de Ensino Superior em 
Portugal. Participação em mesa redonda . 2º Encontro de Bibliotecas do 
Ensino Superior. Universidade de Aveiro, Aveiro. 7 de Junho
[ apresentação ]</v>
      </c>
      <c r="C549" s="2">
        <f t="shared" ca="1" si="62"/>
        <v>13</v>
      </c>
      <c r="D549" t="str">
        <f t="shared" ca="1" si="70"/>
        <v xml:space="preserve">Gouveia, L. </v>
      </c>
      <c r="E549" t="str">
        <f t="shared" ca="1" si="65"/>
        <v>2013</v>
      </c>
      <c r="F549" t="str">
        <f t="shared" ca="1" si="66"/>
        <v xml:space="preserve"> Desafios para as Bibliotecas de Ensino Superior em 
Portugal. </v>
      </c>
      <c r="G549" s="3">
        <f t="shared" ca="1" si="67"/>
        <v>18</v>
      </c>
      <c r="H549" s="2">
        <f t="shared" ca="1" si="68"/>
        <v>81</v>
      </c>
      <c r="I549" t="e">
        <f t="shared" ca="1" si="69"/>
        <v>#VALUE!</v>
      </c>
      <c r="J549" s="3" t="e">
        <f t="shared" ca="1" si="71"/>
        <v>#VALUE!</v>
      </c>
      <c r="K549" t="str">
        <f t="shared" ca="1" si="63"/>
        <v xml:space="preserve">Gouveia, L. </v>
      </c>
      <c r="L549" t="str">
        <f t="shared" ca="1" si="64"/>
        <v xml:space="preserve">Quental, C. </v>
      </c>
    </row>
    <row r="550" spans="1:12" ht="15.75" customHeight="1">
      <c r="A550">
        <f ca="1">IFERROR(__xludf.DUMMYFUNCTION("""COMPUTED_VALUE"""),16)</f>
        <v>16</v>
      </c>
      <c r="B550" t="str">
        <f ca="1">IFERROR(__xludf.DUMMYFUNCTION("""COMPUTED_VALUE"""),"Gouveia, L. (2013). Redes e Territórios. Empresas, pessoas, valor e 
felicidade. Conversas IN. Auditório da ADRAT, Associação de Desenvolvimento 
da Região do Alto Tâmega. Chaves. 31 de Maio.")</f>
        <v>Gouveia, L. (2013). Redes e Territórios. Empresas, pessoas, valor e 
felicidade. Conversas IN. Auditório da ADRAT, Associação de Desenvolvimento 
da Região do Alto Tâmega. Chaves. 31 de Maio.</v>
      </c>
      <c r="C550" s="2">
        <f t="shared" ca="1" si="62"/>
        <v>13</v>
      </c>
      <c r="D550" t="str">
        <f t="shared" ca="1" si="70"/>
        <v xml:space="preserve">Gouveia, L. </v>
      </c>
      <c r="E550" t="str">
        <f t="shared" ca="1" si="65"/>
        <v>2013</v>
      </c>
      <c r="F550" t="str">
        <f t="shared" ca="1" si="66"/>
        <v xml:space="preserve"> Redes e Territórios. </v>
      </c>
      <c r="G550" s="3">
        <f t="shared" ca="1" si="67"/>
        <v>18</v>
      </c>
      <c r="H550" s="2">
        <f t="shared" ca="1" si="68"/>
        <v>40</v>
      </c>
      <c r="I550" t="e">
        <f t="shared" ca="1" si="69"/>
        <v>#VALUE!</v>
      </c>
      <c r="J550" s="3" t="e">
        <f t="shared" ca="1" si="71"/>
        <v>#VALUE!</v>
      </c>
      <c r="K550" t="str">
        <f t="shared" ca="1" si="63"/>
        <v xml:space="preserve">Gouveia, L. </v>
      </c>
      <c r="L550" t="str">
        <f t="shared" ca="1" si="64"/>
        <v xml:space="preserve">Quental, C. </v>
      </c>
    </row>
    <row r="551" spans="1:12" ht="15.75" customHeight="1">
      <c r="A551">
        <f ca="1">IFERROR(__xludf.DUMMYFUNCTION("""COMPUTED_VALUE"""),15)</f>
        <v>15</v>
      </c>
      <c r="B551" t="str">
        <f ca="1">IFERROR(__xludf.DUMMYFUNCTION("""COMPUTED_VALUE"""),"Gouveia, L. (2012). Debate *Teaching informatics: Teach what? To whom?*. 
Jornadas de Ensino de Informática. Faculdade de Ciências Sociais. 
Universidade Católica Portuguesa. 14h June. 
[ slideshare ]")</f>
        <v>Gouveia, L. (2012). Debate *Teaching informatics: Teach what? To whom?*. 
Jornadas de Ensino de Informática. Faculdade de Ciências Sociais. 
Universidade Católica Portuguesa. 14h June. 
[ slideshare ]</v>
      </c>
      <c r="C551" s="2">
        <f t="shared" ca="1" si="62"/>
        <v>13</v>
      </c>
      <c r="D551" t="str">
        <f t="shared" ca="1" si="70"/>
        <v xml:space="preserve">Gouveia, L. </v>
      </c>
      <c r="E551" t="str">
        <f t="shared" ca="1" si="65"/>
        <v>2012</v>
      </c>
      <c r="F551" t="str">
        <f t="shared" ca="1" si="66"/>
        <v xml:space="preserve"> Debate *Teaching informatics: Teach what? To whom?*. </v>
      </c>
      <c r="G551" s="3">
        <f t="shared" ca="1" si="67"/>
        <v>18</v>
      </c>
      <c r="H551" s="2">
        <f t="shared" ca="1" si="68"/>
        <v>72</v>
      </c>
      <c r="I551" t="e">
        <f t="shared" ca="1" si="69"/>
        <v>#VALUE!</v>
      </c>
      <c r="J551" s="3" t="e">
        <f t="shared" ca="1" si="71"/>
        <v>#VALUE!</v>
      </c>
      <c r="K551" t="str">
        <f t="shared" ca="1" si="63"/>
        <v xml:space="preserve">Gouveia, L. </v>
      </c>
      <c r="L551" t="str">
        <f t="shared" ca="1" si="64"/>
        <v xml:space="preserve">Quental, C. </v>
      </c>
    </row>
    <row r="552" spans="1:12" ht="15.75" customHeight="1">
      <c r="A552">
        <f ca="1">IFERROR(__xludf.DUMMYFUNCTION("""COMPUTED_VALUE"""),14)</f>
        <v>14</v>
      </c>
      <c r="B552" t="str">
        <f ca="1">IFERROR(__xludf.DUMMYFUNCTION("""COMPUTED_VALUE"""),"Gouveia, L. (2012). Opacidade e transparência na administração pública. 
Participação no Grande Debate - O que falta fazer? Conferência Por uma 
Administração pública em Tempo Real. Interoperabilidade e desmaterialização 
de processos administrativos ao s"&amp;"erviço do país. APDSI. Auditório da 
Reitoria da Universidade Nova de Lisboa. Campus de Campolide, Lisboa. 22 de 
Março.
apresentação [ vídeo ]")</f>
        <v>Gouveia, L. (2012). Opacidade e transparência na administração pública. 
Participação no Grande Debate - O que falta fazer? Conferência Por uma 
Administração pública em Tempo Real. Interoperabilidade e desmaterialização 
de processos administrativos ao serviço do país. APDSI. Auditório da 
Reitoria da Universidade Nova de Lisboa. Campus de Campolide, Lisboa. 22 de 
Março.
apresentação [ vídeo ]</v>
      </c>
      <c r="C552" s="2">
        <f t="shared" ca="1" si="62"/>
        <v>13</v>
      </c>
      <c r="D552" t="str">
        <f t="shared" ca="1" si="70"/>
        <v xml:space="preserve">Gouveia, L. </v>
      </c>
      <c r="E552" t="str">
        <f t="shared" ca="1" si="65"/>
        <v>2012</v>
      </c>
      <c r="F552" t="str">
        <f t="shared" ca="1" si="66"/>
        <v xml:space="preserve"> Opacidade e transparência na administração pública. </v>
      </c>
      <c r="G552" s="3">
        <f t="shared" ca="1" si="67"/>
        <v>18</v>
      </c>
      <c r="H552" s="2">
        <f t="shared" ca="1" si="68"/>
        <v>71</v>
      </c>
      <c r="I552" t="e">
        <f t="shared" ca="1" si="69"/>
        <v>#VALUE!</v>
      </c>
      <c r="J552" s="3" t="e">
        <f t="shared" ca="1" si="71"/>
        <v>#VALUE!</v>
      </c>
      <c r="K552" t="str">
        <f t="shared" ca="1" si="63"/>
        <v xml:space="preserve">Gouveia, L. </v>
      </c>
      <c r="L552" t="str">
        <f t="shared" ca="1" si="64"/>
        <v xml:space="preserve">Quental, C. </v>
      </c>
    </row>
    <row r="553" spans="1:12" ht="15.75" customHeight="1">
      <c r="A553">
        <f ca="1">IFERROR(__xludf.DUMMYFUNCTION("""COMPUTED_VALUE"""),13)</f>
        <v>13</v>
      </c>
      <c r="B553" t="str">
        <f ca="1">IFERROR(__xludf.DUMMYFUNCTION("""COMPUTED_VALUE"""),"Gouveia, L. (2010). Desafios da Gestão da Informação e a questão da 
soberania no digital: da escola, do professor e onde o aluno fica em tudo 
isto… Encontro e-Learning@FEUP. FEUP. Porto, 6 de Maio.
apresentação [ slideshare ]")</f>
        <v>Gouveia, L. (2010). Desafios da Gestão da Informação e a questão da 
soberania no digital: da escola, do professor e onde o aluno fica em tudo 
isto… Encontro e-Learning@FEUP. FEUP. Porto, 6 de Maio.
apresentação [ slideshare ]</v>
      </c>
      <c r="C553" s="2">
        <f t="shared" ca="1" si="62"/>
        <v>13</v>
      </c>
      <c r="D553" t="str">
        <f t="shared" ca="1" si="70"/>
        <v xml:space="preserve">Gouveia, L. </v>
      </c>
      <c r="E553" t="str">
        <f t="shared" ca="1" si="65"/>
        <v>2010</v>
      </c>
      <c r="F553" t="str">
        <f t="shared" ca="1" si="66"/>
        <v xml:space="preserve"> Desafios da Gestão da Informação e a questão da 
soberania no digital: da escola, do professor e onde o aluno fica em tudo 
isto… Encontro e-Learning@FEUP. </v>
      </c>
      <c r="G553" s="3">
        <f t="shared" ca="1" si="67"/>
        <v>18</v>
      </c>
      <c r="H553" s="2">
        <f t="shared" ca="1" si="68"/>
        <v>175</v>
      </c>
      <c r="I553" t="e">
        <f t="shared" ca="1" si="69"/>
        <v>#VALUE!</v>
      </c>
      <c r="J553" s="3" t="e">
        <f t="shared" ca="1" si="71"/>
        <v>#VALUE!</v>
      </c>
      <c r="K553" t="str">
        <f t="shared" ca="1" si="63"/>
        <v xml:space="preserve">Gouveia, L. </v>
      </c>
      <c r="L553" t="str">
        <f t="shared" ca="1" si="64"/>
        <v xml:space="preserve">Quental, C. </v>
      </c>
    </row>
    <row r="554" spans="1:12" ht="15.75" customHeight="1">
      <c r="A554">
        <f ca="1">IFERROR(__xludf.DUMMYFUNCTION("""COMPUTED_VALUE"""),12)</f>
        <v>12</v>
      </c>
      <c r="B554" t="str">
        <f ca="1">IFERROR(__xludf.DUMMYFUNCTION("""COMPUTED_VALUE"""),"Gouveia, L. (2010). *O digital e o espaço físico*. II Conferência 
e-learning “Onde a Tecnologia Encontra a Aprendizagem”. Futurália. FIL – 
Parque das Nações. Lisboa, 12 de Março.
apresentação [ slideshare ]")</f>
        <v>Gouveia, L. (2010). *O digital e o espaço físico*. II Conferência 
e-learning “Onde a Tecnologia Encontra a Aprendizagem”. Futurália. FIL – 
Parque das Nações. Lisboa, 12 de Março.
apresentação [ slideshare ]</v>
      </c>
      <c r="C554" s="2">
        <f t="shared" ca="1" si="62"/>
        <v>13</v>
      </c>
      <c r="D554" t="str">
        <f t="shared" ca="1" si="70"/>
        <v xml:space="preserve">Gouveia, L. </v>
      </c>
      <c r="E554" t="str">
        <f t="shared" ca="1" si="65"/>
        <v>2010</v>
      </c>
      <c r="F554" t="str">
        <f t="shared" ca="1" si="66"/>
        <v xml:space="preserve"> *O digital e o espaço físico*. </v>
      </c>
      <c r="G554" s="3">
        <f t="shared" ca="1" si="67"/>
        <v>18</v>
      </c>
      <c r="H554" s="2">
        <f t="shared" ca="1" si="68"/>
        <v>50</v>
      </c>
      <c r="I554" t="e">
        <f t="shared" ca="1" si="69"/>
        <v>#VALUE!</v>
      </c>
      <c r="J554" s="3" t="e">
        <f t="shared" ca="1" si="71"/>
        <v>#VALUE!</v>
      </c>
      <c r="K554" t="str">
        <f t="shared" ca="1" si="63"/>
        <v xml:space="preserve">Gouveia, L. </v>
      </c>
      <c r="L554" t="str">
        <f t="shared" ca="1" si="64"/>
        <v xml:space="preserve">Quental, C. </v>
      </c>
    </row>
    <row r="555" spans="1:12" ht="15.75" customHeight="1">
      <c r="A555">
        <f ca="1">IFERROR(__xludf.DUMMYFUNCTION("""COMPUTED_VALUE"""),11)</f>
        <v>11</v>
      </c>
      <c r="B555" t="str">
        <f ca="1">IFERROR(__xludf.DUMMYFUNCTION("""COMPUTED_VALUE"""),"Gouveia, L. (2009). *Depois dos 15 primeiros anos, quais os desafios para 
os próximos 5?* Edubits. Universidade de Aveiro. 6 de Julho.
apresentação [ pdf (1450KB)]")</f>
        <v>Gouveia, L. (2009). *Depois dos 15 primeiros anos, quais os desafios para 
os próximos 5?* Edubits. Universidade de Aveiro. 6 de Julho.
apresentação [ pdf (1450KB)]</v>
      </c>
      <c r="C555" s="2">
        <f t="shared" ca="1" si="62"/>
        <v>13</v>
      </c>
      <c r="D555" t="str">
        <f t="shared" ca="1" si="70"/>
        <v xml:space="preserve">Gouveia, L. </v>
      </c>
      <c r="E555" t="str">
        <f t="shared" ca="1" si="65"/>
        <v>2009</v>
      </c>
      <c r="F555" t="str">
        <f t="shared" ca="1" si="66"/>
        <v xml:space="preserve"> *Depois dos 15 primeiros anos, quais os desafios para 
os próximos 5?* Edubits. </v>
      </c>
      <c r="G555" s="3">
        <f t="shared" ca="1" si="67"/>
        <v>18</v>
      </c>
      <c r="H555" s="2">
        <f t="shared" ca="1" si="68"/>
        <v>99</v>
      </c>
      <c r="I555" t="e">
        <f t="shared" ca="1" si="69"/>
        <v>#VALUE!</v>
      </c>
      <c r="J555" s="3" t="e">
        <f t="shared" ca="1" si="71"/>
        <v>#VALUE!</v>
      </c>
      <c r="K555" t="str">
        <f t="shared" ca="1" si="63"/>
        <v xml:space="preserve">Gouveia, L. </v>
      </c>
      <c r="L555" t="str">
        <f t="shared" ca="1" si="64"/>
        <v xml:space="preserve">Quental, C. </v>
      </c>
    </row>
    <row r="556" spans="1:12" ht="15.75" customHeight="1">
      <c r="A556">
        <f ca="1">IFERROR(__xludf.DUMMYFUNCTION("""COMPUTED_VALUE"""),10)</f>
        <v>10</v>
      </c>
      <c r="B556" t="str">
        <f ca="1">IFERROR(__xludf.DUMMYFUNCTION("""COMPUTED_VALUE"""),"Gouveia, L. (2007). *Biblioteca para quem, biblioteca para quê?*. Painel 2 
“Novos Desafios para a gestão da Biblioteca Escolar” – 20 de Outubro de 
2007. 1º Encontro da Rede de Bibliotecas Escolares do Porto (RBEP) – “Ler 
para Ser”. 20 de Outubro.
apres"&amp;"entação [ pdf (408KB) ]")</f>
        <v>Gouveia, L. (2007). *Biblioteca para quem, biblioteca para quê?*. Painel 2 
“Novos Desafios para a gestão da Biblioteca Escolar” – 20 de Outubro de 
2007. 1º Encontro da Rede de Bibliotecas Escolares do Porto (RBEP) – “Ler 
para Ser”. 20 de Outubro.
apresentação [ pdf (408KB) ]</v>
      </c>
      <c r="C556" s="2">
        <f t="shared" ca="1" si="62"/>
        <v>13</v>
      </c>
      <c r="D556" t="str">
        <f t="shared" ca="1" si="70"/>
        <v xml:space="preserve">Gouveia, L. </v>
      </c>
      <c r="E556" t="str">
        <f t="shared" ca="1" si="65"/>
        <v>2007</v>
      </c>
      <c r="F556" t="str">
        <f t="shared" ca="1" si="66"/>
        <v xml:space="preserve"> *Biblioteca para quem, biblioteca para quê?*. </v>
      </c>
      <c r="G556" s="3">
        <f t="shared" ca="1" si="67"/>
        <v>18</v>
      </c>
      <c r="H556" s="2">
        <f t="shared" ca="1" si="68"/>
        <v>65</v>
      </c>
      <c r="I556" t="e">
        <f t="shared" ca="1" si="69"/>
        <v>#VALUE!</v>
      </c>
      <c r="J556" s="3" t="e">
        <f t="shared" ca="1" si="71"/>
        <v>#VALUE!</v>
      </c>
      <c r="K556" t="str">
        <f t="shared" ca="1" si="63"/>
        <v xml:space="preserve">Gouveia, L. </v>
      </c>
      <c r="L556" t="str">
        <f t="shared" ca="1" si="64"/>
        <v xml:space="preserve">Quental, C. </v>
      </c>
    </row>
    <row r="557" spans="1:12" ht="15.75" customHeight="1">
      <c r="A557">
        <f ca="1">IFERROR(__xludf.DUMMYFUNCTION("""COMPUTED_VALUE"""),9)</f>
        <v>9</v>
      </c>
      <c r="B557" t="str">
        <f ca="1">IFERROR(__xludf.DUMMYFUNCTION("""COMPUTED_VALUE"""),"Gouveia, L. (2007). *e-espaço para e-actividades.* Painel III - Espaço 
público e participação. Workshop Cidades Digitais, o dia seguinte. 24 de 
Maio de 2007. Universidade Fernando Pessoa.
apresentação [ pdf (219KB) ]")</f>
        <v>Gouveia, L. (2007). *e-espaço para e-actividades.* Painel III - Espaço 
público e participação. Workshop Cidades Digitais, o dia seguinte. 24 de 
Maio de 2007. Universidade Fernando Pessoa.
apresentação [ pdf (219KB) ]</v>
      </c>
      <c r="C557" s="2">
        <f t="shared" ca="1" si="62"/>
        <v>13</v>
      </c>
      <c r="D557" t="str">
        <f t="shared" ca="1" si="70"/>
        <v xml:space="preserve">Gouveia, L. </v>
      </c>
      <c r="E557" t="str">
        <f t="shared" ca="1" si="65"/>
        <v>2007</v>
      </c>
      <c r="F557" t="str">
        <f t="shared" ca="1" si="66"/>
        <v xml:space="preserve"> *e-espaço para e-actividades.*</v>
      </c>
      <c r="G557" s="3">
        <f t="shared" ca="1" si="67"/>
        <v>18</v>
      </c>
      <c r="H557" s="2">
        <f t="shared" ca="1" si="68"/>
        <v>49</v>
      </c>
      <c r="I557" t="e">
        <f t="shared" ca="1" si="69"/>
        <v>#VALUE!</v>
      </c>
      <c r="J557" s="3" t="e">
        <f t="shared" ca="1" si="71"/>
        <v>#VALUE!</v>
      </c>
      <c r="K557" t="str">
        <f t="shared" ca="1" si="63"/>
        <v xml:space="preserve">Gouveia, L. </v>
      </c>
      <c r="L557" t="str">
        <f t="shared" ca="1" si="64"/>
        <v xml:space="preserve">Quental, C. </v>
      </c>
    </row>
    <row r="558" spans="1:12" ht="15.75" customHeight="1">
      <c r="A558">
        <f ca="1">IFERROR(__xludf.DUMMYFUNCTION("""COMPUTED_VALUE"""),8)</f>
        <v>8</v>
      </c>
      <c r="B558" t="str">
        <f ca="1">IFERROR(__xludf.DUMMYFUNCTION("""COMPUTED_VALUE"""),"Gouveia, L. (2007). *Territórios Inteligentes: o digital, a rede, as 
pessoas e o conhecimento.* Painel I - A perspectiva do Território. Workshop 
Cidades Digitais, o dia seguinte. 23 de Maio de 2007. Universidade Fernando 
Pessoa.
apresentação [ pdf (607"&amp;"KB) ]")</f>
        <v>Gouveia, L. (2007). *Territórios Inteligentes: o digital, a rede, as 
pessoas e o conhecimento.* Painel I - A perspectiva do Território. Workshop 
Cidades Digitais, o dia seguinte. 23 de Maio de 2007. Universidade Fernando 
Pessoa.
apresentação [ pdf (607KB) ]</v>
      </c>
      <c r="C558" s="2">
        <f t="shared" ca="1" si="62"/>
        <v>13</v>
      </c>
      <c r="D558" t="str">
        <f t="shared" ca="1" si="70"/>
        <v xml:space="preserve">Gouveia, L. </v>
      </c>
      <c r="E558" t="str">
        <f t="shared" ca="1" si="65"/>
        <v>2007</v>
      </c>
      <c r="F558" t="str">
        <f t="shared" ca="1" si="66"/>
        <v xml:space="preserve"> *Territórios Inteligentes: o digital, a rede, as 
pessoas e o conhecimento.*</v>
      </c>
      <c r="G558" s="3">
        <f t="shared" ca="1" si="67"/>
        <v>18</v>
      </c>
      <c r="H558" s="2">
        <f t="shared" ca="1" si="68"/>
        <v>95</v>
      </c>
      <c r="I558" t="e">
        <f t="shared" ca="1" si="69"/>
        <v>#VALUE!</v>
      </c>
      <c r="J558" s="3" t="e">
        <f t="shared" ca="1" si="71"/>
        <v>#VALUE!</v>
      </c>
      <c r="K558" t="str">
        <f t="shared" ca="1" si="63"/>
        <v xml:space="preserve">Gouveia, L. </v>
      </c>
      <c r="L558" t="str">
        <f t="shared" ca="1" si="64"/>
        <v xml:space="preserve">Quental, C. </v>
      </c>
    </row>
    <row r="559" spans="1:12" ht="15.75" customHeight="1">
      <c r="A559">
        <f ca="1">IFERROR(__xludf.DUMMYFUNCTION("""COMPUTED_VALUE"""),7)</f>
        <v>7</v>
      </c>
      <c r="B559" t="str">
        <f ca="1">IFERROR(__xludf.DUMMYFUNCTION("""COMPUTED_VALUE"""),"Coelho, D. et al. (2006). Repensar o Futuro da Sociedade da Informação. 
Segurança, Privacidade e Identidade Digital. Documento final. 5º Fórum da 
Arrábida. 20 e 21 de Outubro de 2006. APDSI. Arrábida.
texto [ pdf (1,51MB)]")</f>
        <v>Coelho, D. et al. (2006). Repensar o Futuro da Sociedade da Informação. 
Segurança, Privacidade e Identidade Digital. Documento final. 5º Fórum da 
Arrábida. 20 e 21 de Outubro de 2006. APDSI. Arrábida.
texto [ pdf (1,51MB)]</v>
      </c>
      <c r="C559" s="2">
        <f t="shared" ca="1" si="62"/>
        <v>19</v>
      </c>
      <c r="D559" t="str">
        <f t="shared" ca="1" si="70"/>
        <v xml:space="preserve">Coelho, D. et al. </v>
      </c>
      <c r="E559" t="str">
        <f t="shared" ca="1" si="65"/>
        <v>2006</v>
      </c>
      <c r="F559" t="str">
        <f t="shared" ca="1" si="66"/>
        <v xml:space="preserve"> Repensar o Futuro da Sociedade da Informação. </v>
      </c>
      <c r="G559" s="3">
        <f t="shared" ca="1" si="67"/>
        <v>24</v>
      </c>
      <c r="H559" s="2">
        <f t="shared" ca="1" si="68"/>
        <v>71</v>
      </c>
      <c r="I559" t="e">
        <f t="shared" ca="1" si="69"/>
        <v>#VALUE!</v>
      </c>
      <c r="J559" s="3" t="e">
        <f t="shared" ca="1" si="71"/>
        <v>#VALUE!</v>
      </c>
      <c r="K559" t="str">
        <f t="shared" ca="1" si="63"/>
        <v xml:space="preserve">Coelho, D. et al. </v>
      </c>
      <c r="L559" t="str">
        <f t="shared" ca="1" si="64"/>
        <v xml:space="preserve">Quental, C. </v>
      </c>
    </row>
    <row r="560" spans="1:12" ht="15.75" customHeight="1">
      <c r="A560">
        <f ca="1">IFERROR(__xludf.DUMMYFUNCTION("""COMPUTED_VALUE"""),6)</f>
        <v>6</v>
      </c>
      <c r="B560" t="str">
        <f ca="1">IFERROR(__xludf.DUMMYFUNCTION("""COMPUTED_VALUE"""),"Gouveia, L. e Gouveia, F. (2006). *A preocupação com os Sistemas de 
Informação*. Jornadas Internas: O Papel e a Acção da Universidade nos dias 
de hoje. UFP. Anfiteatro da Saúde. Porto, 9 de Junho.
apresentação [ pdf (64KB)]")</f>
        <v>Gouveia, L. e Gouveia, F. (2006). *A preocupação com os Sistemas de 
Informação*. Jornadas Internas: O Papel e a Acção da Universidade nos dias 
de hoje. UFP. Anfiteatro da Saúde. Porto, 9 de Junho.
apresentação [ pdf (64KB)]</v>
      </c>
      <c r="C560" s="2">
        <f t="shared" ca="1" si="62"/>
        <v>27</v>
      </c>
      <c r="D560" t="str">
        <f t="shared" ca="1" si="70"/>
        <v xml:space="preserve">Gouveia, L. e Gouveia, F. </v>
      </c>
      <c r="E560" t="str">
        <f t="shared" ca="1" si="65"/>
        <v>2006</v>
      </c>
      <c r="F560" t="str">
        <f t="shared" ca="1" si="66"/>
        <v xml:space="preserve"> *A preocupação com os Sistemas de 
Informação*. </v>
      </c>
      <c r="G560" s="3">
        <f t="shared" ca="1" si="67"/>
        <v>32</v>
      </c>
      <c r="H560" s="2">
        <f t="shared" ca="1" si="68"/>
        <v>81</v>
      </c>
      <c r="I560" t="e">
        <f t="shared" ca="1" si="69"/>
        <v>#VALUE!</v>
      </c>
      <c r="J560" s="3" t="e">
        <f t="shared" ca="1" si="71"/>
        <v>#VALUE!</v>
      </c>
      <c r="K560" t="str">
        <f t="shared" ca="1" si="63"/>
        <v xml:space="preserve">Gouveia, L. e Gouveia, F. </v>
      </c>
      <c r="L560" t="str">
        <f t="shared" ca="1" si="64"/>
        <v xml:space="preserve">Quental, C. </v>
      </c>
    </row>
    <row r="561" spans="1:12" ht="15.75" customHeight="1">
      <c r="A561">
        <f ca="1">IFERROR(__xludf.DUMMYFUNCTION("""COMPUTED_VALUE"""),5)</f>
        <v>5</v>
      </c>
      <c r="B561" t="str">
        <f ca="1">IFERROR(__xludf.DUMMYFUNCTION("""COMPUTED_VALUE"""),"Gouveia, L. (2006). *A gestão da Informação: em busca do equilíbrio perdido*. 
Simpósio Equilíbria. Auditório da Universidade Fernando Pessoa. 23 de Março 
de 2006.
apresentação [ pdf (180KB)]")</f>
        <v>Gouveia, L. (2006). *A gestão da Informação: em busca do equilíbrio perdido*. 
Simpósio Equilíbria. Auditório da Universidade Fernando Pessoa. 23 de Março 
de 2006.
apresentação [ pdf (180KB)]</v>
      </c>
      <c r="C561" s="2">
        <f t="shared" ca="1" si="62"/>
        <v>13</v>
      </c>
      <c r="D561" t="str">
        <f t="shared" ca="1" si="70"/>
        <v xml:space="preserve">Gouveia, L. </v>
      </c>
      <c r="E561" t="str">
        <f t="shared" ca="1" si="65"/>
        <v>2006</v>
      </c>
      <c r="F561" t="str">
        <f t="shared" ca="1" si="66"/>
        <v xml:space="preserve"> *A gestão da Informação: em busca do equilíbrio perdido*. </v>
      </c>
      <c r="G561" s="3">
        <f t="shared" ca="1" si="67"/>
        <v>18</v>
      </c>
      <c r="H561" s="2">
        <f t="shared" ca="1" si="68"/>
        <v>77</v>
      </c>
      <c r="I561" t="e">
        <f t="shared" ca="1" si="69"/>
        <v>#VALUE!</v>
      </c>
      <c r="J561" s="3" t="e">
        <f t="shared" ca="1" si="71"/>
        <v>#VALUE!</v>
      </c>
      <c r="K561" t="str">
        <f t="shared" ca="1" si="63"/>
        <v xml:space="preserve">Gouveia, L. </v>
      </c>
      <c r="L561" t="str">
        <f t="shared" ca="1" si="64"/>
        <v xml:space="preserve">Quental, C. </v>
      </c>
    </row>
    <row r="562" spans="1:12" ht="15.75" customHeight="1">
      <c r="A562">
        <f ca="1">IFERROR(__xludf.DUMMYFUNCTION("""COMPUTED_VALUE"""),4)</f>
        <v>4</v>
      </c>
      <c r="B562" t="str">
        <f ca="1">IFERROR(__xludf.DUMMYFUNCTION("""COMPUTED_VALUE"""),"Gouveia, L. (2005). *Uso de meios digitais no contexto do ensino superior*. Evento 
de ensino virtual e e-learning. 28 - 29 de Janeiro de 2005. Universidade 
Fernando Pessoa.
apresentação [ pdf (111KB) ]")</f>
        <v>Gouveia, L. (2005). *Uso de meios digitais no contexto do ensino superior*. Evento 
de ensino virtual e e-learning. 28 - 29 de Janeiro de 2005. Universidade 
Fernando Pessoa.
apresentação [ pdf (111KB) ]</v>
      </c>
      <c r="C562" s="2">
        <f t="shared" ca="1" si="62"/>
        <v>13</v>
      </c>
      <c r="D562" t="str">
        <f t="shared" ca="1" si="70"/>
        <v xml:space="preserve">Gouveia, L. </v>
      </c>
      <c r="E562" t="str">
        <f t="shared" ca="1" si="65"/>
        <v>2005</v>
      </c>
      <c r="F562" t="str">
        <f t="shared" ca="1" si="66"/>
        <v xml:space="preserve"> *Uso de meios digitais no contexto do ensino superior*. </v>
      </c>
      <c r="G562" s="3">
        <f t="shared" ca="1" si="67"/>
        <v>18</v>
      </c>
      <c r="H562" s="2">
        <f t="shared" ca="1" si="68"/>
        <v>75</v>
      </c>
      <c r="I562" t="e">
        <f t="shared" ca="1" si="69"/>
        <v>#VALUE!</v>
      </c>
      <c r="J562" s="3" t="e">
        <f t="shared" ca="1" si="71"/>
        <v>#VALUE!</v>
      </c>
      <c r="K562" t="str">
        <f t="shared" ca="1" si="63"/>
        <v xml:space="preserve">Gouveia, L. </v>
      </c>
      <c r="L562" t="str">
        <f t="shared" ca="1" si="64"/>
        <v xml:space="preserve">Quental, C. </v>
      </c>
    </row>
    <row r="563" spans="1:12" ht="15.75" customHeight="1">
      <c r="A563">
        <f ca="1">IFERROR(__xludf.DUMMYFUNCTION("""COMPUTED_VALUE"""),3)</f>
        <v>3</v>
      </c>
      <c r="B563" t="str">
        <f ca="1">IFERROR(__xludf.DUMMYFUNCTION("""COMPUTED_VALUE"""),"Gouveia, L. (2003). A mobilidade no Gaia Global: conceitos e aplicações. 
Festa da Mobilidade. Casa dos Ferradores. Gaia, 15 de Novembro.")</f>
        <v>Gouveia, L. (2003). A mobilidade no Gaia Global: conceitos e aplicações. 
Festa da Mobilidade. Casa dos Ferradores. Gaia, 15 de Novembro.</v>
      </c>
      <c r="C563" s="2">
        <f t="shared" ca="1" si="62"/>
        <v>13</v>
      </c>
      <c r="D563" t="str">
        <f t="shared" ca="1" si="70"/>
        <v xml:space="preserve">Gouveia, L. </v>
      </c>
      <c r="E563" t="str">
        <f t="shared" ca="1" si="65"/>
        <v>2003</v>
      </c>
      <c r="F563" t="str">
        <f t="shared" ca="1" si="66"/>
        <v xml:space="preserve"> A mobilidade no Gaia Global: conceitos e aplicações. </v>
      </c>
      <c r="G563" s="3">
        <f t="shared" ca="1" si="67"/>
        <v>18</v>
      </c>
      <c r="H563" s="2">
        <f t="shared" ca="1" si="68"/>
        <v>72</v>
      </c>
      <c r="I563" t="e">
        <f t="shared" ca="1" si="69"/>
        <v>#VALUE!</v>
      </c>
      <c r="J563" s="3" t="e">
        <f t="shared" ca="1" si="71"/>
        <v>#VALUE!</v>
      </c>
      <c r="K563" t="str">
        <f t="shared" ca="1" si="63"/>
        <v xml:space="preserve">Gouveia, L. </v>
      </c>
      <c r="L563" t="str">
        <f t="shared" ca="1" si="64"/>
        <v xml:space="preserve">Quental, C. </v>
      </c>
    </row>
    <row r="564" spans="1:12" ht="15.75" customHeight="1">
      <c r="A564">
        <f ca="1">IFERROR(__xludf.DUMMYFUNCTION("""COMPUTED_VALUE"""),2)</f>
        <v>2</v>
      </c>
      <c r="B564" t="str">
        <f ca="1">IFERROR(__xludf.DUMMYFUNCTION("""COMPUTED_VALUE"""),"Gouveia, L. (2003). Informáticos versus Documentalistas face à Sociedade da 
Informação. WORKSHOP ""Arquivistas versus Informáticos: cooperação (e) ou 
concorrência?"" Arquivo Distrital do Porto. 29 de Julho, Porto.")</f>
        <v>Gouveia, L. (2003). Informáticos versus Documentalistas face à Sociedade da 
Informação. WORKSHOP "Arquivistas versus Informáticos: cooperação (e) ou 
concorrência?" Arquivo Distrital do Porto. 29 de Julho, Porto.</v>
      </c>
      <c r="C564" s="2">
        <f t="shared" ca="1" si="62"/>
        <v>13</v>
      </c>
      <c r="D564" t="str">
        <f t="shared" ca="1" si="70"/>
        <v xml:space="preserve">Gouveia, L. </v>
      </c>
      <c r="E564" t="str">
        <f t="shared" ca="1" si="65"/>
        <v>2003</v>
      </c>
      <c r="F564" t="str">
        <f t="shared" ca="1" si="66"/>
        <v xml:space="preserve"> Informáticos versus Documentalistas face à Sociedade da 
Informação. </v>
      </c>
      <c r="G564" s="3">
        <f t="shared" ca="1" si="67"/>
        <v>18</v>
      </c>
      <c r="H564" s="2">
        <f t="shared" ca="1" si="68"/>
        <v>88</v>
      </c>
      <c r="I564" t="e">
        <f t="shared" ca="1" si="69"/>
        <v>#VALUE!</v>
      </c>
      <c r="J564" s="3" t="e">
        <f t="shared" ca="1" si="71"/>
        <v>#VALUE!</v>
      </c>
      <c r="K564" t="str">
        <f t="shared" ca="1" si="63"/>
        <v xml:space="preserve">Gouveia, L. </v>
      </c>
      <c r="L564" t="str">
        <f t="shared" ca="1" si="64"/>
        <v xml:space="preserve">Quental, C. </v>
      </c>
    </row>
    <row r="565" spans="1:12" ht="15.75" customHeight="1">
      <c r="A565">
        <f ca="1">IFERROR(__xludf.DUMMYFUNCTION("""COMPUTED_VALUE"""),1)</f>
        <v>1</v>
      </c>
      <c r="B565" t="str">
        <f ca="1">IFERROR(__xludf.DUMMYFUNCTION("""COMPUTED_VALUE"""),"Gouveia, L. (2001) *Contribuição para o enquadramento de práticas de 
e-Learning*. Integrado no debate O Livro, as Bibliotecas e o Ensino: a 
Mediação Digital. 71ª Feira do Livro do Porto. Auditório do Pavilhão Rosa 
Mota, 8 de Junho.
texto: [ pdf (32KB) "&amp;"]")</f>
        <v>Gouveia, L. (2001) *Contribuição para o enquadramento de práticas de 
e-Learning*. Integrado no debate O Livro, as Bibliotecas e o Ensino: a 
Mediação Digital. 71ª Feira do Livro do Porto. Auditório do Pavilhão Rosa 
Mota, 8 de Junho.
texto: [ pdf (32KB) ]</v>
      </c>
      <c r="C565" s="2">
        <f t="shared" ca="1" si="62"/>
        <v>13</v>
      </c>
      <c r="D565" t="str">
        <f t="shared" ca="1" si="70"/>
        <v xml:space="preserve">Gouveia, L. </v>
      </c>
      <c r="E565" t="str">
        <f t="shared" ca="1" si="65"/>
        <v>2001</v>
      </c>
      <c r="F565" t="e">
        <f t="shared" ca="1" si="66"/>
        <v>#VALUE!</v>
      </c>
      <c r="G565" s="3" t="e">
        <f t="shared" ca="1" si="67"/>
        <v>#VALUE!</v>
      </c>
      <c r="H565" s="2" t="e">
        <f t="shared" ca="1" si="68"/>
        <v>#VALUE!</v>
      </c>
      <c r="I565" t="e">
        <f t="shared" ca="1" si="69"/>
        <v>#VALUE!</v>
      </c>
      <c r="J565" s="3" t="e">
        <f t="shared" ca="1" si="71"/>
        <v>#VALUE!</v>
      </c>
      <c r="K565" t="str">
        <f t="shared" ca="1" si="63"/>
        <v xml:space="preserve">Gouveia, L. </v>
      </c>
      <c r="L565" t="str">
        <f t="shared" ca="1" si="64"/>
        <v xml:space="preserve">Quental, C. </v>
      </c>
    </row>
    <row r="566" spans="1:12" ht="15.75" customHeight="1">
      <c r="A566" t="str">
        <f ca="1">IFERROR(__xludf.DUMMYFUNCTION("""COMPUTED_VALUE"""),"[ top ]")</f>
        <v>[ top ]</v>
      </c>
      <c r="B566" t="str">
        <f ca="1">IFERROR(__xludf.DUMMYFUNCTION("""COMPUTED_VALUE"""),"*Outros media* / *Other media*")</f>
        <v>*Outros media* / *Other media*</v>
      </c>
      <c r="C566" s="2" t="e">
        <f t="shared" ca="1" si="62"/>
        <v>#VALUE!</v>
      </c>
      <c r="D566" t="e">
        <f t="shared" ca="1" si="70"/>
        <v>#VALUE!</v>
      </c>
      <c r="E566" t="e">
        <f t="shared" ca="1" si="65"/>
        <v>#VALUE!</v>
      </c>
      <c r="F566" t="e">
        <f t="shared" ca="1" si="66"/>
        <v>#VALUE!</v>
      </c>
      <c r="G566" s="3" t="e">
        <f t="shared" ca="1" si="67"/>
        <v>#VALUE!</v>
      </c>
      <c r="H566" s="2" t="e">
        <f t="shared" ca="1" si="68"/>
        <v>#VALUE!</v>
      </c>
      <c r="I566" t="e">
        <f t="shared" ca="1" si="69"/>
        <v>#VALUE!</v>
      </c>
      <c r="J566" s="3" t="e">
        <f t="shared" ca="1" si="71"/>
        <v>#VALUE!</v>
      </c>
      <c r="K566" t="e">
        <f t="shared" ca="1" si="63"/>
        <v>#VALUE!</v>
      </c>
      <c r="L566" t="str">
        <f t="shared" ca="1" si="64"/>
        <v xml:space="preserve">Quental, C. </v>
      </c>
    </row>
    <row r="567" spans="1:12" ht="15.75" customHeight="1">
      <c r="A567" t="str">
        <f ca="1">IFERROR(__xludf.DUMMYFUNCTION("""COMPUTED_VALUE"""),"_________")</f>
        <v>_________</v>
      </c>
      <c r="B567" t="str">
        <f ca="1">IFERROR(__xludf.DUMMYFUNCTION("""COMPUTED_VALUE"""),"textos e artigos nos media / texts and articles on media")</f>
        <v>textos e artigos nos media / texts and articles on media</v>
      </c>
      <c r="C567" s="2" t="e">
        <f t="shared" ca="1" si="62"/>
        <v>#VALUE!</v>
      </c>
      <c r="D567" t="e">
        <f t="shared" ca="1" si="70"/>
        <v>#VALUE!</v>
      </c>
      <c r="E567" t="e">
        <f t="shared" ca="1" si="65"/>
        <v>#VALUE!</v>
      </c>
      <c r="F567" t="e">
        <f t="shared" ca="1" si="66"/>
        <v>#VALUE!</v>
      </c>
      <c r="G567" s="3" t="e">
        <f t="shared" ca="1" si="67"/>
        <v>#VALUE!</v>
      </c>
      <c r="H567" s="2" t="e">
        <f t="shared" ca="1" si="68"/>
        <v>#VALUE!</v>
      </c>
      <c r="I567" t="e">
        <f t="shared" ca="1" si="69"/>
        <v>#VALUE!</v>
      </c>
      <c r="J567" s="3" t="e">
        <f t="shared" ca="1" si="71"/>
        <v>#VALUE!</v>
      </c>
      <c r="K567" t="e">
        <f t="shared" ca="1" si="63"/>
        <v>#VALUE!</v>
      </c>
      <c r="L567" t="str">
        <f t="shared" ca="1" si="64"/>
        <v xml:space="preserve">Quental, C. </v>
      </c>
    </row>
    <row r="568" spans="1:12" ht="15.75" customHeight="1">
      <c r="A568">
        <f ca="1">IFERROR(__xludf.DUMMYFUNCTION("""COMPUTED_VALUE"""),34)</f>
        <v>34</v>
      </c>
      <c r="B568" t="str">
        <f ca="1">IFERROR(__xludf.DUMMYFUNCTION("""COMPUTED_VALUE"""),"Cordeiro, S. e Gouveia, L. (2018). RGPD: o novo pesadelo das empresas?. 
Artigo de opinião. O Gaiense. Semanário de Vila Nova de Gaia., Página 9. 25 
de Maio.
[ Recorte do jornal ]")</f>
        <v>Cordeiro, S. e Gouveia, L. (2018). RGPD: o novo pesadelo das empresas?. 
Artigo de opinião. O Gaiense. Semanário de Vila Nova de Gaia., Página 9. 25 
de Maio.
[ Recorte do jornal ]</v>
      </c>
      <c r="C568" s="2">
        <f t="shared" ca="1" si="62"/>
        <v>28</v>
      </c>
      <c r="D568" t="str">
        <f t="shared" ca="1" si="70"/>
        <v xml:space="preserve">Cordeiro, S. e Gouveia, L. </v>
      </c>
      <c r="E568" t="str">
        <f t="shared" ca="1" si="65"/>
        <v>2018</v>
      </c>
      <c r="F568" t="str">
        <f t="shared" ca="1" si="66"/>
        <v xml:space="preserve"> RGPD: o novo pesadelo das empresas?. </v>
      </c>
      <c r="G568" s="3">
        <f t="shared" ca="1" si="67"/>
        <v>33</v>
      </c>
      <c r="H568" s="2">
        <f t="shared" ca="1" si="68"/>
        <v>71</v>
      </c>
      <c r="I568" t="e">
        <f t="shared" ca="1" si="69"/>
        <v>#VALUE!</v>
      </c>
      <c r="J568" s="3" t="e">
        <f t="shared" ca="1" si="71"/>
        <v>#VALUE!</v>
      </c>
      <c r="K568" t="str">
        <f t="shared" ca="1" si="63"/>
        <v xml:space="preserve">Cordeiro, S. e Gouveia, L. </v>
      </c>
      <c r="L568" t="str">
        <f t="shared" ca="1" si="64"/>
        <v xml:space="preserve">Quental, C. </v>
      </c>
    </row>
    <row r="569" spans="1:12" ht="15.75" customHeight="1">
      <c r="A569">
        <f ca="1">IFERROR(__xludf.DUMMYFUNCTION("""COMPUTED_VALUE"""),33)</f>
        <v>33</v>
      </c>
      <c r="B569" t="str">
        <f ca="1">IFERROR(__xludf.DUMMYFUNCTION("""COMPUTED_VALUE"""),"Araújo, A. e Gouveia, L. (2018). As Tecnologias de Informação e Comunicação 
aplicadas ao ensino. Artigo acadêmico.  23 de Março. Administradores.com.
[ handle ]")</f>
        <v>Araújo, A. e Gouveia, L. (2018). As Tecnologias de Informação e Comunicação 
aplicadas ao ensino. Artigo acadêmico.  23 de Março. Administradores.com.
[ handle ]</v>
      </c>
      <c r="C569" s="2">
        <f t="shared" ca="1" si="62"/>
        <v>26</v>
      </c>
      <c r="D569" t="str">
        <f t="shared" ca="1" si="70"/>
        <v xml:space="preserve">Araújo, A. e Gouveia, L. </v>
      </c>
      <c r="E569" t="str">
        <f t="shared" ca="1" si="65"/>
        <v>2018</v>
      </c>
      <c r="F569" t="str">
        <f t="shared" ca="1" si="66"/>
        <v xml:space="preserve"> As Tecnologias de Informação e Comunicação 
aplicadas ao ensino. </v>
      </c>
      <c r="G569" s="3">
        <f t="shared" ca="1" si="67"/>
        <v>31</v>
      </c>
      <c r="H569" s="2">
        <f t="shared" ca="1" si="68"/>
        <v>97</v>
      </c>
      <c r="I569" t="e">
        <f t="shared" ca="1" si="69"/>
        <v>#VALUE!</v>
      </c>
      <c r="J569" s="3" t="e">
        <f t="shared" ca="1" si="71"/>
        <v>#VALUE!</v>
      </c>
      <c r="K569" t="str">
        <f t="shared" ca="1" si="63"/>
        <v xml:space="preserve">Araújo, A. e Gouveia, L. </v>
      </c>
      <c r="L569" t="str">
        <f t="shared" ca="1" si="64"/>
        <v xml:space="preserve">Quental, C. </v>
      </c>
    </row>
    <row r="570" spans="1:12" ht="15.75" customHeight="1">
      <c r="A570">
        <f ca="1">IFERROR(__xludf.DUMMYFUNCTION("""COMPUTED_VALUE"""),32)</f>
        <v>32</v>
      </c>
      <c r="B570" t="str">
        <f ca="1">IFERROR(__xludf.DUMMYFUNCTION("""COMPUTED_VALUE"""),"Araújo, A. e Gouveia, L. (2018). Pressupostos sobre a pesquisa científica e 
teste piloto. Artigo acadêmico. 13 de Março. Administradores.com.
[ handle ]")</f>
        <v>Araújo, A. e Gouveia, L. (2018). Pressupostos sobre a pesquisa científica e 
teste piloto. Artigo acadêmico. 13 de Março. Administradores.com.
[ handle ]</v>
      </c>
      <c r="C570" s="2">
        <f t="shared" ca="1" si="62"/>
        <v>26</v>
      </c>
      <c r="D570" t="str">
        <f t="shared" ca="1" si="70"/>
        <v xml:space="preserve">Araújo, A. e Gouveia, L. </v>
      </c>
      <c r="E570" t="str">
        <f t="shared" ca="1" si="65"/>
        <v>2018</v>
      </c>
      <c r="F570" t="str">
        <f t="shared" ca="1" si="66"/>
        <v xml:space="preserve"> Pressupostos sobre a pesquisa científica e 
teste piloto. </v>
      </c>
      <c r="G570" s="3">
        <f t="shared" ca="1" si="67"/>
        <v>31</v>
      </c>
      <c r="H570" s="2">
        <f t="shared" ca="1" si="68"/>
        <v>90</v>
      </c>
      <c r="I570" t="e">
        <f t="shared" ca="1" si="69"/>
        <v>#VALUE!</v>
      </c>
      <c r="J570" s="3" t="e">
        <f t="shared" ca="1" si="71"/>
        <v>#VALUE!</v>
      </c>
      <c r="K570" t="str">
        <f t="shared" ca="1" si="63"/>
        <v xml:space="preserve">Araújo, A. e Gouveia, L. </v>
      </c>
      <c r="L570" t="str">
        <f t="shared" ca="1" si="64"/>
        <v xml:space="preserve">Quental, C. </v>
      </c>
    </row>
    <row r="571" spans="1:12" ht="15.75" customHeight="1">
      <c r="A571">
        <f ca="1">IFERROR(__xludf.DUMMYFUNCTION("""COMPUTED_VALUE"""),31)</f>
        <v>31</v>
      </c>
      <c r="B571" t="str">
        <f ca="1">IFERROR(__xludf.DUMMYFUNCTION("""COMPUTED_VALUE"""),"Gouveia, L. (2014). Desafios e oportunidades da Sociedade em Rede para o 
ensino e a aprendizagem. Palestra na pós-graduação em Educação em Turismo, 
Hotelaria e Restauração. ESEIG Escola Superior de Estudos Industriais e de 
Gestão do Instituto Politécni"&amp;"co do Porto. 11 de Julho. Vila do Conde.
[ handle ]")</f>
        <v>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
[ handle ]</v>
      </c>
      <c r="C571" s="2">
        <f t="shared" ca="1" si="62"/>
        <v>13</v>
      </c>
      <c r="D571" t="str">
        <f t="shared" ca="1" si="70"/>
        <v xml:space="preserve">Gouveia, L. </v>
      </c>
      <c r="E571" t="str">
        <f t="shared" ca="1" si="65"/>
        <v>2014</v>
      </c>
      <c r="F571" t="str">
        <f t="shared" ca="1" si="66"/>
        <v xml:space="preserve"> Desafios e oportunidades da Sociedade em Rede para o 
ensino e a aprendizagem. </v>
      </c>
      <c r="G571" s="3">
        <f t="shared" ca="1" si="67"/>
        <v>18</v>
      </c>
      <c r="H571" s="2">
        <f t="shared" ca="1" si="68"/>
        <v>98</v>
      </c>
      <c r="I571" t="e">
        <f t="shared" ca="1" si="69"/>
        <v>#VALUE!</v>
      </c>
      <c r="J571" s="3" t="e">
        <f t="shared" ca="1" si="71"/>
        <v>#VALUE!</v>
      </c>
      <c r="K571" t="str">
        <f t="shared" ca="1" si="63"/>
        <v xml:space="preserve">Gouveia, L. </v>
      </c>
      <c r="L571" t="str">
        <f t="shared" ca="1" si="64"/>
        <v xml:space="preserve">Quental, C. </v>
      </c>
    </row>
    <row r="572" spans="1:12" ht="15.75" customHeight="1">
      <c r="A572">
        <f ca="1">IFERROR(__xludf.DUMMYFUNCTION("""COMPUTED_VALUE"""),30)</f>
        <v>30</v>
      </c>
      <c r="B572" t="str">
        <f ca="1">IFERROR(__xludf.DUMMYFUNCTION("""COMPUTED_VALUE"""),"Coelho, J. et al. e Gouveia, L. (2013). As TIC e a Produtividade: a 
escassez de investimento no software em Portugal. 16ª Tomada de Posição do 
Grupo de Alto Nível da APDSI. Associação para  a Promoção e Desenvolvimento 
da Sociedade da Informação. Lisbo"&amp;"a, 3 de Outubro.
[ texto ]")</f>
        <v>Coelho, J. et al. e Gouveia, L. (2013). As TIC e a Produtividade: a 
escassez de investimento no software em Portugal. 16ª Tomada de Posição do 
Grupo de Alto Nível da APDSI. Associação para  a Promoção e Desenvolvimento 
da Sociedade da Informação. Lisboa, 3 de Outubro.
[ texto ]</v>
      </c>
      <c r="C572" s="2">
        <f t="shared" ca="1" si="62"/>
        <v>33</v>
      </c>
      <c r="D572" t="str">
        <f t="shared" ca="1" si="70"/>
        <v xml:space="preserve">Coelho, J. et al. e Gouveia, L. </v>
      </c>
      <c r="E572" t="str">
        <f t="shared" ca="1" si="65"/>
        <v>2013</v>
      </c>
      <c r="F572" t="str">
        <f t="shared" ca="1" si="66"/>
        <v xml:space="preserve"> As TIC e a Produtividade: a 
escassez de investimento no software em Portugal. </v>
      </c>
      <c r="G572" s="3">
        <f t="shared" ca="1" si="67"/>
        <v>38</v>
      </c>
      <c r="H572" s="2">
        <f t="shared" ca="1" si="68"/>
        <v>118</v>
      </c>
      <c r="I572" t="e">
        <f t="shared" ca="1" si="69"/>
        <v>#VALUE!</v>
      </c>
      <c r="J572" s="3" t="e">
        <f t="shared" ca="1" si="71"/>
        <v>#VALUE!</v>
      </c>
      <c r="K572" t="str">
        <f t="shared" ca="1" si="63"/>
        <v xml:space="preserve">Coelho, J. et al. e Gouveia, L. </v>
      </c>
      <c r="L572" t="str">
        <f t="shared" ca="1" si="64"/>
        <v xml:space="preserve">Quental, C. </v>
      </c>
    </row>
    <row r="573" spans="1:12" ht="15.75" customHeight="1">
      <c r="A573">
        <f ca="1">IFERROR(__xludf.DUMMYFUNCTION("""COMPUTED_VALUE"""),29)</f>
        <v>29</v>
      </c>
      <c r="B573" t="str">
        <f ca="1">IFERROR(__xludf.DUMMYFUNCTION("""COMPUTED_VALUE"""),"Coelho, J. et al. e Gouveia, L. (2013). Transparência e Sigilo na 
Administração Pública: A questão dos dados fiscais. 15ª Tomada de Posição 
do Grupo de Alto Nível da APDSI. Associação para  a Promoção e 
Desenvolvimento da Sociedade da Informação. Lisbo"&amp;"a, 24 de Abril.
[ texto ]")</f>
        <v>Coelho, J. et al. e Gouveia, L. (2013). Transparência e Sigilo na 
Administração Pública: A questão dos dados fiscais. 15ª Tomada de Posição 
do Grupo de Alto Nível da APDSI. Associação para  a Promoção e 
Desenvolvimento da Sociedade da Informação. Lisboa, 24 de Abril.
[ texto ]</v>
      </c>
      <c r="C573" s="2">
        <f t="shared" ca="1" si="62"/>
        <v>33</v>
      </c>
      <c r="D573" t="str">
        <f t="shared" ca="1" si="70"/>
        <v xml:space="preserve">Coelho, J. et al. e Gouveia, L. </v>
      </c>
      <c r="E573" t="str">
        <f t="shared" ca="1" si="65"/>
        <v>2013</v>
      </c>
      <c r="F573" t="str">
        <f t="shared" ca="1" si="66"/>
        <v xml:space="preserve"> Transparência e Sigilo na 
Administração Pública: A questão dos dados fiscais. </v>
      </c>
      <c r="G573" s="3">
        <f t="shared" ca="1" si="67"/>
        <v>38</v>
      </c>
      <c r="H573" s="2">
        <f t="shared" ca="1" si="68"/>
        <v>118</v>
      </c>
      <c r="I573" t="e">
        <f t="shared" ca="1" si="69"/>
        <v>#VALUE!</v>
      </c>
      <c r="J573" s="3" t="e">
        <f t="shared" ca="1" si="71"/>
        <v>#VALUE!</v>
      </c>
      <c r="K573" t="str">
        <f t="shared" ca="1" si="63"/>
        <v xml:space="preserve">Coelho, J. et al. e Gouveia, L. </v>
      </c>
      <c r="L573" t="str">
        <f t="shared" ca="1" si="64"/>
        <v xml:space="preserve">Quental, C. </v>
      </c>
    </row>
    <row r="574" spans="1:12" ht="15.75" customHeight="1">
      <c r="A574">
        <f ca="1">IFERROR(__xludf.DUMMYFUNCTION("""COMPUTED_VALUE"""),28)</f>
        <v>28</v>
      </c>
      <c r="B574" t="str">
        <f ca="1">IFERROR(__xludf.DUMMYFUNCTION("""COMPUTED_VALUE"""),"Coelho, J. et al. e Gouveia, L. (2012). Cultura e Arte na SI. Indústrias 
Criativas. 14ª Tomada de Posição do Grupo de Alto Nível da APDSI. 
Associação para  a Promoção e Desenvolvimento da Sociedade da Informação. 
Lisboa, 29 de Setembro.
[ texto ]")</f>
        <v>Coelho, J. et al. e Gouveia, L. (2012). Cultura e Arte na SI. Indústrias 
Criativas. 14ª Tomada de Posição do Grupo de Alto Nível da APDSI. 
Associação para  a Promoção e Desenvolvimento da Sociedade da Informação. 
Lisboa, 29 de Setembro.
[ texto ]</v>
      </c>
      <c r="C574" s="2">
        <f t="shared" ca="1" si="62"/>
        <v>33</v>
      </c>
      <c r="D574" t="str">
        <f t="shared" ca="1" si="70"/>
        <v xml:space="preserve">Coelho, J. et al. e Gouveia, L. </v>
      </c>
      <c r="E574" t="str">
        <f t="shared" ca="1" si="65"/>
        <v>2012</v>
      </c>
      <c r="F574" t="str">
        <f t="shared" ca="1" si="66"/>
        <v xml:space="preserve"> Cultura e Arte na SI. </v>
      </c>
      <c r="G574" s="3">
        <f t="shared" ca="1" si="67"/>
        <v>38</v>
      </c>
      <c r="H574" s="2">
        <f t="shared" ca="1" si="68"/>
        <v>61</v>
      </c>
      <c r="I574" t="e">
        <f t="shared" ca="1" si="69"/>
        <v>#VALUE!</v>
      </c>
      <c r="J574" s="3" t="e">
        <f t="shared" ca="1" si="71"/>
        <v>#VALUE!</v>
      </c>
      <c r="K574" t="str">
        <f t="shared" ca="1" si="63"/>
        <v xml:space="preserve">Coelho, J. et al. e Gouveia, L. </v>
      </c>
      <c r="L574" t="str">
        <f t="shared" ca="1" si="64"/>
        <v xml:space="preserve">Quental, C. </v>
      </c>
    </row>
    <row r="575" spans="1:12" ht="15.75" customHeight="1">
      <c r="A575">
        <f ca="1">IFERROR(__xludf.DUMMYFUNCTION("""COMPUTED_VALUE"""),27)</f>
        <v>27</v>
      </c>
      <c r="B575" t="str">
        <f ca="1">IFERROR(__xludf.DUMMYFUNCTION("""COMPUTED_VALUE"""),"Gouveia, L. (2012). Prefácio à 5ª edição. Ribeiro, N. (2012). Multimédia e 
Tecnologias Interativas. Lisboa: FCA - Editora de Informática. 5ª Edição, 
pp XXXI-XXXIII.  ISBN 9789727227440.")</f>
        <v>Gouveia, L. (2012). Prefácio à 5ª edição. Ribeiro, N. (2012). Multimédia e 
Tecnologias Interativas. Lisboa: FCA - Editora de Informática. 5ª Edição, 
pp XXXI-XXXIII.  ISBN 9789727227440.</v>
      </c>
      <c r="C575" s="2">
        <f t="shared" ca="1" si="62"/>
        <v>13</v>
      </c>
      <c r="D575" t="str">
        <f t="shared" ca="1" si="70"/>
        <v xml:space="preserve">Gouveia, L. </v>
      </c>
      <c r="E575" t="str">
        <f t="shared" ca="1" si="65"/>
        <v>2012</v>
      </c>
      <c r="F575" t="str">
        <f t="shared" ca="1" si="66"/>
        <v xml:space="preserve"> Prefácio à 5ª edição. </v>
      </c>
      <c r="G575" s="3">
        <f t="shared" ca="1" si="67"/>
        <v>18</v>
      </c>
      <c r="H575" s="2">
        <f t="shared" ca="1" si="68"/>
        <v>41</v>
      </c>
      <c r="I575" t="str">
        <f t="shared" ca="1" si="69"/>
        <v>Ribeiro, N. (2012).</v>
      </c>
      <c r="J575" s="3">
        <f t="shared" ca="1" si="71"/>
        <v>60</v>
      </c>
      <c r="K575" t="str">
        <f t="shared" ca="1" si="63"/>
        <v xml:space="preserve">Gouveia, L. </v>
      </c>
      <c r="L575" t="str">
        <f t="shared" ca="1" si="64"/>
        <v xml:space="preserve">Quental, C. </v>
      </c>
    </row>
    <row r="576" spans="1:12" ht="15.75" customHeight="1">
      <c r="A576">
        <f ca="1">IFERROR(__xludf.DUMMYFUNCTION("""COMPUTED_VALUE"""),26)</f>
        <v>26</v>
      </c>
      <c r="B576" t="str">
        <f ca="1">IFERROR(__xludf.DUMMYFUNCTION("""COMPUTED_VALUE"""),"Coelho, J. et al. e Gouveia, L. (2012). A Estratégia do XIX Governo 
Constitucional para as TIC: Racionalizar para Melhorar? 13ª Tomada de 
Posição do Grupo de Alto Nível da APDSI. Associação para  a Promoção e 
Desenvolvimento da Sociedade da Informação."&amp;" Lisboa, 11 de Abril.
[ texto ]")</f>
        <v>Coelho, J. et al. e Gouveia, L. (2012). A Estratégia do XIX Governo 
Constitucional para as TIC: Racionalizar para Melhorar? 13ª Tomada de 
Posição do Grupo de Alto Nível da APDSI. Associação para  a Promoção e 
Desenvolvimento da Sociedade da Informação. Lisboa, 11 de Abril.
[ texto ]</v>
      </c>
      <c r="C576" s="2">
        <f t="shared" ca="1" si="62"/>
        <v>33</v>
      </c>
      <c r="D576" t="str">
        <f t="shared" ca="1" si="70"/>
        <v xml:space="preserve">Coelho, J. et al. e Gouveia, L. </v>
      </c>
      <c r="E576" t="str">
        <f t="shared" ca="1" si="65"/>
        <v>2012</v>
      </c>
      <c r="F576" t="str">
        <f t="shared" ca="1" si="66"/>
        <v xml:space="preserve"> A Estratégia do XIX Governo 
Constitucional para as TIC: Racionalizar para Melhorar? 13ª Tomada de 
Posição do Grupo de Alto Nível da APDSI. </v>
      </c>
      <c r="G576" s="3">
        <f t="shared" ca="1" si="67"/>
        <v>38</v>
      </c>
      <c r="H576" s="2">
        <f t="shared" ca="1" si="68"/>
        <v>180</v>
      </c>
      <c r="I576" t="e">
        <f t="shared" ca="1" si="69"/>
        <v>#VALUE!</v>
      </c>
      <c r="J576" s="3" t="e">
        <f t="shared" ca="1" si="71"/>
        <v>#VALUE!</v>
      </c>
      <c r="K576" t="str">
        <f t="shared" ca="1" si="63"/>
        <v xml:space="preserve">Coelho, J. et al. e Gouveia, L. </v>
      </c>
      <c r="L576" t="str">
        <f t="shared" ca="1" si="64"/>
        <v xml:space="preserve">Quental, C. </v>
      </c>
    </row>
    <row r="577" spans="1:12" ht="15.75" customHeight="1">
      <c r="A577">
        <f ca="1">IFERROR(__xludf.DUMMYFUNCTION("""COMPUTED_VALUE"""),25)</f>
        <v>25</v>
      </c>
      <c r="B577" t="str">
        <f ca="1">IFERROR(__xludf.DUMMYFUNCTION("""COMPUTED_VALUE"""),"Gouveia, L. (2011). Texto sobre a inutilidade. In Duarte, F. e Bruinsma, M. 
(2011). Sem uso/Useless. EXD'11. Lisboa: Experimenta Design/Babel.
[ link ]")</f>
        <v>Gouveia, L. (2011). Texto sobre a inutilidade. In Duarte, F. e Bruinsma, M. 
(2011). Sem uso/Useless. EXD'11. Lisboa: Experimenta Design/Babel.
[ link ]</v>
      </c>
      <c r="C577" s="2">
        <f t="shared" ca="1" si="62"/>
        <v>13</v>
      </c>
      <c r="D577" t="str">
        <f t="shared" ca="1" si="70"/>
        <v xml:space="preserve">Gouveia, L. </v>
      </c>
      <c r="E577" t="str">
        <f t="shared" ca="1" si="65"/>
        <v>2011</v>
      </c>
      <c r="F577" t="str">
        <f t="shared" ca="1" si="66"/>
        <v xml:space="preserve"> Texto sobre a inutilidade. </v>
      </c>
      <c r="G577" s="3">
        <f t="shared" ca="1" si="67"/>
        <v>18</v>
      </c>
      <c r="H577" s="2">
        <f t="shared" ca="1" si="68"/>
        <v>46</v>
      </c>
      <c r="I577" t="str">
        <f t="shared" ca="1" si="69"/>
        <v>In Duarte, F. e Bruinsma, M. 
(2011).</v>
      </c>
      <c r="J577" s="3">
        <f t="shared" ca="1" si="71"/>
        <v>83</v>
      </c>
      <c r="K577" t="str">
        <f t="shared" ca="1" si="63"/>
        <v xml:space="preserve">Gouveia, L. </v>
      </c>
      <c r="L577" t="str">
        <f t="shared" ca="1" si="64"/>
        <v xml:space="preserve">Quental, C. </v>
      </c>
    </row>
    <row r="578" spans="1:12" ht="15.75" customHeight="1">
      <c r="A578">
        <f ca="1">IFERROR(__xludf.DUMMYFUNCTION("""COMPUTED_VALUE"""),24)</f>
        <v>24</v>
      </c>
      <c r="B578" t="str">
        <f ca="1">IFERROR(__xludf.DUMMYFUNCTION("""COMPUTED_VALUE"""),"Gouveia, L. (2007). *Uma reflexão sobre capacitar o território por 
tecnologia*. Suplemento de Economia. Diário do Minho. 10 de Julho.
texto [ pdf (385KB) ]")</f>
        <v>Gouveia, L. (2007). *Uma reflexão sobre capacitar o território por 
tecnologia*. Suplemento de Economia. Diário do Minho. 10 de Julho.
texto [ pdf (385KB) ]</v>
      </c>
      <c r="C578" s="2">
        <f t="shared" ca="1" si="62"/>
        <v>13</v>
      </c>
      <c r="D578" t="str">
        <f t="shared" ca="1" si="70"/>
        <v xml:space="preserve">Gouveia, L. </v>
      </c>
      <c r="E578" t="str">
        <f t="shared" ca="1" si="65"/>
        <v>2007</v>
      </c>
      <c r="F578" t="str">
        <f t="shared" ca="1" si="66"/>
        <v xml:space="preserve"> *Uma reflexão sobre capacitar o território por 
tecnologia*. </v>
      </c>
      <c r="G578" s="3">
        <f t="shared" ca="1" si="67"/>
        <v>18</v>
      </c>
      <c r="H578" s="2">
        <f t="shared" ca="1" si="68"/>
        <v>80</v>
      </c>
      <c r="I578" t="e">
        <f t="shared" ca="1" si="69"/>
        <v>#VALUE!</v>
      </c>
      <c r="J578" s="3" t="e">
        <f t="shared" ca="1" si="71"/>
        <v>#VALUE!</v>
      </c>
      <c r="K578" t="str">
        <f t="shared" ca="1" si="63"/>
        <v xml:space="preserve">Gouveia, L. </v>
      </c>
      <c r="L578" t="str">
        <f t="shared" ca="1" si="64"/>
        <v xml:space="preserve">Quental, C. </v>
      </c>
    </row>
    <row r="579" spans="1:12" ht="15.75" customHeight="1">
      <c r="A579">
        <f ca="1">IFERROR(__xludf.DUMMYFUNCTION("""COMPUTED_VALUE"""),23)</f>
        <v>23</v>
      </c>
      <c r="B579" t="str">
        <f ca="1">IFERROR(__xludf.DUMMYFUNCTION("""COMPUTED_VALUE"""),"Gouveia, L. (2007). *Território, conhecimento e competências: um triângulo 
a fixar*. Suplemento de Economia. Diário do Minho. 10 de Julho.
texto [ pdf (378KB) ]")</f>
        <v>Gouveia, L. (2007). *Território, conhecimento e competências: um triângulo 
a fixar*. Suplemento de Economia. Diário do Minho. 10 de Julho.
texto [ pdf (378KB) ]</v>
      </c>
      <c r="C579" s="2">
        <f t="shared" ca="1" si="62"/>
        <v>13</v>
      </c>
      <c r="D579" t="str">
        <f t="shared" ca="1" si="70"/>
        <v xml:space="preserve">Gouveia, L. </v>
      </c>
      <c r="E579" t="str">
        <f t="shared" ref="E579:E642" ca="1" si="72">MID(B579,C579+1,4)</f>
        <v>2007</v>
      </c>
      <c r="F579" t="str">
        <f t="shared" ref="F579:F642" ca="1" si="73">MID(B579,G579+2,H579-G579)</f>
        <v xml:space="preserve"> *Território, conhecimento e competências: um triângulo 
a fixar*. </v>
      </c>
      <c r="G579" s="3">
        <f t="shared" ref="G579:G642" ca="1" si="74">FIND(").",B579)</f>
        <v>18</v>
      </c>
      <c r="H579" s="2">
        <f t="shared" ref="H579:H642" ca="1" si="75">FIND(".",B579,G579+2)</f>
        <v>85</v>
      </c>
      <c r="I579" t="e">
        <f t="shared" ref="I579:I642" ca="1" si="76">MID(B579,H579+2,J579-H579)</f>
        <v>#VALUE!</v>
      </c>
      <c r="J579" s="3" t="e">
        <f t="shared" ca="1" si="71"/>
        <v>#VALUE!</v>
      </c>
      <c r="K579" t="str">
        <f t="shared" ca="1" si="63"/>
        <v xml:space="preserve">Gouveia, L. </v>
      </c>
      <c r="L579" t="str">
        <f t="shared" ca="1" si="64"/>
        <v xml:space="preserve">Quental, C. </v>
      </c>
    </row>
    <row r="580" spans="1:12" ht="15.75" customHeight="1">
      <c r="A580">
        <f ca="1">IFERROR(__xludf.DUMMYFUNCTION("""COMPUTED_VALUE"""),22)</f>
        <v>22</v>
      </c>
      <c r="B580" t="str">
        <f ca="1">IFERROR(__xludf.DUMMYFUNCTION("""COMPUTED_VALUE"""),"Gouveia, L. (2007). *Tirar partido dos Sistemas de Informação no contexto 
actual*. Suplemento de Economia. Diário do Minho. 19 de Junho.
texto [ pdf (372KB) ]")</f>
        <v>Gouveia, L. (2007). *Tirar partido dos Sistemas de Informação no contexto 
actual*. Suplemento de Economia. Diário do Minho. 19 de Junho.
texto [ pdf (372KB) ]</v>
      </c>
      <c r="C580" s="2">
        <f t="shared" ca="1" si="62"/>
        <v>13</v>
      </c>
      <c r="D580" t="str">
        <f t="shared" ref="D580:D643" ca="1" si="77">LEFT(B580,FIND("(",B580)-1)</f>
        <v xml:space="preserve">Gouveia, L. </v>
      </c>
      <c r="E580" t="str">
        <f t="shared" ca="1" si="72"/>
        <v>2007</v>
      </c>
      <c r="F580" t="str">
        <f t="shared" ca="1" si="73"/>
        <v xml:space="preserve"> *Tirar partido dos Sistemas de Informação no contexto 
actual*. </v>
      </c>
      <c r="G580" s="3">
        <f t="shared" ca="1" si="74"/>
        <v>18</v>
      </c>
      <c r="H580" s="2">
        <f t="shared" ca="1" si="75"/>
        <v>83</v>
      </c>
      <c r="I580" t="e">
        <f t="shared" ca="1" si="76"/>
        <v>#VALUE!</v>
      </c>
      <c r="J580" s="3" t="e">
        <f t="shared" ref="J580:J643" ca="1" si="78">FIND(").",B580,H580+1)</f>
        <v>#VALUE!</v>
      </c>
      <c r="K580" t="str">
        <f t="shared" ca="1" si="63"/>
        <v xml:space="preserve">Gouveia, L. </v>
      </c>
      <c r="L580" t="str">
        <f t="shared" ca="1" si="64"/>
        <v xml:space="preserve">Quental, C. </v>
      </c>
    </row>
    <row r="581" spans="1:12" ht="15.75" customHeight="1">
      <c r="A581">
        <f ca="1">IFERROR(__xludf.DUMMYFUNCTION("""COMPUTED_VALUE"""),21)</f>
        <v>21</v>
      </c>
      <c r="B581" t="str">
        <f ca="1">IFERROR(__xludf.DUMMYFUNCTION("""COMPUTED_VALUE"""),"Gouveia, L. (2006). *Afinal não é assim tão caro ou uma história sobre o 
conhecimento.* UFP, Novembro.
texto [ pdf ]")</f>
        <v>Gouveia, L. (2006). *Afinal não é assim tão caro ou uma história sobre o 
conhecimento.* UFP, Novembro.
texto [ pdf ]</v>
      </c>
      <c r="C581" s="2">
        <f t="shared" ca="1" si="62"/>
        <v>13</v>
      </c>
      <c r="D581" t="str">
        <f t="shared" ca="1" si="77"/>
        <v xml:space="preserve">Gouveia, L. </v>
      </c>
      <c r="E581" t="str">
        <f t="shared" ca="1" si="72"/>
        <v>2006</v>
      </c>
      <c r="F581" t="str">
        <f t="shared" ca="1" si="73"/>
        <v xml:space="preserve"> *Afinal não é assim tão caro ou uma história sobre o 
conhecimento.*</v>
      </c>
      <c r="G581" s="3">
        <f t="shared" ca="1" si="74"/>
        <v>18</v>
      </c>
      <c r="H581" s="2">
        <f t="shared" ca="1" si="75"/>
        <v>87</v>
      </c>
      <c r="I581" t="e">
        <f t="shared" ca="1" si="76"/>
        <v>#VALUE!</v>
      </c>
      <c r="J581" s="3" t="e">
        <f t="shared" ca="1" si="78"/>
        <v>#VALUE!</v>
      </c>
      <c r="K581" t="str">
        <f t="shared" ca="1" si="63"/>
        <v xml:space="preserve">Gouveia, L. </v>
      </c>
      <c r="L581" t="str">
        <f t="shared" ca="1" si="64"/>
        <v xml:space="preserve">Quental, C. </v>
      </c>
    </row>
    <row r="582" spans="1:12" ht="15.75" customHeight="1">
      <c r="A582">
        <f ca="1">IFERROR(__xludf.DUMMYFUNCTION("""COMPUTED_VALUE"""),20)</f>
        <v>20</v>
      </c>
      <c r="B582" t="str">
        <f ca="1">IFERROR(__xludf.DUMMYFUNCTION("""COMPUTED_VALUE"""),"Gouveia, L. (2006). *A necessidade de capacitar conhecimento para o 
território.* Revista e-ciência, T-Media. 19 de Outubro, pp 13-14.
texto [ pdf (20KB)]")</f>
        <v>Gouveia, L. (2006). *A necessidade de capacitar conhecimento para o 
território.* Revista e-ciência, T-Media. 19 de Outubro, pp 13-14.
texto [ pdf (20KB)]</v>
      </c>
      <c r="C582" s="2">
        <f t="shared" ca="1" si="62"/>
        <v>13</v>
      </c>
      <c r="D582" t="str">
        <f t="shared" ca="1" si="77"/>
        <v xml:space="preserve">Gouveia, L. </v>
      </c>
      <c r="E582" t="str">
        <f t="shared" ca="1" si="72"/>
        <v>2006</v>
      </c>
      <c r="F582" t="str">
        <f t="shared" ca="1" si="73"/>
        <v xml:space="preserve"> *A necessidade de capacitar conhecimento para o 
território.*</v>
      </c>
      <c r="G582" s="3">
        <f t="shared" ca="1" si="74"/>
        <v>18</v>
      </c>
      <c r="H582" s="2">
        <f t="shared" ca="1" si="75"/>
        <v>80</v>
      </c>
      <c r="I582" t="e">
        <f t="shared" ca="1" si="76"/>
        <v>#VALUE!</v>
      </c>
      <c r="J582" s="3" t="e">
        <f t="shared" ca="1" si="78"/>
        <v>#VALUE!</v>
      </c>
      <c r="K582" t="str">
        <f t="shared" ca="1" si="63"/>
        <v xml:space="preserve">Gouveia, L. </v>
      </c>
      <c r="L582" t="str">
        <f t="shared" ca="1" si="64"/>
        <v xml:space="preserve">Quental, C. </v>
      </c>
    </row>
    <row r="583" spans="1:12" ht="15.75" customHeight="1">
      <c r="A583">
        <f ca="1">IFERROR(__xludf.DUMMYFUNCTION("""COMPUTED_VALUE"""),19)</f>
        <v>19</v>
      </c>
      <c r="B583" t="str">
        <f ca="1">IFERROR(__xludf.DUMMYFUNCTION("""COMPUTED_VALUE"""),"Gouveia, L. (2005). *Cidades e Regiões Digitais: no limiar da maioridade.* 
Artigo de opinião publicado na revista e-Ciência, nº 039 de 16 de Junho de 
2005, pp 34-35.
texto [ pdf (36KB) ]")</f>
        <v>Gouveia, L. (2005). *Cidades e Regiões Digitais: no limiar da maioridade.* 
Artigo de opinião publicado na revista e-Ciência, nº 039 de 16 de Junho de 
2005, pp 34-35.
texto [ pdf (36KB) ]</v>
      </c>
      <c r="C583" s="2">
        <f t="shared" ca="1" si="62"/>
        <v>13</v>
      </c>
      <c r="D583" t="str">
        <f t="shared" ca="1" si="77"/>
        <v xml:space="preserve">Gouveia, L. </v>
      </c>
      <c r="E583" t="str">
        <f t="shared" ca="1" si="72"/>
        <v>2005</v>
      </c>
      <c r="F583" t="str">
        <f t="shared" ca="1" si="73"/>
        <v xml:space="preserve"> *Cidades e Regiões Digitais: no limiar da maioridade.*</v>
      </c>
      <c r="G583" s="3">
        <f t="shared" ca="1" si="74"/>
        <v>18</v>
      </c>
      <c r="H583" s="2">
        <f t="shared" ca="1" si="75"/>
        <v>73</v>
      </c>
      <c r="I583" t="e">
        <f t="shared" ca="1" si="76"/>
        <v>#VALUE!</v>
      </c>
      <c r="J583" s="3" t="e">
        <f t="shared" ca="1" si="78"/>
        <v>#VALUE!</v>
      </c>
      <c r="K583" t="str">
        <f t="shared" ca="1" si="63"/>
        <v xml:space="preserve">Gouveia, L. </v>
      </c>
      <c r="L583" t="str">
        <f t="shared" ca="1" si="64"/>
        <v xml:space="preserve">Quental, C. </v>
      </c>
    </row>
    <row r="584" spans="1:12" ht="15.75" customHeight="1">
      <c r="A584">
        <f ca="1">IFERROR(__xludf.DUMMYFUNCTION("""COMPUTED_VALUE"""),18)</f>
        <v>18</v>
      </c>
      <c r="B584" t="str">
        <f ca="1">IFERROR(__xludf.DUMMYFUNCTION("""COMPUTED_VALUE"""),"Gouveia, L. (2005). *A minha homepage faz dez anos!* Newsletter Professores 
Inovadores. Microsoft Educação. Novembro.
texto [ pdf (104KB)]")</f>
        <v>Gouveia, L. (2005). *A minha homepage faz dez anos!* Newsletter Professores 
Inovadores. Microsoft Educação. Novembro.
texto [ pdf (104KB)]</v>
      </c>
      <c r="C584" s="2">
        <f t="shared" ca="1" si="62"/>
        <v>13</v>
      </c>
      <c r="D584" t="str">
        <f t="shared" ca="1" si="77"/>
        <v xml:space="preserve">Gouveia, L. </v>
      </c>
      <c r="E584" t="str">
        <f t="shared" ca="1" si="72"/>
        <v>2005</v>
      </c>
      <c r="F584" t="str">
        <f t="shared" ca="1" si="73"/>
        <v xml:space="preserve"> *A minha homepage faz dez anos!* Newsletter Professores 
Inovadores. </v>
      </c>
      <c r="G584" s="3">
        <f t="shared" ca="1" si="74"/>
        <v>18</v>
      </c>
      <c r="H584" s="2">
        <f t="shared" ca="1" si="75"/>
        <v>88</v>
      </c>
      <c r="I584" t="e">
        <f t="shared" ca="1" si="76"/>
        <v>#VALUE!</v>
      </c>
      <c r="J584" s="3" t="e">
        <f t="shared" ca="1" si="78"/>
        <v>#VALUE!</v>
      </c>
      <c r="K584" t="str">
        <f t="shared" ca="1" si="63"/>
        <v xml:space="preserve">Gouveia, L. </v>
      </c>
      <c r="L584" t="str">
        <f t="shared" ca="1" si="64"/>
        <v xml:space="preserve">Quental, C. </v>
      </c>
    </row>
    <row r="585" spans="1:12" ht="15.75" customHeight="1">
      <c r="A585">
        <f ca="1">IFERROR(__xludf.DUMMYFUNCTION("""COMPUTED_VALUE"""),17)</f>
        <v>17</v>
      </c>
      <c r="B585" t="str">
        <f ca="1">IFERROR(__xludf.DUMMYFUNCTION("""COMPUTED_VALUE"""),"Gouveia, L. (2004). *A Sociedade da Informação e as autarquias digitais*. 
Revista Autárquica. nº 1 (Ano 1), Novembro, pp 81-85.")</f>
        <v>Gouveia, L. (2004). *A Sociedade da Informação e as autarquias digitais*. 
Revista Autárquica. nº 1 (Ano 1), Novembro, pp 81-85.</v>
      </c>
      <c r="C585" s="2">
        <f t="shared" ca="1" si="62"/>
        <v>13</v>
      </c>
      <c r="D585" t="str">
        <f t="shared" ca="1" si="77"/>
        <v xml:space="preserve">Gouveia, L. </v>
      </c>
      <c r="E585" t="str">
        <f t="shared" ca="1" si="72"/>
        <v>2004</v>
      </c>
      <c r="F585" t="str">
        <f t="shared" ca="1" si="73"/>
        <v xml:space="preserve"> *A Sociedade da Informação e as autarquias digitais*. </v>
      </c>
      <c r="G585" s="3">
        <f t="shared" ca="1" si="74"/>
        <v>18</v>
      </c>
      <c r="H585" s="2">
        <f t="shared" ca="1" si="75"/>
        <v>73</v>
      </c>
      <c r="I585" t="e">
        <f t="shared" ca="1" si="76"/>
        <v>#VALUE!</v>
      </c>
      <c r="J585" s="3" t="e">
        <f t="shared" ca="1" si="78"/>
        <v>#VALUE!</v>
      </c>
      <c r="K585" t="str">
        <f t="shared" ca="1" si="63"/>
        <v xml:space="preserve">Gouveia, L. </v>
      </c>
      <c r="L585" t="str">
        <f t="shared" ca="1" si="64"/>
        <v xml:space="preserve">Quental, C. </v>
      </c>
    </row>
    <row r="586" spans="1:12" ht="15.75" customHeight="1">
      <c r="A586">
        <f ca="1">IFERROR(__xludf.DUMMYFUNCTION("""COMPUTED_VALUE"""),16)</f>
        <v>16</v>
      </c>
      <c r="B586" t="str">
        <f ca="1">IFERROR(__xludf.DUMMYFUNCTION("""COMPUTED_VALUE"""),"Gouveia, L. (2004). *Sociedade da Informação. Notas de contribuição para 
uma definição operacional*. UFP, Novembro.
texto [ pdf ]")</f>
        <v>Gouveia, L. (2004). *Sociedade da Informação. Notas de contribuição para 
uma definição operacional*. UFP, Novembro.
texto [ pdf ]</v>
      </c>
      <c r="C586" s="2">
        <f t="shared" ca="1" si="62"/>
        <v>13</v>
      </c>
      <c r="D586" t="str">
        <f t="shared" ca="1" si="77"/>
        <v xml:space="preserve">Gouveia, L. </v>
      </c>
      <c r="E586" t="str">
        <f t="shared" ca="1" si="72"/>
        <v>2004</v>
      </c>
      <c r="F586" t="str">
        <f t="shared" ca="1" si="73"/>
        <v xml:space="preserve"> *Sociedade da Informação. </v>
      </c>
      <c r="G586" s="3">
        <f t="shared" ca="1" si="74"/>
        <v>18</v>
      </c>
      <c r="H586" s="2">
        <f t="shared" ca="1" si="75"/>
        <v>45</v>
      </c>
      <c r="I586" t="e">
        <f t="shared" ca="1" si="76"/>
        <v>#VALUE!</v>
      </c>
      <c r="J586" s="3" t="e">
        <f t="shared" ca="1" si="78"/>
        <v>#VALUE!</v>
      </c>
      <c r="K586" t="str">
        <f t="shared" ca="1" si="63"/>
        <v xml:space="preserve">Gouveia, L. </v>
      </c>
      <c r="L586" t="str">
        <f t="shared" ca="1" si="64"/>
        <v xml:space="preserve">Quental, C. </v>
      </c>
    </row>
    <row r="587" spans="1:12" ht="15.75" customHeight="1">
      <c r="A587">
        <f ca="1">IFERROR(__xludf.DUMMYFUNCTION("""COMPUTED_VALUE"""),15)</f>
        <v>15</v>
      </c>
      <c r="B587" t="str">
        <f ca="1">IFERROR(__xludf.DUMMYFUNCTION("""COMPUTED_VALUE"""),"Gouveia, L. (2004). *Como analisar um caso de estudo*. UFP, Novembro.
texto [ pdf ]")</f>
        <v>Gouveia, L. (2004). *Como analisar um caso de estudo*. UFP, Novembro.
texto [ pdf ]</v>
      </c>
      <c r="C587" s="2">
        <f t="shared" ca="1" si="62"/>
        <v>13</v>
      </c>
      <c r="D587" t="str">
        <f t="shared" ca="1" si="77"/>
        <v xml:space="preserve">Gouveia, L. </v>
      </c>
      <c r="E587" t="str">
        <f t="shared" ca="1" si="72"/>
        <v>2004</v>
      </c>
      <c r="F587" t="str">
        <f t="shared" ca="1" si="73"/>
        <v xml:space="preserve"> *Como analisar um caso de estudo*. </v>
      </c>
      <c r="G587" s="3">
        <f t="shared" ca="1" si="74"/>
        <v>18</v>
      </c>
      <c r="H587" s="2">
        <f t="shared" ca="1" si="75"/>
        <v>54</v>
      </c>
      <c r="I587" t="e">
        <f t="shared" ca="1" si="76"/>
        <v>#VALUE!</v>
      </c>
      <c r="J587" s="3" t="e">
        <f t="shared" ca="1" si="78"/>
        <v>#VALUE!</v>
      </c>
      <c r="K587" t="str">
        <f t="shared" ca="1" si="63"/>
        <v xml:space="preserve">Gouveia, L. </v>
      </c>
      <c r="L587" t="str">
        <f t="shared" ca="1" si="64"/>
        <v xml:space="preserve">Quental, C. </v>
      </c>
    </row>
    <row r="588" spans="1:12" ht="15.75" customHeight="1">
      <c r="A588">
        <f ca="1">IFERROR(__xludf.DUMMYFUNCTION("""COMPUTED_VALUE"""),14)</f>
        <v>14</v>
      </c>
      <c r="B588" t="str">
        <f ca="1">IFERROR(__xludf.DUMMYFUNCTION("""COMPUTED_VALUE"""),"Gouveia, L. e Xavier, J. (2004). *Serviços Municipais de Integração: uma 
perspectiva de integração*. Quem é Quem? Revista Algébrica. Algébrica, pp 
22-24.
texto: [ pdf (1,2MB) ]")</f>
        <v>Gouveia, L. e Xavier, J. (2004). *Serviços Municipais de Integração: uma 
perspectiva de integração*. Quem é Quem? Revista Algébrica. Algébrica, pp 
22-24.
texto: [ pdf (1,2MB) ]</v>
      </c>
      <c r="C588" s="2">
        <f t="shared" ca="1" si="62"/>
        <v>26</v>
      </c>
      <c r="D588" t="str">
        <f t="shared" ca="1" si="77"/>
        <v xml:space="preserve">Gouveia, L. e Xavier, J. </v>
      </c>
      <c r="E588" t="str">
        <f t="shared" ca="1" si="72"/>
        <v>2004</v>
      </c>
      <c r="F588" t="str">
        <f t="shared" ca="1" si="73"/>
        <v xml:space="preserve"> *Serviços Municipais de Integração: uma 
perspectiva de integração*. </v>
      </c>
      <c r="G588" s="3">
        <f t="shared" ca="1" si="74"/>
        <v>31</v>
      </c>
      <c r="H588" s="2">
        <f t="shared" ca="1" si="75"/>
        <v>101</v>
      </c>
      <c r="I588" t="e">
        <f t="shared" ca="1" si="76"/>
        <v>#VALUE!</v>
      </c>
      <c r="J588" s="3" t="e">
        <f t="shared" ca="1" si="78"/>
        <v>#VALUE!</v>
      </c>
      <c r="K588" t="str">
        <f t="shared" ca="1" si="63"/>
        <v xml:space="preserve">Gouveia, L. e Xavier, J. </v>
      </c>
      <c r="L588" t="str">
        <f t="shared" ca="1" si="64"/>
        <v xml:space="preserve">Quental, C. </v>
      </c>
    </row>
    <row r="589" spans="1:12" ht="15.75" customHeight="1">
      <c r="A589">
        <f ca="1">IFERROR(__xludf.DUMMYFUNCTION("""COMPUTED_VALUE"""),13)</f>
        <v>13</v>
      </c>
      <c r="B589" t="str">
        <f ca="1">IFERROR(__xludf.DUMMYFUNCTION("""COMPUTED_VALUE"""),"Gouveia, F. e Gouveia, L. (2003). *Gestão da Informação: conceitos e 
importância*. Magazine Centroatlântico.pt. Edição nº 3, Outubro 2003.")</f>
        <v>Gouveia, F. e Gouveia, L. (2003). *Gestão da Informação: conceitos e 
importância*. Magazine Centroatlântico.pt. Edição nº 3, Outubro 2003.</v>
      </c>
      <c r="C589" s="2">
        <f t="shared" ca="1" si="62"/>
        <v>27</v>
      </c>
      <c r="D589" t="str">
        <f t="shared" ca="1" si="77"/>
        <v xml:space="preserve">Gouveia, F. e Gouveia, L. </v>
      </c>
      <c r="E589" t="str">
        <f t="shared" ca="1" si="72"/>
        <v>2003</v>
      </c>
      <c r="F589" t="str">
        <f t="shared" ca="1" si="73"/>
        <v xml:space="preserve"> *Gestão da Informação: conceitos e 
importância*. </v>
      </c>
      <c r="G589" s="3">
        <f t="shared" ca="1" si="74"/>
        <v>32</v>
      </c>
      <c r="H589" s="2">
        <f t="shared" ca="1" si="75"/>
        <v>83</v>
      </c>
      <c r="I589" t="e">
        <f t="shared" ca="1" si="76"/>
        <v>#VALUE!</v>
      </c>
      <c r="J589" s="3" t="e">
        <f t="shared" ca="1" si="78"/>
        <v>#VALUE!</v>
      </c>
      <c r="K589" t="str">
        <f t="shared" ca="1" si="63"/>
        <v xml:space="preserve">Gouveia, F. e Gouveia, L. </v>
      </c>
      <c r="L589" t="str">
        <f t="shared" ca="1" si="64"/>
        <v xml:space="preserve">Quental, C. </v>
      </c>
    </row>
    <row r="590" spans="1:12" ht="15.75" customHeight="1">
      <c r="A590">
        <f ca="1">IFERROR(__xludf.DUMMYFUNCTION("""COMPUTED_VALUE"""),12)</f>
        <v>12</v>
      </c>
      <c r="B590" t="str">
        <f ca="1">IFERROR(__xludf.DUMMYFUNCTION("""COMPUTED_VALUE"""),"Gouveia, J. e Gouveia, L. (2002). *Cidades Digitais*. Magazine 
Centroatlântico.pt. Outubro 2002, pp 14-16.
resumo [ pdf (1,24MB)]")</f>
        <v>Gouveia, J. e Gouveia, L. (2002). *Cidades Digitais*. Magazine 
Centroatlântico.pt. Outubro 2002, pp 14-16.
resumo [ pdf (1,24MB)]</v>
      </c>
      <c r="C590" s="2">
        <f t="shared" ca="1" si="62"/>
        <v>27</v>
      </c>
      <c r="D590" t="str">
        <f t="shared" ca="1" si="77"/>
        <v xml:space="preserve">Gouveia, J. e Gouveia, L. </v>
      </c>
      <c r="E590" t="str">
        <f t="shared" ca="1" si="72"/>
        <v>2002</v>
      </c>
      <c r="F590" t="str">
        <f t="shared" ca="1" si="73"/>
        <v xml:space="preserve"> *Cidades Digitais*. </v>
      </c>
      <c r="G590" s="3">
        <f t="shared" ca="1" si="74"/>
        <v>32</v>
      </c>
      <c r="H590" s="2">
        <f t="shared" ca="1" si="75"/>
        <v>53</v>
      </c>
      <c r="I590" t="e">
        <f t="shared" ca="1" si="76"/>
        <v>#VALUE!</v>
      </c>
      <c r="J590" s="3" t="e">
        <f t="shared" ca="1" si="78"/>
        <v>#VALUE!</v>
      </c>
      <c r="K590" t="str">
        <f t="shared" ca="1" si="63"/>
        <v xml:space="preserve">Gouveia, J. e Gouveia, L. </v>
      </c>
      <c r="L590" t="str">
        <f t="shared" ca="1" si="64"/>
        <v xml:space="preserve">Quental, C. </v>
      </c>
    </row>
    <row r="591" spans="1:12" ht="15.75" customHeight="1">
      <c r="A591">
        <f ca="1">IFERROR(__xludf.DUMMYFUNCTION("""COMPUTED_VALUE"""),11)</f>
        <v>11</v>
      </c>
      <c r="B591" t="str">
        <f ca="1">IFERROR(__xludf.DUMMYFUNCTION("""COMPUTED_VALUE"""),"Gouveia, L. e Gouveia, J. (2002). *As cidades digitais e o Gaia Digital*. 
28 de Setembro de 2002. Cadernos de Informática - Autarquias Digitais, 
Suplemento do Semanário Expresso de 28 de Setembro.")</f>
        <v>Gouveia, L. e Gouveia, J. (2002). *As cidades digitais e o Gaia Digital*. 
28 de Setembro de 2002. Cadernos de Informática - Autarquias Digitais, 
Suplemento do Semanário Expresso de 28 de Setembro.</v>
      </c>
      <c r="C591" s="2">
        <f t="shared" ca="1" si="62"/>
        <v>27</v>
      </c>
      <c r="D591" t="str">
        <f t="shared" ca="1" si="77"/>
        <v xml:space="preserve">Gouveia, L. e Gouveia, J. </v>
      </c>
      <c r="E591" t="str">
        <f t="shared" ca="1" si="72"/>
        <v>2002</v>
      </c>
      <c r="F591" t="str">
        <f t="shared" ca="1" si="73"/>
        <v xml:space="preserve"> *As cidades digitais e o Gaia Digital*. </v>
      </c>
      <c r="G591" s="3">
        <f t="shared" ca="1" si="74"/>
        <v>32</v>
      </c>
      <c r="H591" s="2">
        <f t="shared" ca="1" si="75"/>
        <v>73</v>
      </c>
      <c r="I591" t="e">
        <f t="shared" ca="1" si="76"/>
        <v>#VALUE!</v>
      </c>
      <c r="J591" s="3" t="e">
        <f t="shared" ca="1" si="78"/>
        <v>#VALUE!</v>
      </c>
      <c r="K591" t="str">
        <f t="shared" ca="1" si="63"/>
        <v xml:space="preserve">Gouveia, L. e Gouveia, J. </v>
      </c>
      <c r="L591" t="str">
        <f t="shared" ca="1" si="64"/>
        <v xml:space="preserve">Quental, C. </v>
      </c>
    </row>
    <row r="592" spans="1:12" ht="15.75" customHeight="1">
      <c r="A592">
        <f ca="1">IFERROR(__xludf.DUMMYFUNCTION("""COMPUTED_VALUE"""),10)</f>
        <v>10</v>
      </c>
      <c r="B592" t="str">
        <f ca="1">IFERROR(__xludf.DUMMYFUNCTION("""COMPUTED_VALUE"""),"Gouveia, L. (2002). *Competências críticas para a Sociedade da Informação e 
do conhecimento*. Excesso de Informação. UFP, Janeiro.
texto [ pdf ]")</f>
        <v>Gouveia, L. (2002). *Competências críticas para a Sociedade da Informação e 
do conhecimento*. Excesso de Informação. UFP, Janeiro.
texto [ pdf ]</v>
      </c>
      <c r="C592" s="2">
        <f t="shared" ca="1" si="62"/>
        <v>13</v>
      </c>
      <c r="D592" t="str">
        <f t="shared" ca="1" si="77"/>
        <v xml:space="preserve">Gouveia, L. </v>
      </c>
      <c r="E592" t="str">
        <f t="shared" ca="1" si="72"/>
        <v>2002</v>
      </c>
      <c r="F592" t="str">
        <f t="shared" ca="1" si="73"/>
        <v xml:space="preserve"> *Competências críticas para a Sociedade da Informação e 
do conhecimento*. </v>
      </c>
      <c r="G592" s="3">
        <f t="shared" ca="1" si="74"/>
        <v>18</v>
      </c>
      <c r="H592" s="2">
        <f t="shared" ca="1" si="75"/>
        <v>94</v>
      </c>
      <c r="I592" t="e">
        <f t="shared" ca="1" si="76"/>
        <v>#VALUE!</v>
      </c>
      <c r="J592" s="3" t="e">
        <f t="shared" ca="1" si="78"/>
        <v>#VALUE!</v>
      </c>
      <c r="K592" t="str">
        <f t="shared" ca="1" si="63"/>
        <v xml:space="preserve">Gouveia, L. </v>
      </c>
      <c r="L592" t="str">
        <f t="shared" ca="1" si="64"/>
        <v xml:space="preserve">Quental, C. </v>
      </c>
    </row>
    <row r="593" spans="1:12" ht="15.75" customHeight="1">
      <c r="A593">
        <f ca="1">IFERROR(__xludf.DUMMYFUNCTION("""COMPUTED_VALUE"""),9)</f>
        <v>9</v>
      </c>
      <c r="B593" t="str">
        <f ca="1">IFERROR(__xludf.DUMMYFUNCTION("""COMPUTED_VALUE"""),"Gouveia, L. (2001). *Tecnologias de Informação. Perspectivas tecnológica, 
produtos e serviços e de gestão*. UFP, Outubro.
texto [ pdf ]")</f>
        <v>Gouveia, L. (2001). *Tecnologias de Informação. Perspectivas tecnológica, 
produtos e serviços e de gestão*. UFP, Outubro.
texto [ pdf ]</v>
      </c>
      <c r="C593" s="2">
        <f t="shared" ca="1" si="62"/>
        <v>13</v>
      </c>
      <c r="D593" t="str">
        <f t="shared" ca="1" si="77"/>
        <v xml:space="preserve">Gouveia, L. </v>
      </c>
      <c r="E593" t="str">
        <f t="shared" ca="1" si="72"/>
        <v>2001</v>
      </c>
      <c r="F593" t="str">
        <f t="shared" ca="1" si="73"/>
        <v xml:space="preserve"> *Tecnologias de Informação. </v>
      </c>
      <c r="G593" s="3">
        <f t="shared" ca="1" si="74"/>
        <v>18</v>
      </c>
      <c r="H593" s="2">
        <f t="shared" ca="1" si="75"/>
        <v>47</v>
      </c>
      <c r="I593" t="e">
        <f t="shared" ca="1" si="76"/>
        <v>#VALUE!</v>
      </c>
      <c r="J593" s="3" t="e">
        <f t="shared" ca="1" si="78"/>
        <v>#VALUE!</v>
      </c>
      <c r="K593" t="str">
        <f t="shared" ca="1" si="63"/>
        <v xml:space="preserve">Gouveia, L. </v>
      </c>
      <c r="L593" t="str">
        <f t="shared" ca="1" si="64"/>
        <v xml:space="preserve">Quental, C. </v>
      </c>
    </row>
    <row r="594" spans="1:12" ht="15.75" customHeight="1">
      <c r="A594">
        <f ca="1">IFERROR(__xludf.DUMMYFUNCTION("""COMPUTED_VALUE"""),8)</f>
        <v>8</v>
      </c>
      <c r="B594" t="str">
        <f ca="1">IFERROR(__xludf.DUMMYFUNCTION("""COMPUTED_VALUE"""),"Gouveia, L. (1998). *In**ternet - a emergência do novo social*. UFP, 
Fevereiro.
Adaptação para Web de texto de Agosto de 1996.
texto [ HTML ]")</f>
        <v>Gouveia, L. (1998). *In**ternet - a emergência do novo social*. UFP, 
Fevereiro.
Adaptação para Web de texto de Agosto de 1996.
texto [ HTML ]</v>
      </c>
      <c r="C594" s="2">
        <f t="shared" ca="1" si="62"/>
        <v>13</v>
      </c>
      <c r="D594" t="str">
        <f t="shared" ca="1" si="77"/>
        <v xml:space="preserve">Gouveia, L. </v>
      </c>
      <c r="E594" t="str">
        <f t="shared" ca="1" si="72"/>
        <v>1998</v>
      </c>
      <c r="F594" t="str">
        <f t="shared" ca="1" si="73"/>
        <v xml:space="preserve"> *In**ternet - a emergência do novo social*. </v>
      </c>
      <c r="G594" s="3">
        <f t="shared" ca="1" si="74"/>
        <v>18</v>
      </c>
      <c r="H594" s="2">
        <f t="shared" ca="1" si="75"/>
        <v>63</v>
      </c>
      <c r="I594" t="e">
        <f t="shared" ca="1" si="76"/>
        <v>#VALUE!</v>
      </c>
      <c r="J594" s="3" t="e">
        <f t="shared" ca="1" si="78"/>
        <v>#VALUE!</v>
      </c>
      <c r="K594" t="str">
        <f t="shared" ca="1" si="63"/>
        <v xml:space="preserve">Gouveia, L. </v>
      </c>
      <c r="L594" t="str">
        <f t="shared" ca="1" si="64"/>
        <v xml:space="preserve">Quental, C. </v>
      </c>
    </row>
    <row r="595" spans="1:12" ht="15.75" customHeight="1">
      <c r="A595">
        <f ca="1">IFERROR(__xludf.DUMMYFUNCTION("""COMPUTED_VALUE"""),7)</f>
        <v>7</v>
      </c>
      <c r="B595" t="str">
        <f ca="1">IFERROR(__xludf.DUMMYFUNCTION("""COMPUTED_VALUE"""),"Gouveia, L. (1998). *A humanização das Tecnologias de Informação*. UFP, 
Fevereiro.
texto [ HTML ]")</f>
        <v>Gouveia, L. (1998). *A humanização das Tecnologias de Informação*. UFP, 
Fevereiro.
texto [ HTML ]</v>
      </c>
      <c r="C595" s="2">
        <f t="shared" ca="1" si="62"/>
        <v>13</v>
      </c>
      <c r="D595" t="str">
        <f t="shared" ca="1" si="77"/>
        <v xml:space="preserve">Gouveia, L. </v>
      </c>
      <c r="E595" t="str">
        <f t="shared" ca="1" si="72"/>
        <v>1998</v>
      </c>
      <c r="F595" t="str">
        <f t="shared" ca="1" si="73"/>
        <v xml:space="preserve"> *A humanização das Tecnologias de Informação*. </v>
      </c>
      <c r="G595" s="3">
        <f t="shared" ca="1" si="74"/>
        <v>18</v>
      </c>
      <c r="H595" s="2">
        <f t="shared" ca="1" si="75"/>
        <v>66</v>
      </c>
      <c r="I595" t="e">
        <f t="shared" ca="1" si="76"/>
        <v>#VALUE!</v>
      </c>
      <c r="J595" s="3" t="e">
        <f t="shared" ca="1" si="78"/>
        <v>#VALUE!</v>
      </c>
      <c r="K595" t="str">
        <f t="shared" ca="1" si="63"/>
        <v xml:space="preserve">Gouveia, L. </v>
      </c>
      <c r="L595" t="str">
        <f t="shared" ca="1" si="64"/>
        <v xml:space="preserve">Quental, C. </v>
      </c>
    </row>
    <row r="596" spans="1:12" ht="15.75" customHeight="1">
      <c r="A596">
        <f ca="1">IFERROR(__xludf.DUMMYFUNCTION("""COMPUTED_VALUE"""),6)</f>
        <v>6</v>
      </c>
      <c r="B596" t="str">
        <f ca="1">IFERROR(__xludf.DUMMYFUNCTION("""COMPUTED_VALUE"""),"Gouveia, L. (1997). *A Internet, oportunidade ou ameaça ao Professor?* 
Artigo aceite para a Revista do Departamento de Ciências da Administração 
da UFP. Porto, Dezembro. 
texto [ HTML ]")</f>
        <v>Gouveia, L. (1997). *A Internet, oportunidade ou ameaça ao Professor?* 
Artigo aceite para a Revista do Departamento de Ciências da Administração 
da UFP. Porto, Dezembro. 
texto [ HTML ]</v>
      </c>
      <c r="C596" s="2">
        <f t="shared" ca="1" si="62"/>
        <v>13</v>
      </c>
      <c r="D596" t="str">
        <f t="shared" ca="1" si="77"/>
        <v xml:space="preserve">Gouveia, L. </v>
      </c>
      <c r="E596" t="str">
        <f t="shared" ca="1" si="72"/>
        <v>1997</v>
      </c>
      <c r="F596" t="str">
        <f t="shared" ca="1" si="73"/>
        <v xml:space="preserve"> *A Internet, oportunidade ou ameaça ao Professor?* 
Artigo aceite para a Revista do Departamento de Ciências da Administração 
da UFP. </v>
      </c>
      <c r="G596" s="3">
        <f t="shared" ca="1" si="74"/>
        <v>18</v>
      </c>
      <c r="H596" s="2">
        <f t="shared" ca="1" si="75"/>
        <v>154</v>
      </c>
      <c r="I596" t="e">
        <f t="shared" ca="1" si="76"/>
        <v>#VALUE!</v>
      </c>
      <c r="J596" s="3" t="e">
        <f t="shared" ca="1" si="78"/>
        <v>#VALUE!</v>
      </c>
      <c r="K596" t="str">
        <f t="shared" ca="1" si="63"/>
        <v xml:space="preserve">Gouveia, L. </v>
      </c>
      <c r="L596" t="str">
        <f t="shared" ca="1" si="64"/>
        <v xml:space="preserve">Quental, C. </v>
      </c>
    </row>
    <row r="597" spans="1:12" ht="15.75" customHeight="1">
      <c r="A597">
        <f ca="1">IFERROR(__xludf.DUMMYFUNCTION("""COMPUTED_VALUE"""),5)</f>
        <v>5</v>
      </c>
      <c r="B597" t="str">
        <f ca="1">IFERROR(__xludf.DUMMYFUNCTION("""COMPUTED_VALUE"""),"Gouveia, L. (1997). *O projecto, a gestão de projectos e o Gestor de 
Projectos*. UFP, Maio de 1997.
texto [ HTML ]")</f>
        <v>Gouveia, L. (1997). *O projecto, a gestão de projectos e o Gestor de 
Projectos*. UFP, Maio de 1997.
texto [ HTML ]</v>
      </c>
      <c r="C597" s="2">
        <f t="shared" ca="1" si="62"/>
        <v>13</v>
      </c>
      <c r="D597" t="str">
        <f t="shared" ca="1" si="77"/>
        <v xml:space="preserve">Gouveia, L. </v>
      </c>
      <c r="E597" t="str">
        <f t="shared" ca="1" si="72"/>
        <v>1997</v>
      </c>
      <c r="F597" t="str">
        <f t="shared" ca="1" si="73"/>
        <v xml:space="preserve"> *O projecto, a gestão de projectos e o Gestor de 
Projectos*. </v>
      </c>
      <c r="G597" s="3">
        <f t="shared" ca="1" si="74"/>
        <v>18</v>
      </c>
      <c r="H597" s="2">
        <f t="shared" ca="1" si="75"/>
        <v>81</v>
      </c>
      <c r="I597" t="e">
        <f t="shared" ca="1" si="76"/>
        <v>#VALUE!</v>
      </c>
      <c r="J597" s="3" t="e">
        <f t="shared" ca="1" si="78"/>
        <v>#VALUE!</v>
      </c>
      <c r="K597" t="str">
        <f t="shared" ca="1" si="63"/>
        <v xml:space="preserve">Gouveia, L. </v>
      </c>
      <c r="L597" t="str">
        <f t="shared" ca="1" si="64"/>
        <v xml:space="preserve">Quental, C. </v>
      </c>
    </row>
    <row r="598" spans="1:12" ht="15.75" customHeight="1">
      <c r="A598">
        <f ca="1">IFERROR(__xludf.DUMMYFUNCTION("""COMPUTED_VALUE"""),4)</f>
        <v>4</v>
      </c>
      <c r="B598" t="str">
        <f ca="1">IFERROR(__xludf.DUMMYFUNCTION("""COMPUTED_VALUE"""),"Gouveia, L. (1997). A redacção de documentos científicos, dicas para a 
escrita de textos de relatórios e monografia. UFP, Abril.
texto [ HTML ]")</f>
        <v>Gouveia, L. (1997). A redacção de documentos científicos, dicas para a 
escrita de textos de relatórios e monografia. UFP, Abril.
texto [ HTML ]</v>
      </c>
      <c r="C598" s="2">
        <f t="shared" ca="1" si="62"/>
        <v>13</v>
      </c>
      <c r="D598" t="str">
        <f t="shared" ca="1" si="77"/>
        <v xml:space="preserve">Gouveia, L. </v>
      </c>
      <c r="E598" t="str">
        <f t="shared" ca="1" si="72"/>
        <v>1997</v>
      </c>
      <c r="F598" t="str">
        <f t="shared" ca="1" si="73"/>
        <v xml:space="preserve"> A redacção de documentos científicos, dicas para a 
escrita de textos de relatórios e monografia. </v>
      </c>
      <c r="G598" s="3">
        <f t="shared" ca="1" si="74"/>
        <v>18</v>
      </c>
      <c r="H598" s="2">
        <f t="shared" ca="1" si="75"/>
        <v>117</v>
      </c>
      <c r="I598" t="e">
        <f t="shared" ca="1" si="76"/>
        <v>#VALUE!</v>
      </c>
      <c r="J598" s="3" t="e">
        <f t="shared" ca="1" si="78"/>
        <v>#VALUE!</v>
      </c>
      <c r="K598" t="str">
        <f t="shared" ca="1" si="63"/>
        <v xml:space="preserve">Gouveia, L. </v>
      </c>
      <c r="L598" t="str">
        <f t="shared" ca="1" si="64"/>
        <v xml:space="preserve">Quental, C. </v>
      </c>
    </row>
    <row r="599" spans="1:12" ht="15.75" customHeight="1">
      <c r="A599">
        <f ca="1">IFERROR(__xludf.DUMMYFUNCTION("""COMPUTED_VALUE"""),3)</f>
        <v>3</v>
      </c>
      <c r="B599" t="str">
        <f ca="1">IFERROR(__xludf.DUMMYFUNCTION("""COMPUTED_VALUE"""),"Gouveia, L. (1996). *E agora, vou ter de escrever!* UFP, Dezembro.
texto [ HTML ]")</f>
        <v>Gouveia, L. (1996). *E agora, vou ter de escrever!* UFP, Dezembro.
texto [ HTML ]</v>
      </c>
      <c r="C599" s="2">
        <f t="shared" ca="1" si="62"/>
        <v>13</v>
      </c>
      <c r="D599" t="str">
        <f t="shared" ca="1" si="77"/>
        <v xml:space="preserve">Gouveia, L. </v>
      </c>
      <c r="E599" t="str">
        <f t="shared" ca="1" si="72"/>
        <v>1996</v>
      </c>
      <c r="F599" t="str">
        <f t="shared" ca="1" si="73"/>
        <v xml:space="preserve"> *E agora, vou ter de escrever!* UFP, Dezembro.
</v>
      </c>
      <c r="G599" s="3">
        <f t="shared" ca="1" si="74"/>
        <v>18</v>
      </c>
      <c r="H599" s="2">
        <f t="shared" ca="1" si="75"/>
        <v>66</v>
      </c>
      <c r="I599" t="e">
        <f t="shared" ca="1" si="76"/>
        <v>#VALUE!</v>
      </c>
      <c r="J599" s="3" t="e">
        <f t="shared" ca="1" si="78"/>
        <v>#VALUE!</v>
      </c>
      <c r="K599" t="str">
        <f t="shared" ca="1" si="63"/>
        <v xml:space="preserve">Gouveia, L. </v>
      </c>
      <c r="L599" t="str">
        <f t="shared" ca="1" si="64"/>
        <v xml:space="preserve">Quental, C. </v>
      </c>
    </row>
    <row r="600" spans="1:12" ht="15.75" customHeight="1">
      <c r="A600">
        <f ca="1">IFERROR(__xludf.DUMMYFUNCTION("""COMPUTED_VALUE"""),2)</f>
        <v>2</v>
      </c>
      <c r="B600" t="str">
        <f ca="1">IFERROR(__xludf.DUMMYFUNCTION("""COMPUTED_VALUE"""),"Gouveia, L. (1991). *O Videotex: um serviço actual? Seminário Sobre Ética e 
Carreira Informática. Revista do 2º seminário ALIUP. Fórum da Maia, 25 e 26 
de Outubro, pp 8-9.*  
texto [ pdf ]")</f>
        <v>Gouveia, L. (1991). *O Videotex: um serviço actual? Seminário Sobre Ética e 
Carreira Informática. Revista do 2º seminário ALIUP. Fórum da Maia, 25 e 26 
de Outubro, pp 8-9.*  
texto [ pdf ]</v>
      </c>
      <c r="C600" s="2">
        <f t="shared" ca="1" si="62"/>
        <v>13</v>
      </c>
      <c r="D600" t="str">
        <f t="shared" ca="1" si="77"/>
        <v xml:space="preserve">Gouveia, L. </v>
      </c>
      <c r="E600" t="str">
        <f t="shared" ca="1" si="72"/>
        <v>1991</v>
      </c>
      <c r="F600" t="str">
        <f t="shared" ca="1" si="73"/>
        <v xml:space="preserve"> *O Videotex: um serviço actual? Seminário Sobre Ética e 
Carreira Informática. </v>
      </c>
      <c r="G600" s="3">
        <f t="shared" ca="1" si="74"/>
        <v>18</v>
      </c>
      <c r="H600" s="2">
        <f t="shared" ca="1" si="75"/>
        <v>98</v>
      </c>
      <c r="I600" t="e">
        <f t="shared" ca="1" si="76"/>
        <v>#VALUE!</v>
      </c>
      <c r="J600" s="3" t="e">
        <f t="shared" ca="1" si="78"/>
        <v>#VALUE!</v>
      </c>
      <c r="K600" t="str">
        <f t="shared" ca="1" si="63"/>
        <v xml:space="preserve">Gouveia, L. </v>
      </c>
      <c r="L600" t="str">
        <f t="shared" ca="1" si="64"/>
        <v xml:space="preserve">Quental, C. </v>
      </c>
    </row>
    <row r="601" spans="1:12" ht="15.75" customHeight="1">
      <c r="A601">
        <f ca="1">IFERROR(__xludf.DUMMYFUNCTION("""COMPUTED_VALUE"""),1)</f>
        <v>1</v>
      </c>
      <c r="B601" t="str">
        <f ca="1">IFERROR(__xludf.DUMMYFUNCTION("""COMPUTED_VALUE"""),"Gouveia, L. (1989). *Um testemunho.* Artigo publicado em Janeiro de 1989, 
na Revista Mensal de Informática ""O Computador"", nº4.
texto [ pdf ]")</f>
        <v>Gouveia, L. (1989). *Um testemunho.* Artigo publicado em Janeiro de 1989, 
na Revista Mensal de Informática "O Computador", nº4.
texto [ pdf ]</v>
      </c>
      <c r="C601" s="2">
        <f t="shared" ca="1" si="62"/>
        <v>13</v>
      </c>
      <c r="D601" t="str">
        <f t="shared" ca="1" si="77"/>
        <v xml:space="preserve">Gouveia, L. </v>
      </c>
      <c r="E601" t="str">
        <f t="shared" ca="1" si="72"/>
        <v>1989</v>
      </c>
      <c r="F601" t="str">
        <f t="shared" ca="1" si="73"/>
        <v xml:space="preserve"> *Um testemunho.*</v>
      </c>
      <c r="G601" s="3">
        <f t="shared" ca="1" si="74"/>
        <v>18</v>
      </c>
      <c r="H601" s="2">
        <f t="shared" ca="1" si="75"/>
        <v>35</v>
      </c>
      <c r="I601" t="e">
        <f t="shared" ca="1" si="76"/>
        <v>#VALUE!</v>
      </c>
      <c r="J601" s="3" t="e">
        <f t="shared" ca="1" si="78"/>
        <v>#VALUE!</v>
      </c>
      <c r="K601" t="str">
        <f t="shared" ca="1" si="63"/>
        <v xml:space="preserve">Gouveia, L. </v>
      </c>
      <c r="L601" t="str">
        <f t="shared" ca="1" si="64"/>
        <v xml:space="preserve">Quental, C. </v>
      </c>
    </row>
    <row r="602" spans="1:12" ht="15.75" customHeight="1">
      <c r="A602" t="str">
        <f ca="1">IFERROR(__xludf.DUMMYFUNCTION("""COMPUTED_VALUE"""),"_________")</f>
        <v>_________</v>
      </c>
      <c r="B602" t="str">
        <f ca="1">IFERROR(__xludf.DUMMYFUNCTION("""COMPUTED_VALUE"""),"palestras, entrevistas e vídeos / talks, interviews and video content")</f>
        <v>palestras, entrevistas e vídeos / talks, interviews and video content</v>
      </c>
      <c r="C602" s="2" t="e">
        <f t="shared" ca="1" si="62"/>
        <v>#VALUE!</v>
      </c>
      <c r="D602" t="e">
        <f t="shared" ca="1" si="77"/>
        <v>#VALUE!</v>
      </c>
      <c r="E602" t="e">
        <f t="shared" ca="1" si="72"/>
        <v>#VALUE!</v>
      </c>
      <c r="F602" t="e">
        <f t="shared" ca="1" si="73"/>
        <v>#VALUE!</v>
      </c>
      <c r="G602" s="3" t="e">
        <f t="shared" ca="1" si="74"/>
        <v>#VALUE!</v>
      </c>
      <c r="H602" s="2" t="e">
        <f t="shared" ca="1" si="75"/>
        <v>#VALUE!</v>
      </c>
      <c r="I602" t="e">
        <f t="shared" ca="1" si="76"/>
        <v>#VALUE!</v>
      </c>
      <c r="J602" s="3" t="e">
        <f t="shared" ca="1" si="78"/>
        <v>#VALUE!</v>
      </c>
      <c r="K602" t="e">
        <f t="shared" ca="1" si="63"/>
        <v>#VALUE!</v>
      </c>
      <c r="L602" t="str">
        <f t="shared" ca="1" si="64"/>
        <v xml:space="preserve">Quental, C. </v>
      </c>
    </row>
    <row r="603" spans="1:12" ht="15.75" customHeight="1">
      <c r="A603">
        <f ca="1">IFERROR(__xludf.DUMMYFUNCTION("""COMPUTED_VALUE"""),10)</f>
        <v>10</v>
      </c>
      <c r="B603" t="str">
        <f ca="1">IFERROR(__xludf.DUMMYFUNCTION("""COMPUTED_VALUE"""),"Gouveia, L. (2007). Entrevista sobre o Blogue pessoal (lmbg.blogspot.com). 
Programa X-Blog. 2ª Parte. Invicta TV. Porto. Outubro.
Video [ youtube (9:33) ]")</f>
        <v>Gouveia, L. (2007). Entrevista sobre o Blogue pessoal (lmbg.blogspot.com). 
Programa X-Blog. 2ª Parte. Invicta TV. Porto. Outubro.
Video [ youtube (9:33) ]</v>
      </c>
      <c r="C603" s="2">
        <f t="shared" ca="1" si="62"/>
        <v>13</v>
      </c>
      <c r="D603" t="str">
        <f t="shared" ca="1" si="77"/>
        <v xml:space="preserve">Gouveia, L. </v>
      </c>
      <c r="E603" t="str">
        <f t="shared" ca="1" si="72"/>
        <v>2007</v>
      </c>
      <c r="F603" t="str">
        <f t="shared" ca="1" si="73"/>
        <v xml:space="preserve"> Entrevista sobre o Blogue pessoal (lmbg.b</v>
      </c>
      <c r="G603" s="3">
        <f t="shared" ca="1" si="74"/>
        <v>18</v>
      </c>
      <c r="H603" s="2">
        <f t="shared" ca="1" si="75"/>
        <v>60</v>
      </c>
      <c r="I603" t="str">
        <f t="shared" ca="1" si="76"/>
        <v>logspot.com).</v>
      </c>
      <c r="J603" s="3">
        <f t="shared" ca="1" si="78"/>
        <v>73</v>
      </c>
      <c r="K603" t="str">
        <f t="shared" ca="1" si="63"/>
        <v xml:space="preserve">Gouveia, L. </v>
      </c>
      <c r="L603" t="str">
        <f t="shared" ca="1" si="64"/>
        <v xml:space="preserve">Quental, C. </v>
      </c>
    </row>
    <row r="604" spans="1:12" ht="15.75" customHeight="1">
      <c r="A604">
        <f ca="1">IFERROR(__xludf.DUMMYFUNCTION("""COMPUTED_VALUE"""),9)</f>
        <v>9</v>
      </c>
      <c r="B604" t="str">
        <f ca="1">IFERROR(__xludf.DUMMYFUNCTION("""COMPUTED_VALUE"""),"Gouveia, L. (2007). *Do território digital à governação de pessoas e do 
conhecimento*. 1ª Jornadas de Informática - Administração Digital. Escola 
Superior de Tecnologia. Câmara Municipal de Barcelos. 30 de Março.
texto [ pdf (43KB) ]")</f>
        <v>Gouveia, L. (2007). *Do território digital à governação de pessoas e do 
conhecimento*. 1ª Jornadas de Informática - Administração Digital. Escola 
Superior de Tecnologia. Câmara Municipal de Barcelos. 30 de Março.
texto [ pdf (43KB) ]</v>
      </c>
      <c r="C604" s="2">
        <f t="shared" ca="1" si="62"/>
        <v>13</v>
      </c>
      <c r="D604" t="str">
        <f t="shared" ca="1" si="77"/>
        <v xml:space="preserve">Gouveia, L. </v>
      </c>
      <c r="E604" t="str">
        <f t="shared" ca="1" si="72"/>
        <v>2007</v>
      </c>
      <c r="F604" t="str">
        <f t="shared" ca="1" si="73"/>
        <v xml:space="preserve"> *Do território digital à governação de pessoas e do 
conhecimento*. </v>
      </c>
      <c r="G604" s="3">
        <f t="shared" ca="1" si="74"/>
        <v>18</v>
      </c>
      <c r="H604" s="2">
        <f t="shared" ca="1" si="75"/>
        <v>87</v>
      </c>
      <c r="I604" t="e">
        <f t="shared" ca="1" si="76"/>
        <v>#VALUE!</v>
      </c>
      <c r="J604" s="3" t="e">
        <f t="shared" ca="1" si="78"/>
        <v>#VALUE!</v>
      </c>
      <c r="K604" t="str">
        <f t="shared" ca="1" si="63"/>
        <v xml:space="preserve">Gouveia, L. </v>
      </c>
      <c r="L604" t="str">
        <f t="shared" ca="1" si="64"/>
        <v xml:space="preserve">Quental, C. </v>
      </c>
    </row>
    <row r="605" spans="1:12" ht="15.75" customHeight="1">
      <c r="A605">
        <f ca="1">IFERROR(__xludf.DUMMYFUNCTION("""COMPUTED_VALUE"""),8)</f>
        <v>8</v>
      </c>
      <c r="B605" t="str">
        <f ca="1">IFERROR(__xludf.DUMMYFUNCTION("""COMPUTED_VALUE"""),"Gouveia, L. (2006). *Entrevista de opinião sobre o plano tecnológico*. 
Revista Media XXI. Ano X, n85, pp 26-28.
texto [ pdf (20KB)]")</f>
        <v>Gouveia, L. (2006). *Entrevista de opinião sobre o plano tecnológico*. 
Revista Media XXI. Ano X, n85, pp 26-28.
texto [ pdf (20KB)]</v>
      </c>
      <c r="C605" s="2">
        <f t="shared" ca="1" si="62"/>
        <v>13</v>
      </c>
      <c r="D605" t="str">
        <f t="shared" ca="1" si="77"/>
        <v xml:space="preserve">Gouveia, L. </v>
      </c>
      <c r="E605" t="str">
        <f t="shared" ca="1" si="72"/>
        <v>2006</v>
      </c>
      <c r="F605" t="str">
        <f t="shared" ca="1" si="73"/>
        <v xml:space="preserve"> *Entrevista de opinião sobre o plano tecnológico*. </v>
      </c>
      <c r="G605" s="3">
        <f t="shared" ca="1" si="74"/>
        <v>18</v>
      </c>
      <c r="H605" s="2">
        <f t="shared" ca="1" si="75"/>
        <v>70</v>
      </c>
      <c r="I605" t="e">
        <f t="shared" ca="1" si="76"/>
        <v>#VALUE!</v>
      </c>
      <c r="J605" s="3" t="e">
        <f t="shared" ca="1" si="78"/>
        <v>#VALUE!</v>
      </c>
      <c r="K605" t="str">
        <f t="shared" ca="1" si="63"/>
        <v xml:space="preserve">Gouveia, L. </v>
      </c>
      <c r="L605" t="str">
        <f t="shared" ca="1" si="64"/>
        <v xml:space="preserve">Quental, C. </v>
      </c>
    </row>
    <row r="606" spans="1:12" ht="15.75" customHeight="1">
      <c r="A606">
        <f ca="1">IFERROR(__xludf.DUMMYFUNCTION("""COMPUTED_VALUE"""),7)</f>
        <v>7</v>
      </c>
      <c r="B606" t="str">
        <f ca="1">IFERROR(__xludf.DUMMYFUNCTION("""COMPUTED_VALUE"""),"Gouveia, L. (2005). *Comemorando o décimo ano de funcionamento das páginas 
LMBG na World Wide Web*. Fevereiro.
apresentação [ pdf ]")</f>
        <v>Gouveia, L. (2005). *Comemorando o décimo ano de funcionamento das páginas 
LMBG na World Wide Web*. Fevereiro.
apresentação [ pdf ]</v>
      </c>
      <c r="C606" s="2">
        <f t="shared" ca="1" si="62"/>
        <v>13</v>
      </c>
      <c r="D606" t="str">
        <f t="shared" ca="1" si="77"/>
        <v xml:space="preserve">Gouveia, L. </v>
      </c>
      <c r="E606" t="str">
        <f t="shared" ca="1" si="72"/>
        <v>2005</v>
      </c>
      <c r="F606" t="str">
        <f t="shared" ca="1" si="73"/>
        <v xml:space="preserve"> *Comemorando o décimo ano de funcionamento das páginas 
LMBG na World Wide Web*. </v>
      </c>
      <c r="G606" s="3">
        <f t="shared" ca="1" si="74"/>
        <v>18</v>
      </c>
      <c r="H606" s="2">
        <f t="shared" ca="1" si="75"/>
        <v>100</v>
      </c>
      <c r="I606" t="e">
        <f t="shared" ca="1" si="76"/>
        <v>#VALUE!</v>
      </c>
      <c r="J606" s="3" t="e">
        <f t="shared" ca="1" si="78"/>
        <v>#VALUE!</v>
      </c>
      <c r="K606" t="str">
        <f t="shared" ca="1" si="63"/>
        <v xml:space="preserve">Gouveia, L. </v>
      </c>
      <c r="L606" t="str">
        <f t="shared" ca="1" si="64"/>
        <v xml:space="preserve">Quental, C. </v>
      </c>
    </row>
    <row r="607" spans="1:12" ht="15.75" customHeight="1">
      <c r="A607">
        <f ca="1">IFERROR(__xludf.DUMMYFUNCTION("""COMPUTED_VALUE"""),6)</f>
        <v>6</v>
      </c>
      <c r="B607" t="str">
        <f ca="1">IFERROR(__xludf.DUMMYFUNCTION("""COMPUTED_VALUE"""),"Gouveia, L. (2004). *Entrevista sobre o projecto Gaia Global*. Revista 
e-Ciência. Grupo T-Media. nº29, 27 de Maio.
texto [ pdf ]")</f>
        <v>Gouveia, L. (2004). *Entrevista sobre o projecto Gaia Global*. Revista 
e-Ciência. Grupo T-Media. nº29, 27 de Maio.
texto [ pdf ]</v>
      </c>
      <c r="C607" s="2">
        <f t="shared" ca="1" si="62"/>
        <v>13</v>
      </c>
      <c r="D607" t="str">
        <f t="shared" ca="1" si="77"/>
        <v xml:space="preserve">Gouveia, L. </v>
      </c>
      <c r="E607" t="str">
        <f t="shared" ca="1" si="72"/>
        <v>2004</v>
      </c>
      <c r="F607" t="str">
        <f t="shared" ca="1" si="73"/>
        <v xml:space="preserve"> *Entrevista sobre o projecto Gaia Global*. </v>
      </c>
      <c r="G607" s="3">
        <f t="shared" ca="1" si="74"/>
        <v>18</v>
      </c>
      <c r="H607" s="2">
        <f t="shared" ca="1" si="75"/>
        <v>62</v>
      </c>
      <c r="I607" t="e">
        <f t="shared" ca="1" si="76"/>
        <v>#VALUE!</v>
      </c>
      <c r="J607" s="3" t="e">
        <f t="shared" ca="1" si="78"/>
        <v>#VALUE!</v>
      </c>
      <c r="K607" t="str">
        <f t="shared" ca="1" si="63"/>
        <v xml:space="preserve">Gouveia, L. </v>
      </c>
      <c r="L607" t="str">
        <f t="shared" ca="1" si="64"/>
        <v xml:space="preserve">Quental, C. </v>
      </c>
    </row>
    <row r="608" spans="1:12" ht="15.75" customHeight="1">
      <c r="A608">
        <f ca="1">IFERROR(__xludf.DUMMYFUNCTION("""COMPUTED_VALUE"""),5)</f>
        <v>5</v>
      </c>
      <c r="B608" t="str">
        <f ca="1">IFERROR(__xludf.DUMMYFUNCTION("""COMPUTED_VALUE"""),"Gouveia, L. (2002). *Ensinar a aprender, ensinar e aprender. Competências 
para a Sociedade da  Informação e do Conhecimento.* Seminário Interacto. 
Centro Multimeios de Espinho, Espinho, 9-10 de Maio.
paper [ pdf (17KB)]")</f>
        <v>Gouveia, L. (2002). *Ensinar a aprender, ensinar e aprender. Competências 
para a Sociedade da  Informação e do Conhecimento.* Seminário Interacto. 
Centro Multimeios de Espinho, Espinho, 9-10 de Maio.
paper [ pdf (17KB)]</v>
      </c>
      <c r="C608" s="2">
        <f t="shared" ca="1" si="62"/>
        <v>13</v>
      </c>
      <c r="D608" t="str">
        <f t="shared" ca="1" si="77"/>
        <v xml:space="preserve">Gouveia, L. </v>
      </c>
      <c r="E608" t="str">
        <f t="shared" ca="1" si="72"/>
        <v>2002</v>
      </c>
      <c r="F608" t="str">
        <f t="shared" ca="1" si="73"/>
        <v xml:space="preserve"> *Ensinar a aprender, ensinar e aprender. </v>
      </c>
      <c r="G608" s="3">
        <f t="shared" ca="1" si="74"/>
        <v>18</v>
      </c>
      <c r="H608" s="2">
        <f t="shared" ca="1" si="75"/>
        <v>60</v>
      </c>
      <c r="I608" t="e">
        <f t="shared" ca="1" si="76"/>
        <v>#VALUE!</v>
      </c>
      <c r="J608" s="3" t="e">
        <f t="shared" ca="1" si="78"/>
        <v>#VALUE!</v>
      </c>
      <c r="K608" t="str">
        <f t="shared" ca="1" si="63"/>
        <v xml:space="preserve">Gouveia, L. </v>
      </c>
      <c r="L608" t="str">
        <f t="shared" ca="1" si="64"/>
        <v xml:space="preserve">Quental, C. </v>
      </c>
    </row>
    <row r="609" spans="1:12" ht="15.75" customHeight="1">
      <c r="A609">
        <f ca="1">IFERROR(__xludf.DUMMYFUNCTION("""COMPUTED_VALUE"""),4)</f>
        <v>4</v>
      </c>
      <c r="B609" t="str">
        <f ca="1">IFERROR(__xludf.DUMMYFUNCTION("""COMPUTED_VALUE"""),"Gouveia, L. (2001) *E-learning: o conceito EFTWeb*. Evento Microsoft.net. 
Anfiteatro do IETA. Universidade de Aveiro, Aveiro, 25 de Maio.
texto: [ pdf (203KB) ]")</f>
        <v>Gouveia, L. (2001) *E-learning: o conceito EFTWeb*. Evento Microsoft.net. 
Anfiteatro do IETA. Universidade de Aveiro, Aveiro, 25 de Maio.
texto: [ pdf (203KB) ]</v>
      </c>
      <c r="C609" s="2">
        <f t="shared" ca="1" si="62"/>
        <v>13</v>
      </c>
      <c r="D609" t="str">
        <f t="shared" ca="1" si="77"/>
        <v xml:space="preserve">Gouveia, L. </v>
      </c>
      <c r="E609" t="str">
        <f t="shared" ca="1" si="72"/>
        <v>2001</v>
      </c>
      <c r="F609" t="e">
        <f t="shared" ca="1" si="73"/>
        <v>#VALUE!</v>
      </c>
      <c r="G609" s="3" t="e">
        <f t="shared" ca="1" si="74"/>
        <v>#VALUE!</v>
      </c>
      <c r="H609" s="2" t="e">
        <f t="shared" ca="1" si="75"/>
        <v>#VALUE!</v>
      </c>
      <c r="I609" t="e">
        <f t="shared" ca="1" si="76"/>
        <v>#VALUE!</v>
      </c>
      <c r="J609" s="3" t="e">
        <f t="shared" ca="1" si="78"/>
        <v>#VALUE!</v>
      </c>
      <c r="K609" t="str">
        <f t="shared" ca="1" si="63"/>
        <v xml:space="preserve">Gouveia, L. </v>
      </c>
      <c r="L609" t="str">
        <f t="shared" ca="1" si="64"/>
        <v xml:space="preserve">Quental, C. </v>
      </c>
    </row>
    <row r="610" spans="1:12" ht="15.75" customHeight="1">
      <c r="A610">
        <f ca="1">IFERROR(__xludf.DUMMYFUNCTION("""COMPUTED_VALUE"""),3)</f>
        <v>3</v>
      </c>
      <c r="B610" t="str">
        <f ca="1">IFERROR(__xludf.DUMMYFUNCTION("""COMPUTED_VALUE"""),"Gouveia, L. (2001) *Está na altura de rever o que ensinamos e como 
aprendemos*. Conferência As Tic. Multimédia na Educação. Integrado no 
evento 2001 Odisseia Multimédia.  Forum da Maia, Maia, 26 de Abril.
texto: [ pdf (53KB) ]")</f>
        <v>Gouveia, L. (2001) *Está na altura de rever o que ensinamos e como 
aprendemos*. Conferência As Tic. Multimédia na Educação. Integrado no 
evento 2001 Odisseia Multimédia.  Forum da Maia, Maia, 26 de Abril.
texto: [ pdf (53KB) ]</v>
      </c>
      <c r="C610" s="2">
        <f t="shared" ca="1" si="62"/>
        <v>13</v>
      </c>
      <c r="D610" t="str">
        <f t="shared" ca="1" si="77"/>
        <v xml:space="preserve">Gouveia, L. </v>
      </c>
      <c r="E610" t="str">
        <f t="shared" ca="1" si="72"/>
        <v>2001</v>
      </c>
      <c r="F610" t="e">
        <f t="shared" ca="1" si="73"/>
        <v>#VALUE!</v>
      </c>
      <c r="G610" s="3" t="e">
        <f t="shared" ca="1" si="74"/>
        <v>#VALUE!</v>
      </c>
      <c r="H610" s="2" t="e">
        <f t="shared" ca="1" si="75"/>
        <v>#VALUE!</v>
      </c>
      <c r="I610" t="e">
        <f t="shared" ca="1" si="76"/>
        <v>#VALUE!</v>
      </c>
      <c r="J610" s="3" t="e">
        <f t="shared" ca="1" si="78"/>
        <v>#VALUE!</v>
      </c>
      <c r="K610" t="str">
        <f t="shared" ca="1" si="63"/>
        <v xml:space="preserve">Gouveia, L. </v>
      </c>
      <c r="L610" t="str">
        <f t="shared" ca="1" si="64"/>
        <v xml:space="preserve">Quental, C. </v>
      </c>
    </row>
    <row r="611" spans="1:12" ht="15.75" customHeight="1">
      <c r="A611">
        <f ca="1">IFERROR(__xludf.DUMMYFUNCTION("""COMPUTED_VALUE"""),2)</f>
        <v>2</v>
      </c>
      <c r="B611" t="str">
        <f ca="1">IFERROR(__xludf.DUMMYFUNCTION("""COMPUTED_VALUE"""),"Gouveia, L. (2000). *Eu, Nós e o Valor da diferença*. Painel sobre a 
Sociedade da Informação. 9º Jornadas ESPE. Hotel Praia Golfe, ESPE. 
Espinho, 18-19 de Maio.
texto: [ pdf (38KB) ]")</f>
        <v>Gouveia, L. (2000). *Eu, Nós e o Valor da diferença*. Painel sobre a 
Sociedade da Informação. 9º Jornadas ESPE. Hotel Praia Golfe, ESPE. 
Espinho, 18-19 de Maio.
texto: [ pdf (38KB) ]</v>
      </c>
      <c r="C611" s="2">
        <f t="shared" ca="1" si="62"/>
        <v>13</v>
      </c>
      <c r="D611" t="str">
        <f t="shared" ca="1" si="77"/>
        <v xml:space="preserve">Gouveia, L. </v>
      </c>
      <c r="E611" t="str">
        <f t="shared" ca="1" si="72"/>
        <v>2000</v>
      </c>
      <c r="F611" t="str">
        <f t="shared" ca="1" si="73"/>
        <v xml:space="preserve"> *Eu, Nós e o Valor da diferença*. </v>
      </c>
      <c r="G611" s="3">
        <f t="shared" ca="1" si="74"/>
        <v>18</v>
      </c>
      <c r="H611" s="2">
        <f t="shared" ca="1" si="75"/>
        <v>53</v>
      </c>
      <c r="I611" t="e">
        <f t="shared" ca="1" si="76"/>
        <v>#VALUE!</v>
      </c>
      <c r="J611" s="3" t="e">
        <f t="shared" ca="1" si="78"/>
        <v>#VALUE!</v>
      </c>
      <c r="K611" t="str">
        <f t="shared" ca="1" si="63"/>
        <v xml:space="preserve">Gouveia, L. </v>
      </c>
      <c r="L611" t="str">
        <f t="shared" ca="1" si="64"/>
        <v xml:space="preserve">Quental, C. </v>
      </c>
    </row>
    <row r="612" spans="1:12" ht="15.75" customHeight="1">
      <c r="A612">
        <f ca="1">IFERROR(__xludf.DUMMYFUNCTION("""COMPUTED_VALUE"""),1)</f>
        <v>1</v>
      </c>
      <c r="B612" t="str">
        <f ca="1">IFERROR(__xludf.DUMMYFUNCTION("""COMPUTED_VALUE"""),"Gouveia, L. (1999). *Shared Visualisation and Virtual Environments for 
Co-operative Learning.* Postgrad'99 conference. Computing Department. 
Lancaster University. 24-25 May. 
poster [ gif(40KB) ]")</f>
        <v>Gouveia, L. (1999). *Shared Visualisation and Virtual Environments for 
Co-operative Learning.* Postgrad'99 conference. Computing Department. 
Lancaster University. 24-25 May. 
poster [ gif(40KB) ]</v>
      </c>
      <c r="C612" s="2">
        <f t="shared" ca="1" si="62"/>
        <v>13</v>
      </c>
      <c r="D612" t="str">
        <f t="shared" ca="1" si="77"/>
        <v xml:space="preserve">Gouveia, L. </v>
      </c>
      <c r="E612" t="str">
        <f t="shared" ca="1" si="72"/>
        <v>1999</v>
      </c>
      <c r="F612" t="str">
        <f t="shared" ca="1" si="73"/>
        <v xml:space="preserve"> *Shared Visualisation and Virtual Environments for 
Co-operative Learning.*</v>
      </c>
      <c r="G612" s="3">
        <f t="shared" ca="1" si="74"/>
        <v>18</v>
      </c>
      <c r="H612" s="2">
        <f t="shared" ca="1" si="75"/>
        <v>94</v>
      </c>
      <c r="I612" t="e">
        <f t="shared" ca="1" si="76"/>
        <v>#VALUE!</v>
      </c>
      <c r="J612" s="3" t="e">
        <f t="shared" ca="1" si="78"/>
        <v>#VALUE!</v>
      </c>
      <c r="K612" t="str">
        <f t="shared" ca="1" si="63"/>
        <v xml:space="preserve">Gouveia, L. </v>
      </c>
      <c r="L612" t="str">
        <f t="shared" ca="1" si="64"/>
        <v xml:space="preserve">Quental, C. </v>
      </c>
    </row>
    <row r="613" spans="1:12" ht="15.75" customHeight="1">
      <c r="A613" t="str">
        <f ca="1">IFERROR(__xludf.DUMMYFUNCTION("""COMPUTED_VALUE"""),"_________")</f>
        <v>_________</v>
      </c>
      <c r="B613" t="str">
        <f ca="1">IFERROR(__xludf.DUMMYFUNCTION("""COMPUTED_VALUE"""),"conteúdos pedagógicos / learning materials")</f>
        <v>conteúdos pedagógicos / learning materials</v>
      </c>
      <c r="C613" s="2" t="e">
        <f t="shared" ca="1" si="62"/>
        <v>#VALUE!</v>
      </c>
      <c r="D613" t="e">
        <f t="shared" ca="1" si="77"/>
        <v>#VALUE!</v>
      </c>
      <c r="E613" t="e">
        <f t="shared" ca="1" si="72"/>
        <v>#VALUE!</v>
      </c>
      <c r="F613" t="e">
        <f t="shared" ca="1" si="73"/>
        <v>#VALUE!</v>
      </c>
      <c r="G613" s="3" t="e">
        <f t="shared" ca="1" si="74"/>
        <v>#VALUE!</v>
      </c>
      <c r="H613" s="2" t="e">
        <f t="shared" ca="1" si="75"/>
        <v>#VALUE!</v>
      </c>
      <c r="I613" t="e">
        <f t="shared" ca="1" si="76"/>
        <v>#VALUE!</v>
      </c>
      <c r="J613" s="3" t="e">
        <f t="shared" ca="1" si="78"/>
        <v>#VALUE!</v>
      </c>
      <c r="K613" t="e">
        <f t="shared" ca="1" si="63"/>
        <v>#VALUE!</v>
      </c>
      <c r="L613" t="str">
        <f t="shared" ca="1" si="64"/>
        <v xml:space="preserve">Quental, C. </v>
      </c>
    </row>
    <row r="614" spans="1:12" ht="15.75" customHeight="1">
      <c r="A614">
        <f ca="1">IFERROR(__xludf.DUMMYFUNCTION("""COMPUTED_VALUE"""),50)</f>
        <v>50</v>
      </c>
      <c r="B614" t="str">
        <f ca="1">IFERROR(__xludf.DUMMYFUNCTION("""COMPUTED_VALUE"""),"Gouveia, L. (2017).  Notas e transparências sobre conceitos de Sistemas de 
Informação. Universidade Fernando Pessoa.  
[ handle ]")</f>
        <v>Gouveia, L. (2017).  Notas e transparências sobre conceitos de Sistemas de 
Informação. Universidade Fernando Pessoa.  
[ handle ]</v>
      </c>
      <c r="C614" s="2">
        <f t="shared" ca="1" si="62"/>
        <v>13</v>
      </c>
      <c r="D614" t="str">
        <f t="shared" ca="1" si="77"/>
        <v xml:space="preserve">Gouveia, L. </v>
      </c>
      <c r="E614" t="str">
        <f t="shared" ca="1" si="72"/>
        <v>2017</v>
      </c>
      <c r="F614" t="str">
        <f t="shared" ca="1" si="73"/>
        <v xml:space="preserve">  Notas e transparências sobre conceitos de Sistemas de 
Informação. </v>
      </c>
      <c r="G614" s="3">
        <f t="shared" ca="1" si="74"/>
        <v>18</v>
      </c>
      <c r="H614" s="2">
        <f t="shared" ca="1" si="75"/>
        <v>87</v>
      </c>
      <c r="I614" t="e">
        <f t="shared" ca="1" si="76"/>
        <v>#VALUE!</v>
      </c>
      <c r="J614" s="3" t="e">
        <f t="shared" ca="1" si="78"/>
        <v>#VALUE!</v>
      </c>
      <c r="K614" t="str">
        <f t="shared" ca="1" si="63"/>
        <v xml:space="preserve">Gouveia, L. </v>
      </c>
      <c r="L614" t="str">
        <f t="shared" ca="1" si="64"/>
        <v xml:space="preserve">Quental, C. </v>
      </c>
    </row>
    <row r="615" spans="1:12" ht="15.75" customHeight="1">
      <c r="A615">
        <f ca="1">IFERROR(__xludf.DUMMYFUNCTION("""COMPUTED_VALUE"""),49)</f>
        <v>49</v>
      </c>
      <c r="B615" t="str">
        <f ca="1">IFERROR(__xludf.DUMMYFUNCTION("""COMPUTED_VALUE"""),"Gouveia, L. (2017).  Notas e transparências sobre Tecnologias em Sistemas 
de Informação. Universidade Fernando Pessoa. 
[ handle ]")</f>
        <v>Gouveia, L. (2017).  Notas e transparências sobre Tecnologias em Sistemas 
de Informação. Universidade Fernando Pessoa. 
[ handle ]</v>
      </c>
      <c r="C615" s="2">
        <f t="shared" ca="1" si="62"/>
        <v>13</v>
      </c>
      <c r="D615" t="str">
        <f t="shared" ca="1" si="77"/>
        <v xml:space="preserve">Gouveia, L. </v>
      </c>
      <c r="E615" t="str">
        <f t="shared" ca="1" si="72"/>
        <v>2017</v>
      </c>
      <c r="F615" t="str">
        <f t="shared" ca="1" si="73"/>
        <v xml:space="preserve">  Notas e transparências sobre Tecnologias em Sistemas 
de Informação. </v>
      </c>
      <c r="G615" s="3">
        <f t="shared" ca="1" si="74"/>
        <v>18</v>
      </c>
      <c r="H615" s="2">
        <f t="shared" ca="1" si="75"/>
        <v>89</v>
      </c>
      <c r="I615" t="e">
        <f t="shared" ca="1" si="76"/>
        <v>#VALUE!</v>
      </c>
      <c r="J615" s="3" t="e">
        <f t="shared" ca="1" si="78"/>
        <v>#VALUE!</v>
      </c>
      <c r="K615" t="str">
        <f t="shared" ca="1" si="63"/>
        <v xml:space="preserve">Gouveia, L. </v>
      </c>
      <c r="L615" t="str">
        <f t="shared" ca="1" si="64"/>
        <v xml:space="preserve">Quental, C. </v>
      </c>
    </row>
    <row r="616" spans="1:12" ht="15.75" customHeight="1">
      <c r="A616">
        <f ca="1">IFERROR(__xludf.DUMMYFUNCTION("""COMPUTED_VALUE"""),48)</f>
        <v>48</v>
      </c>
      <c r="B616" t="str">
        <f ca="1">IFERROR(__xludf.DUMMYFUNCTION("""COMPUTED_VALUE"""),"Gouveia, L. (2017).  Sistemas de Informação para a Sociedade do 
Conhecimento: módulos 1 e 2, aulas práticas. Universidade Fernando Pessoa. 
[ handle ]")</f>
        <v>Gouveia, L. (2017).  Sistemas de Informação para a Sociedade do 
Conhecimento: módulos 1 e 2, aulas práticas. Universidade Fernando Pessoa. 
[ handle ]</v>
      </c>
      <c r="C616" s="2">
        <f t="shared" ca="1" si="62"/>
        <v>13</v>
      </c>
      <c r="D616" t="str">
        <f t="shared" ca="1" si="77"/>
        <v xml:space="preserve">Gouveia, L. </v>
      </c>
      <c r="E616" t="str">
        <f t="shared" ca="1" si="72"/>
        <v>2017</v>
      </c>
      <c r="F616" t="str">
        <f t="shared" ca="1" si="73"/>
        <v xml:space="preserve">  Sistemas de Informação para a Sociedade do 
Conhecimento: módulos 1 e 2, aulas práticas. </v>
      </c>
      <c r="G616" s="3">
        <f t="shared" ca="1" si="74"/>
        <v>18</v>
      </c>
      <c r="H616" s="2">
        <f t="shared" ca="1" si="75"/>
        <v>109</v>
      </c>
      <c r="I616" t="e">
        <f t="shared" ca="1" si="76"/>
        <v>#VALUE!</v>
      </c>
      <c r="J616" s="3" t="e">
        <f t="shared" ca="1" si="78"/>
        <v>#VALUE!</v>
      </c>
      <c r="K616" t="str">
        <f t="shared" ca="1" si="63"/>
        <v xml:space="preserve">Gouveia, L. </v>
      </c>
      <c r="L616" t="str">
        <f t="shared" ca="1" si="64"/>
        <v xml:space="preserve">Quental, C. </v>
      </c>
    </row>
    <row r="617" spans="1:12" ht="15.75" customHeight="1">
      <c r="A617">
        <f ca="1">IFERROR(__xludf.DUMMYFUNCTION("""COMPUTED_VALUE"""),47)</f>
        <v>47</v>
      </c>
      <c r="B617" t="str">
        <f ca="1">IFERROR(__xludf.DUMMYFUNCTION("""COMPUTED_VALUE"""),"Gouveia, L. (2017). *Gestão da Segurança da Informação*. Manual prático, 52 
páginas. Grupo *TRS, Tecnologia, Redes e Sociedade. Universidade Fernando 
Pessoa.
[ handle ]")</f>
        <v>Gouveia, L. (2017). *Gestão da Segurança da Informação*. Manual prático, 52 
páginas. Grupo *TRS, Tecnologia, Redes e Sociedade. Universidade Fernando 
Pessoa.
[ handle ]</v>
      </c>
      <c r="C617" s="2">
        <f t="shared" ca="1" si="62"/>
        <v>13</v>
      </c>
      <c r="D617" t="str">
        <f t="shared" ca="1" si="77"/>
        <v xml:space="preserve">Gouveia, L. </v>
      </c>
      <c r="E617" t="str">
        <f t="shared" ca="1" si="72"/>
        <v>2017</v>
      </c>
      <c r="F617" t="str">
        <f t="shared" ca="1" si="73"/>
        <v xml:space="preserve"> *Gestão da Segurança da Informação*. </v>
      </c>
      <c r="G617" s="3">
        <f t="shared" ca="1" si="74"/>
        <v>18</v>
      </c>
      <c r="H617" s="2">
        <f t="shared" ca="1" si="75"/>
        <v>56</v>
      </c>
      <c r="I617" t="e">
        <f t="shared" ca="1" si="76"/>
        <v>#VALUE!</v>
      </c>
      <c r="J617" s="3" t="e">
        <f t="shared" ca="1" si="78"/>
        <v>#VALUE!</v>
      </c>
      <c r="K617" t="str">
        <f t="shared" ca="1" si="63"/>
        <v xml:space="preserve">Gouveia, L. </v>
      </c>
      <c r="L617" t="str">
        <f t="shared" ca="1" si="64"/>
        <v xml:space="preserve">Quental, C. </v>
      </c>
    </row>
    <row r="618" spans="1:12" ht="15.75" customHeight="1">
      <c r="A618">
        <f ca="1">IFERROR(__xludf.DUMMYFUNCTION("""COMPUTED_VALUE"""),46)</f>
        <v>46</v>
      </c>
      <c r="B618" t="str">
        <f ca="1">IFERROR(__xludf.DUMMYFUNCTION("""COMPUTED_VALUE"""),"Gouveia, L. (2017). *Uma breve introdução ao R: Exploração prática e 
exercícios*. Manual prático, 68 páginas. Grupo *TRS, Tecnologia, Redes e 
Sociedade. Universidade Fernando Pessoa.
[ handle ]")</f>
        <v>Gouveia, L. (2017). *Uma breve introdução ao R: Exploração prática e 
exercícios*. Manual prático, 68 páginas. Grupo *TRS, Tecnologia, Redes e 
Sociedade. Universidade Fernando Pessoa.
[ handle ]</v>
      </c>
      <c r="C618" s="2">
        <f t="shared" ca="1" si="62"/>
        <v>13</v>
      </c>
      <c r="D618" t="str">
        <f t="shared" ca="1" si="77"/>
        <v xml:space="preserve">Gouveia, L. </v>
      </c>
      <c r="E618" t="str">
        <f t="shared" ca="1" si="72"/>
        <v>2017</v>
      </c>
      <c r="F618" t="str">
        <f t="shared" ca="1" si="73"/>
        <v xml:space="preserve"> *Uma breve introdução ao R: Exploração prática e 
exercícios*. </v>
      </c>
      <c r="G618" s="3">
        <f t="shared" ca="1" si="74"/>
        <v>18</v>
      </c>
      <c r="H618" s="2">
        <f t="shared" ca="1" si="75"/>
        <v>82</v>
      </c>
      <c r="I618" t="e">
        <f t="shared" ca="1" si="76"/>
        <v>#VALUE!</v>
      </c>
      <c r="J618" s="3" t="e">
        <f t="shared" ca="1" si="78"/>
        <v>#VALUE!</v>
      </c>
      <c r="K618" t="str">
        <f t="shared" ca="1" si="63"/>
        <v xml:space="preserve">Gouveia, L. </v>
      </c>
      <c r="L618" t="str">
        <f t="shared" ca="1" si="64"/>
        <v xml:space="preserve">Quental, C. </v>
      </c>
    </row>
    <row r="619" spans="1:12" ht="15.75" customHeight="1">
      <c r="A619">
        <f ca="1">IFERROR(__xludf.DUMMYFUNCTION("""COMPUTED_VALUE"""),45)</f>
        <v>45</v>
      </c>
      <c r="B619" t="str">
        <f ca="1">IFERROR(__xludf.DUMMYFUNCTION("""COMPUTED_VALUE"""),"Gouveia, L. (2015). Human Computer Interaction. Version 0.5 Main slides 
collection. University Fernando Pessoa. 299 slides.")</f>
        <v>Gouveia, L. (2015). Human Computer Interaction. Version 0.5 Main slides 
collection. University Fernando Pessoa. 299 slides.</v>
      </c>
      <c r="C619" s="2">
        <f t="shared" ca="1" si="62"/>
        <v>13</v>
      </c>
      <c r="D619" t="str">
        <f t="shared" ca="1" si="77"/>
        <v xml:space="preserve">Gouveia, L. </v>
      </c>
      <c r="E619" t="str">
        <f t="shared" ca="1" si="72"/>
        <v>2015</v>
      </c>
      <c r="F619" t="str">
        <f t="shared" ca="1" si="73"/>
        <v xml:space="preserve"> Human Computer Interaction. </v>
      </c>
      <c r="G619" s="3">
        <f t="shared" ca="1" si="74"/>
        <v>18</v>
      </c>
      <c r="H619" s="2">
        <f t="shared" ca="1" si="75"/>
        <v>47</v>
      </c>
      <c r="I619" t="e">
        <f t="shared" ca="1" si="76"/>
        <v>#VALUE!</v>
      </c>
      <c r="J619" s="3" t="e">
        <f t="shared" ca="1" si="78"/>
        <v>#VALUE!</v>
      </c>
      <c r="K619" t="str">
        <f t="shared" ca="1" si="63"/>
        <v xml:space="preserve">Gouveia, L. </v>
      </c>
      <c r="L619" t="str">
        <f t="shared" ca="1" si="64"/>
        <v xml:space="preserve">Quental, C. </v>
      </c>
    </row>
    <row r="620" spans="1:12" ht="15.75" customHeight="1">
      <c r="A620">
        <f ca="1">IFERROR(__xludf.DUMMYFUNCTION("""COMPUTED_VALUE"""),44)</f>
        <v>44</v>
      </c>
      <c r="B620" t="str">
        <f ca="1">IFERROR(__xludf.DUMMYFUNCTION("""COMPUTED_VALUE"""),"Gouveia, L. (2015). Arquivo Empresarial e Administrativo. Versão 2.5. 
Transparências sobre os conceitos de arquivística. Universidade Fernando 
Pessoa. 262 slides.")</f>
        <v>Gouveia, L. (2015). Arquivo Empresarial e Administrativo. Versão 2.5. 
Transparências sobre os conceitos de arquivística. Universidade Fernando 
Pessoa. 262 slides.</v>
      </c>
      <c r="C620" s="2">
        <f t="shared" ca="1" si="62"/>
        <v>13</v>
      </c>
      <c r="D620" t="str">
        <f t="shared" ca="1" si="77"/>
        <v xml:space="preserve">Gouveia, L. </v>
      </c>
      <c r="E620" t="str">
        <f t="shared" ca="1" si="72"/>
        <v>2015</v>
      </c>
      <c r="F620" t="str">
        <f t="shared" ca="1" si="73"/>
        <v xml:space="preserve"> Arquivo Empresarial e Administrativo. </v>
      </c>
      <c r="G620" s="3">
        <f t="shared" ca="1" si="74"/>
        <v>18</v>
      </c>
      <c r="H620" s="2">
        <f t="shared" ca="1" si="75"/>
        <v>57</v>
      </c>
      <c r="I620" t="e">
        <f t="shared" ca="1" si="76"/>
        <v>#VALUE!</v>
      </c>
      <c r="J620" s="3" t="e">
        <f t="shared" ca="1" si="78"/>
        <v>#VALUE!</v>
      </c>
      <c r="K620" t="str">
        <f t="shared" ca="1" si="63"/>
        <v xml:space="preserve">Gouveia, L. </v>
      </c>
      <c r="L620" t="str">
        <f t="shared" ca="1" si="64"/>
        <v xml:space="preserve">Quental, C. </v>
      </c>
    </row>
    <row r="621" spans="1:12" ht="15.75" customHeight="1">
      <c r="A621">
        <f ca="1">IFERROR(__xludf.DUMMYFUNCTION("""COMPUTED_VALUE"""),43)</f>
        <v>43</v>
      </c>
      <c r="B621" t="str">
        <f ca="1">IFERROR(__xludf.DUMMYFUNCTION("""COMPUTED_VALUE"""),"Gouveia, L. (2015). Knowledge Management in 20 slides. Version 2.01. 
University Fernando Pessoa. 21 slides.")</f>
        <v>Gouveia, L. (2015). Knowledge Management in 20 slides. Version 2.01. 
University Fernando Pessoa. 21 slides.</v>
      </c>
      <c r="C621" s="2">
        <f t="shared" ca="1" si="62"/>
        <v>13</v>
      </c>
      <c r="D621" t="str">
        <f t="shared" ca="1" si="77"/>
        <v xml:space="preserve">Gouveia, L. </v>
      </c>
      <c r="E621" t="str">
        <f t="shared" ca="1" si="72"/>
        <v>2015</v>
      </c>
      <c r="F621" t="str">
        <f t="shared" ca="1" si="73"/>
        <v xml:space="preserve"> Knowledge Management in 20 slides. </v>
      </c>
      <c r="G621" s="3">
        <f t="shared" ca="1" si="74"/>
        <v>18</v>
      </c>
      <c r="H621" s="2">
        <f t="shared" ca="1" si="75"/>
        <v>54</v>
      </c>
      <c r="I621" t="e">
        <f t="shared" ca="1" si="76"/>
        <v>#VALUE!</v>
      </c>
      <c r="J621" s="3" t="e">
        <f t="shared" ca="1" si="78"/>
        <v>#VALUE!</v>
      </c>
      <c r="K621" t="str">
        <f t="shared" ca="1" si="63"/>
        <v xml:space="preserve">Gouveia, L. </v>
      </c>
      <c r="L621" t="str">
        <f t="shared" ca="1" si="64"/>
        <v xml:space="preserve">Quental, C. </v>
      </c>
    </row>
    <row r="622" spans="1:12" ht="15.75" customHeight="1">
      <c r="A622">
        <f ca="1">IFERROR(__xludf.DUMMYFUNCTION("""COMPUTED_VALUE"""),42)</f>
        <v>42</v>
      </c>
      <c r="B622" t="str">
        <f ca="1">IFERROR(__xludf.DUMMYFUNCTION("""COMPUTED_VALUE"""),"Gouveia, L. (2015). Segurança da Informação e proteção de dados. Versão 
3.4. Universidade Fernando Pessoa. 374 slides.")</f>
        <v>Gouveia, L. (2015). Segurança da Informação e proteção de dados. Versão 
3.4. Universidade Fernando Pessoa. 374 slides.</v>
      </c>
      <c r="C622" s="2">
        <f t="shared" ca="1" si="62"/>
        <v>13</v>
      </c>
      <c r="D622" t="str">
        <f t="shared" ca="1" si="77"/>
        <v xml:space="preserve">Gouveia, L. </v>
      </c>
      <c r="E622" t="str">
        <f t="shared" ca="1" si="72"/>
        <v>2015</v>
      </c>
      <c r="F622" t="str">
        <f t="shared" ca="1" si="73"/>
        <v xml:space="preserve"> Segurança da Informação e proteção de dados. </v>
      </c>
      <c r="G622" s="3">
        <f t="shared" ca="1" si="74"/>
        <v>18</v>
      </c>
      <c r="H622" s="2">
        <f t="shared" ca="1" si="75"/>
        <v>64</v>
      </c>
      <c r="I622" t="e">
        <f t="shared" ca="1" si="76"/>
        <v>#VALUE!</v>
      </c>
      <c r="J622" s="3" t="e">
        <f t="shared" ca="1" si="78"/>
        <v>#VALUE!</v>
      </c>
      <c r="K622" t="str">
        <f t="shared" ca="1" si="63"/>
        <v xml:space="preserve">Gouveia, L. </v>
      </c>
      <c r="L622" t="str">
        <f t="shared" ca="1" si="64"/>
        <v xml:space="preserve">Quental, C. </v>
      </c>
    </row>
    <row r="623" spans="1:12" ht="15.75" customHeight="1">
      <c r="A623">
        <f ca="1">IFERROR(__xludf.DUMMYFUNCTION("""COMPUTED_VALUE"""),41)</f>
        <v>41</v>
      </c>
      <c r="B623" t="str">
        <f ca="1">IFERROR(__xludf.DUMMYFUNCTION("""COMPUTED_VALUE"""),"Gouveia, L. (2015). Análise de Sistemas: conceitos, módulo 1. Versão 3.05. 
Universidade Fernando Pessoa. 270 slides.")</f>
        <v>Gouveia, L. (2015). Análise de Sistemas: conceitos, módulo 1. Versão 3.05. 
Universidade Fernando Pessoa. 270 slides.</v>
      </c>
      <c r="C623" s="2">
        <f t="shared" ca="1" si="62"/>
        <v>13</v>
      </c>
      <c r="D623" t="str">
        <f t="shared" ca="1" si="77"/>
        <v xml:space="preserve">Gouveia, L. </v>
      </c>
      <c r="E623" t="str">
        <f t="shared" ca="1" si="72"/>
        <v>2015</v>
      </c>
      <c r="F623" t="str">
        <f t="shared" ca="1" si="73"/>
        <v xml:space="preserve"> Análise de Sistemas: conceitos, módulo 1. </v>
      </c>
      <c r="G623" s="3">
        <f t="shared" ca="1" si="74"/>
        <v>18</v>
      </c>
      <c r="H623" s="2">
        <f t="shared" ca="1" si="75"/>
        <v>61</v>
      </c>
      <c r="I623" t="e">
        <f t="shared" ca="1" si="76"/>
        <v>#VALUE!</v>
      </c>
      <c r="J623" s="3" t="e">
        <f t="shared" ca="1" si="78"/>
        <v>#VALUE!</v>
      </c>
      <c r="K623" t="str">
        <f t="shared" ca="1" si="63"/>
        <v xml:space="preserve">Gouveia, L. </v>
      </c>
      <c r="L623" t="str">
        <f t="shared" ca="1" si="64"/>
        <v xml:space="preserve">Quental, C. </v>
      </c>
    </row>
    <row r="624" spans="1:12" ht="15.75" customHeight="1">
      <c r="A624">
        <f ca="1">IFERROR(__xludf.DUMMYFUNCTION("""COMPUTED_VALUE"""),40)</f>
        <v>40</v>
      </c>
      <c r="B624" t="str">
        <f ca="1">IFERROR(__xludf.DUMMYFUNCTION("""COMPUTED_VALUE"""),"Gouveia, L. (2015). Análise de Sistemas: a abordagem estruturada, módulo 2. 
Versão 4. Universidade Fernando Pessoa. 192 slides.")</f>
        <v>Gouveia, L. (2015). Análise de Sistemas: a abordagem estruturada, módulo 2. 
Versão 4. Universidade Fernando Pessoa. 192 slides.</v>
      </c>
      <c r="C624" s="2">
        <f t="shared" ca="1" si="62"/>
        <v>13</v>
      </c>
      <c r="D624" t="str">
        <f t="shared" ca="1" si="77"/>
        <v xml:space="preserve">Gouveia, L. </v>
      </c>
      <c r="E624" t="str">
        <f t="shared" ca="1" si="72"/>
        <v>2015</v>
      </c>
      <c r="F624" t="str">
        <f t="shared" ca="1" si="73"/>
        <v xml:space="preserve"> Análise de Sistemas: a abordagem estruturada, módulo 2. </v>
      </c>
      <c r="G624" s="3">
        <f t="shared" ca="1" si="74"/>
        <v>18</v>
      </c>
      <c r="H624" s="2">
        <f t="shared" ca="1" si="75"/>
        <v>75</v>
      </c>
      <c r="I624" t="e">
        <f t="shared" ca="1" si="76"/>
        <v>#VALUE!</v>
      </c>
      <c r="J624" s="3" t="e">
        <f t="shared" ca="1" si="78"/>
        <v>#VALUE!</v>
      </c>
      <c r="K624" t="str">
        <f t="shared" ca="1" si="63"/>
        <v xml:space="preserve">Gouveia, L. </v>
      </c>
      <c r="L624" t="str">
        <f t="shared" ca="1" si="64"/>
        <v xml:space="preserve">Quental, C. </v>
      </c>
    </row>
    <row r="625" spans="1:12" ht="15.75" customHeight="1">
      <c r="A625">
        <f ca="1">IFERROR(__xludf.DUMMYFUNCTION("""COMPUTED_VALUE"""),39)</f>
        <v>39</v>
      </c>
      <c r="B625" t="str">
        <f ca="1">IFERROR(__xludf.DUMMYFUNCTION("""COMPUTED_VALUE"""),"Gouveia, L. (2015). Análise de Sistemas: a abordagem orientada aos objetos, 
módulo 3. Versão 3.8. Universidade Fernando Pessoa. 306 slides.")</f>
        <v>Gouveia, L. (2015). Análise de Sistemas: a abordagem orientada aos objetos, 
módulo 3. Versão 3.8. Universidade Fernando Pessoa. 306 slides.</v>
      </c>
      <c r="C625" s="2">
        <f t="shared" ca="1" si="62"/>
        <v>13</v>
      </c>
      <c r="D625" t="str">
        <f t="shared" ca="1" si="77"/>
        <v xml:space="preserve">Gouveia, L. </v>
      </c>
      <c r="E625" t="str">
        <f t="shared" ca="1" si="72"/>
        <v>2015</v>
      </c>
      <c r="F625" t="str">
        <f t="shared" ca="1" si="73"/>
        <v xml:space="preserve"> Análise de Sistemas: a abordagem orientada aos objetos, 
módulo 3. </v>
      </c>
      <c r="G625" s="3">
        <f t="shared" ca="1" si="74"/>
        <v>18</v>
      </c>
      <c r="H625" s="2">
        <f t="shared" ca="1" si="75"/>
        <v>86</v>
      </c>
      <c r="I625" t="e">
        <f t="shared" ca="1" si="76"/>
        <v>#VALUE!</v>
      </c>
      <c r="J625" s="3" t="e">
        <f t="shared" ca="1" si="78"/>
        <v>#VALUE!</v>
      </c>
      <c r="K625" t="str">
        <f t="shared" ca="1" si="63"/>
        <v xml:space="preserve">Gouveia, L. </v>
      </c>
      <c r="L625" t="str">
        <f t="shared" ca="1" si="64"/>
        <v xml:space="preserve">Quental, C. </v>
      </c>
    </row>
    <row r="626" spans="1:12" ht="15.75" customHeight="1">
      <c r="A626">
        <f ca="1">IFERROR(__xludf.DUMMYFUNCTION("""COMPUTED_VALUE"""),38)</f>
        <v>38</v>
      </c>
      <c r="B626" t="str">
        <f ca="1">IFERROR(__xludf.DUMMYFUNCTION("""COMPUTED_VALUE"""),"Gouveia, L. (2015). Análise de Sistemas: a abordagem SSM, módulo 4. Versão 
2.1. Universidade Fernando Pessoa. 86 slides.")</f>
        <v>Gouveia, L. (2015). Análise de Sistemas: a abordagem SSM, módulo 4. Versão 
2.1. Universidade Fernando Pessoa. 86 slides.</v>
      </c>
      <c r="C626" s="2">
        <f t="shared" ca="1" si="62"/>
        <v>13</v>
      </c>
      <c r="D626" t="str">
        <f t="shared" ca="1" si="77"/>
        <v xml:space="preserve">Gouveia, L. </v>
      </c>
      <c r="E626" t="str">
        <f t="shared" ca="1" si="72"/>
        <v>2015</v>
      </c>
      <c r="F626" t="str">
        <f t="shared" ca="1" si="73"/>
        <v xml:space="preserve"> Análise de Sistemas: a abordagem SSM, módulo 4. </v>
      </c>
      <c r="G626" s="3">
        <f t="shared" ca="1" si="74"/>
        <v>18</v>
      </c>
      <c r="H626" s="2">
        <f t="shared" ca="1" si="75"/>
        <v>67</v>
      </c>
      <c r="I626" t="e">
        <f t="shared" ca="1" si="76"/>
        <v>#VALUE!</v>
      </c>
      <c r="J626" s="3" t="e">
        <f t="shared" ca="1" si="78"/>
        <v>#VALUE!</v>
      </c>
      <c r="K626" t="str">
        <f t="shared" ca="1" si="63"/>
        <v xml:space="preserve">Gouveia, L. </v>
      </c>
      <c r="L626" t="str">
        <f t="shared" ca="1" si="64"/>
        <v xml:space="preserve">Quental, C. </v>
      </c>
    </row>
    <row r="627" spans="1:12" ht="15.75" customHeight="1">
      <c r="A627">
        <f ca="1">IFERROR(__xludf.DUMMYFUNCTION("""COMPUTED_VALUE"""),37)</f>
        <v>37</v>
      </c>
      <c r="B627" t="str">
        <f ca="1">IFERROR(__xludf.DUMMYFUNCTION("""COMPUTED_VALUE"""),"Gouveia, L. (2015). O que é a Ciência de Dados (data science). Discussão do 
conceito. Universidade Fernando Pessoa. Outubro. Porto.
[ apresentação ]")</f>
        <v>Gouveia, L. (2015). O que é a Ciência de Dados (data science). Discussão do 
conceito. Universidade Fernando Pessoa. Outubro. Porto.
[ apresentação ]</v>
      </c>
      <c r="C627" s="2">
        <f t="shared" ca="1" si="62"/>
        <v>13</v>
      </c>
      <c r="D627" t="str">
        <f t="shared" ca="1" si="77"/>
        <v xml:space="preserve">Gouveia, L. </v>
      </c>
      <c r="E627" t="str">
        <f t="shared" ca="1" si="72"/>
        <v>2015</v>
      </c>
      <c r="F627" t="str">
        <f t="shared" ca="1" si="73"/>
        <v xml:space="preserve"> O que é a Ciência de Dados (data science). </v>
      </c>
      <c r="G627" s="3">
        <f t="shared" ca="1" si="74"/>
        <v>18</v>
      </c>
      <c r="H627" s="2">
        <f t="shared" ca="1" si="75"/>
        <v>62</v>
      </c>
      <c r="I627" t="e">
        <f t="shared" ca="1" si="76"/>
        <v>#VALUE!</v>
      </c>
      <c r="J627" s="3" t="e">
        <f t="shared" ca="1" si="78"/>
        <v>#VALUE!</v>
      </c>
      <c r="K627" t="str">
        <f t="shared" ca="1" si="63"/>
        <v xml:space="preserve">Gouveia, L. </v>
      </c>
      <c r="L627" t="str">
        <f t="shared" ca="1" si="64"/>
        <v xml:space="preserve">Quental, C. </v>
      </c>
    </row>
    <row r="628" spans="1:12" ht="15.75" customHeight="1">
      <c r="A628">
        <f ca="1">IFERROR(__xludf.DUMMYFUNCTION("""COMPUTED_VALUE"""),36)</f>
        <v>36</v>
      </c>
      <c r="B628" t="str">
        <f ca="1">IFERROR(__xludf.DUMMYFUNCTION("""COMPUTED_VALUE"""),"Gouveia, L. (2014). *Segurança e redes sociais. Módulo 2 - Redes Sociais.* 
Elaboração de conteúdos para SeguraNet MOOC. 15 a 25 de Maio. Direção-Geral 
da Educação (DGE). Ministério da Educação e Ensino Superior.
[ recursos ]")</f>
        <v>Gouveia, L. (2014). *Segurança e redes sociais. Módulo 2 - Redes Sociais.* 
Elaboração de conteúdos para SeguraNet MOOC. 15 a 25 de Maio. Direção-Geral 
da Educação (DGE). Ministério da Educação e Ensino Superior.
[ recursos ]</v>
      </c>
      <c r="C628" s="2">
        <f t="shared" ca="1" si="62"/>
        <v>13</v>
      </c>
      <c r="D628" t="str">
        <f t="shared" ca="1" si="77"/>
        <v xml:space="preserve">Gouveia, L. </v>
      </c>
      <c r="E628" t="str">
        <f t="shared" ca="1" si="72"/>
        <v>2014</v>
      </c>
      <c r="F628" t="str">
        <f t="shared" ca="1" si="73"/>
        <v xml:space="preserve"> *Segurança e redes sociais. </v>
      </c>
      <c r="G628" s="3">
        <f t="shared" ca="1" si="74"/>
        <v>18</v>
      </c>
      <c r="H628" s="2">
        <f t="shared" ca="1" si="75"/>
        <v>47</v>
      </c>
      <c r="I628" t="str">
        <f t="shared" ca="1" si="76"/>
        <v>Módulo 2 - Redes Sociais.* 
Elaboração de conteúdos para SeguraNet MOOC. 15 a 25 de Maio. Direção-Geral 
da Educação (DGE).</v>
      </c>
      <c r="J628" s="3">
        <f t="shared" ca="1" si="78"/>
        <v>170</v>
      </c>
      <c r="K628" t="str">
        <f t="shared" ca="1" si="63"/>
        <v xml:space="preserve">Gouveia, L. </v>
      </c>
      <c r="L628" t="str">
        <f t="shared" ca="1" si="64"/>
        <v xml:space="preserve">Quental, C. </v>
      </c>
    </row>
    <row r="629" spans="1:12" ht="15.75" customHeight="1">
      <c r="A629">
        <f ca="1">IFERROR(__xludf.DUMMYFUNCTION("""COMPUTED_VALUE"""),35)</f>
        <v>35</v>
      </c>
      <c r="B629" t="str">
        <f ca="1">IFERROR(__xludf.DUMMYFUNCTION("""COMPUTED_VALUE"""),"Gouveia, L. (2006). *Transparências sobre Negócio Electrónico: conceitos e 
perspectivas de desenvolvimento*. Transparências - Colecção Negócio 
Electrónico. Dezembro de 2006. SPI - Principia.
transparências [ pdf (660KB) ]")</f>
        <v>Gouveia, L. (2006). *Transparências sobre Negócio Electrónico: conceitos e 
perspectivas de desenvolvimento*. Transparências - Colecção Negócio 
Electrónico. Dezembro de 2006. SPI - Principia.
transparências [ pdf (660KB) ]</v>
      </c>
      <c r="C629" s="2">
        <f t="shared" ca="1" si="62"/>
        <v>13</v>
      </c>
      <c r="D629" t="str">
        <f t="shared" ca="1" si="77"/>
        <v xml:space="preserve">Gouveia, L. </v>
      </c>
      <c r="E629" t="str">
        <f t="shared" ca="1" si="72"/>
        <v>2006</v>
      </c>
      <c r="F629" t="str">
        <f t="shared" ca="1" si="73"/>
        <v xml:space="preserve"> *Transparências sobre Negócio Electrónico: conceitos e 
perspectivas de desenvolvimento*. </v>
      </c>
      <c r="G629" s="3">
        <f t="shared" ca="1" si="74"/>
        <v>18</v>
      </c>
      <c r="H629" s="2">
        <f t="shared" ca="1" si="75"/>
        <v>109</v>
      </c>
      <c r="I629" t="e">
        <f t="shared" ca="1" si="76"/>
        <v>#VALUE!</v>
      </c>
      <c r="J629" s="3" t="e">
        <f t="shared" ca="1" si="78"/>
        <v>#VALUE!</v>
      </c>
      <c r="K629" t="str">
        <f t="shared" ca="1" si="63"/>
        <v xml:space="preserve">Gouveia, L. </v>
      </c>
      <c r="L629" t="str">
        <f t="shared" ca="1" si="64"/>
        <v xml:space="preserve">Quental, C. </v>
      </c>
    </row>
    <row r="630" spans="1:12" ht="15.75" customHeight="1">
      <c r="A630">
        <f ca="1">IFERROR(__xludf.DUMMYFUNCTION("""COMPUTED_VALUE"""),34)</f>
        <v>34</v>
      </c>
      <c r="B630" t="str">
        <f ca="1">IFERROR(__xludf.DUMMYFUNCTION("""COMPUTED_VALUE"""),"Gouveia, L. (2005). *Transparências sobre Local e-government: a governação 
digital na autarquia*. Transparências - Colecção Inovação e Governância nas 
autarquias. SPI.
transparências [ pdf (284KB) ]")</f>
        <v>Gouveia, L. (2005). *Transparências sobre Local e-government: a governação 
digital na autarquia*. Transparências - Colecção Inovação e Governância nas 
autarquias. SPI.
transparências [ pdf (284KB) ]</v>
      </c>
      <c r="C630" s="2">
        <f t="shared" ca="1" si="62"/>
        <v>13</v>
      </c>
      <c r="D630" t="str">
        <f t="shared" ca="1" si="77"/>
        <v xml:space="preserve">Gouveia, L. </v>
      </c>
      <c r="E630" t="str">
        <f t="shared" ca="1" si="72"/>
        <v>2005</v>
      </c>
      <c r="F630" t="str">
        <f t="shared" ca="1" si="73"/>
        <v xml:space="preserve"> *Transparências sobre Local e-government: a governação 
digital na autarquia*. </v>
      </c>
      <c r="G630" s="3">
        <f t="shared" ca="1" si="74"/>
        <v>18</v>
      </c>
      <c r="H630" s="2">
        <f t="shared" ca="1" si="75"/>
        <v>98</v>
      </c>
      <c r="I630" t="e">
        <f t="shared" ca="1" si="76"/>
        <v>#VALUE!</v>
      </c>
      <c r="J630" s="3" t="e">
        <f t="shared" ca="1" si="78"/>
        <v>#VALUE!</v>
      </c>
      <c r="K630" t="str">
        <f t="shared" ca="1" si="63"/>
        <v xml:space="preserve">Gouveia, L. </v>
      </c>
      <c r="L630" t="str">
        <f t="shared" ca="1" si="64"/>
        <v xml:space="preserve">Quental, C. </v>
      </c>
    </row>
    <row r="631" spans="1:12" ht="15.75" customHeight="1">
      <c r="A631">
        <f ca="1">IFERROR(__xludf.DUMMYFUNCTION("""COMPUTED_VALUE"""),33)</f>
        <v>33</v>
      </c>
      <c r="B631" t="str">
        <f ca="1">IFERROR(__xludf.DUMMYFUNCTION("""COMPUTED_VALUE"""),"Gouveia, L. (2005). *Transparências sobre Sistemas de Informação de Apoio à 
Decisão*. Transparências - Colecção Inovação e Governância nas autarquias. 
SPI.
transparências [ pdf (286KB) ]")</f>
        <v>Gouveia, L. (2005). *Transparências sobre Sistemas de Informação de Apoio à 
Decisão*. Transparências - Colecção Inovação e Governância nas autarquias. 
SPI.
transparências [ pdf (286KB) ]</v>
      </c>
      <c r="C631" s="2">
        <f t="shared" ca="1" si="62"/>
        <v>13</v>
      </c>
      <c r="D631" t="str">
        <f t="shared" ca="1" si="77"/>
        <v xml:space="preserve">Gouveia, L. </v>
      </c>
      <c r="E631" t="str">
        <f t="shared" ca="1" si="72"/>
        <v>2005</v>
      </c>
      <c r="F631" t="str">
        <f t="shared" ca="1" si="73"/>
        <v xml:space="preserve"> *Transparências sobre Sistemas de Informação de Apoio à 
Decisão*. </v>
      </c>
      <c r="G631" s="3">
        <f t="shared" ca="1" si="74"/>
        <v>18</v>
      </c>
      <c r="H631" s="2">
        <f t="shared" ca="1" si="75"/>
        <v>86</v>
      </c>
      <c r="I631" t="e">
        <f t="shared" ca="1" si="76"/>
        <v>#VALUE!</v>
      </c>
      <c r="J631" s="3" t="e">
        <f t="shared" ca="1" si="78"/>
        <v>#VALUE!</v>
      </c>
      <c r="K631" t="str">
        <f t="shared" ca="1" si="63"/>
        <v xml:space="preserve">Gouveia, L. </v>
      </c>
      <c r="L631" t="str">
        <f t="shared" ca="1" si="64"/>
        <v xml:space="preserve">Quental, C. </v>
      </c>
    </row>
    <row r="632" spans="1:12" ht="15.75" customHeight="1">
      <c r="A632">
        <f ca="1">IFERROR(__xludf.DUMMYFUNCTION("""COMPUTED_VALUE"""),32)</f>
        <v>32</v>
      </c>
      <c r="B632" t="str">
        <f ca="1">IFERROR(__xludf.DUMMYFUNCTION("""COMPUTED_VALUE"""),"Gouveia, L. (2005). *Sistemas de Informação para e-marketing e 
e-publicidade*. Compilação de textos. Março. Universidade Fernando Pessoa.")</f>
        <v>Gouveia, L. (2005). *Sistemas de Informação para e-marketing e 
e-publicidade*. Compilação de textos. Março. Universidade Fernando Pessoa.</v>
      </c>
      <c r="C632" s="2">
        <f t="shared" ca="1" si="62"/>
        <v>13</v>
      </c>
      <c r="D632" t="str">
        <f t="shared" ca="1" si="77"/>
        <v xml:space="preserve">Gouveia, L. </v>
      </c>
      <c r="E632" t="str">
        <f t="shared" ca="1" si="72"/>
        <v>2005</v>
      </c>
      <c r="F632" t="str">
        <f t="shared" ca="1" si="73"/>
        <v xml:space="preserve"> *Sistemas de Informação para e-marketing e 
e-publicidade*. </v>
      </c>
      <c r="G632" s="3">
        <f t="shared" ca="1" si="74"/>
        <v>18</v>
      </c>
      <c r="H632" s="2">
        <f t="shared" ca="1" si="75"/>
        <v>79</v>
      </c>
      <c r="I632" t="e">
        <f t="shared" ca="1" si="76"/>
        <v>#VALUE!</v>
      </c>
      <c r="J632" s="3" t="e">
        <f t="shared" ca="1" si="78"/>
        <v>#VALUE!</v>
      </c>
      <c r="K632" t="str">
        <f t="shared" ca="1" si="63"/>
        <v xml:space="preserve">Gouveia, L. </v>
      </c>
      <c r="L632" t="str">
        <f t="shared" ca="1" si="64"/>
        <v xml:space="preserve">Quental, C. </v>
      </c>
    </row>
    <row r="633" spans="1:12" ht="15.75" customHeight="1">
      <c r="A633">
        <f ca="1">IFERROR(__xludf.DUMMYFUNCTION("""COMPUTED_VALUE"""),31)</f>
        <v>31</v>
      </c>
      <c r="B633" t="str">
        <f ca="1">IFERROR(__xludf.DUMMYFUNCTION("""COMPUTED_VALUE"""),"Gouveia, L. (2004). *Sistemas de Informação para a Sociedade da Informação 
e do Conhecimento*. UFP, Janeiro.
apresentação [ pdf: módulos #1, #2, #3, #4 e #5 (*1998*) ]")</f>
        <v>Gouveia, L. (2004). *Sistemas de Informação para a Sociedade da Informação 
e do Conhecimento*. UFP, Janeiro.
apresentação [ pdf: módulos #1, #2, #3, #4 e #5 (*1998*) ]</v>
      </c>
      <c r="C633" s="2">
        <f t="shared" ca="1" si="62"/>
        <v>13</v>
      </c>
      <c r="D633" t="str">
        <f t="shared" ca="1" si="77"/>
        <v xml:space="preserve">Gouveia, L. </v>
      </c>
      <c r="E633" t="str">
        <f t="shared" ca="1" si="72"/>
        <v>2004</v>
      </c>
      <c r="F633" t="str">
        <f t="shared" ca="1" si="73"/>
        <v xml:space="preserve"> *Sistemas de Informação para a Sociedade da Informação 
e do Conhecimento*. </v>
      </c>
      <c r="G633" s="3">
        <f t="shared" ca="1" si="74"/>
        <v>18</v>
      </c>
      <c r="H633" s="2">
        <f t="shared" ca="1" si="75"/>
        <v>95</v>
      </c>
      <c r="I633" t="e">
        <f t="shared" ca="1" si="76"/>
        <v>#VALUE!</v>
      </c>
      <c r="J633" s="3" t="e">
        <f t="shared" ca="1" si="78"/>
        <v>#VALUE!</v>
      </c>
      <c r="K633" t="str">
        <f t="shared" ca="1" si="63"/>
        <v xml:space="preserve">Gouveia, L. </v>
      </c>
      <c r="L633" t="str">
        <f t="shared" ca="1" si="64"/>
        <v xml:space="preserve">Quental, C. </v>
      </c>
    </row>
    <row r="634" spans="1:12" ht="15.75" customHeight="1">
      <c r="A634">
        <f ca="1">IFERROR(__xludf.DUMMYFUNCTION("""COMPUTED_VALUE"""),30)</f>
        <v>30</v>
      </c>
      <c r="B634" t="str">
        <f ca="1">IFERROR(__xludf.DUMMYFUNCTION("""COMPUTED_VALUE"""),"Gouveia, L. (2003). *A Mobilidade no Gaia Global*. Câmara Municipal de 
Gaia, Energaia/POSI. Novembro.
brochura [ pdf (5MB) ]")</f>
        <v>Gouveia, L. (2003). *A Mobilidade no Gaia Global*. Câmara Municipal de 
Gaia, Energaia/POSI. Novembro.
brochura [ pdf (5MB) ]</v>
      </c>
      <c r="C634" s="2">
        <f t="shared" ca="1" si="62"/>
        <v>13</v>
      </c>
      <c r="D634" t="str">
        <f t="shared" ca="1" si="77"/>
        <v xml:space="preserve">Gouveia, L. </v>
      </c>
      <c r="E634" t="str">
        <f t="shared" ca="1" si="72"/>
        <v>2003</v>
      </c>
      <c r="F634" t="str">
        <f t="shared" ca="1" si="73"/>
        <v xml:space="preserve"> *A Mobilidade no Gaia Global*. </v>
      </c>
      <c r="G634" s="3">
        <f t="shared" ca="1" si="74"/>
        <v>18</v>
      </c>
      <c r="H634" s="2">
        <f t="shared" ca="1" si="75"/>
        <v>50</v>
      </c>
      <c r="I634" t="e">
        <f t="shared" ca="1" si="76"/>
        <v>#VALUE!</v>
      </c>
      <c r="J634" s="3" t="e">
        <f t="shared" ca="1" si="78"/>
        <v>#VALUE!</v>
      </c>
      <c r="K634" t="str">
        <f t="shared" ca="1" si="63"/>
        <v xml:space="preserve">Gouveia, L. </v>
      </c>
      <c r="L634" t="str">
        <f t="shared" ca="1" si="64"/>
        <v xml:space="preserve">Quental, C. </v>
      </c>
    </row>
    <row r="635" spans="1:12" ht="15.75" customHeight="1">
      <c r="A635">
        <f ca="1">IFERROR(__xludf.DUMMYFUNCTION("""COMPUTED_VALUE"""),29)</f>
        <v>29</v>
      </c>
      <c r="B635" t="str">
        <f ca="1">IFERROR(__xludf.DUMMYFUNCTION("""COMPUTED_VALUE"""),"Gouveia, L. (2003). *Apontamentos de Tecnologias de Informação e Sociedade*. 
Ciências da Comunicação. Universidade Fernando Pessoa. Porto, Novembro.")</f>
        <v>Gouveia, L. (2003). *Apontamentos de Tecnologias de Informação e Sociedade*. 
Ciências da Comunicação. Universidade Fernando Pessoa. Porto, Novembro.</v>
      </c>
      <c r="C635" s="2">
        <f t="shared" ca="1" si="62"/>
        <v>13</v>
      </c>
      <c r="D635" t="str">
        <f t="shared" ca="1" si="77"/>
        <v xml:space="preserve">Gouveia, L. </v>
      </c>
      <c r="E635" t="str">
        <f t="shared" ca="1" si="72"/>
        <v>2003</v>
      </c>
      <c r="F635" t="str">
        <f t="shared" ca="1" si="73"/>
        <v xml:space="preserve"> *Apontamentos de Tecnologias de Informação e Sociedade*. </v>
      </c>
      <c r="G635" s="3">
        <f t="shared" ca="1" si="74"/>
        <v>18</v>
      </c>
      <c r="H635" s="2">
        <f t="shared" ca="1" si="75"/>
        <v>76</v>
      </c>
      <c r="I635" t="e">
        <f t="shared" ca="1" si="76"/>
        <v>#VALUE!</v>
      </c>
      <c r="J635" s="3" t="e">
        <f t="shared" ca="1" si="78"/>
        <v>#VALUE!</v>
      </c>
      <c r="K635" t="str">
        <f t="shared" ca="1" si="63"/>
        <v xml:space="preserve">Gouveia, L. </v>
      </c>
      <c r="L635" t="str">
        <f t="shared" ca="1" si="64"/>
        <v xml:space="preserve">Quental, C. </v>
      </c>
    </row>
    <row r="636" spans="1:12" ht="15.75" customHeight="1">
      <c r="A636">
        <f ca="1">IFERROR(__xludf.DUMMYFUNCTION("""COMPUTED_VALUE"""),28)</f>
        <v>28</v>
      </c>
      <c r="B636" t="str">
        <f ca="1">IFERROR(__xludf.DUMMYFUNCTION("""COMPUTED_VALUE"""),"Gouveia, J. e Gouveia, L. e Xavier, J. (2003). *Gaia Global: o concelho de 
Gaia no digital. 1º ano de projecto. Conceitos e diferenciação*. Câmara 
Municipal de Gaia, Energaia/POSI. Maio.
brochura [ pdf (2.3MB) ]")</f>
        <v>Gouveia, J. e Gouveia, L. e Xavier, J. (2003). *Gaia Global: o concelho de 
Gaia no digital. 1º ano de projecto. Conceitos e diferenciação*. Câmara 
Municipal de Gaia, Energaia/POSI. Maio.
brochura [ pdf (2.3MB) ]</v>
      </c>
      <c r="C636" s="2">
        <f t="shared" ca="1" si="62"/>
        <v>40</v>
      </c>
      <c r="D636" t="str">
        <f t="shared" ca="1" si="77"/>
        <v xml:space="preserve">Gouveia, J. e Gouveia, L. e Xavier, J. </v>
      </c>
      <c r="E636" t="str">
        <f t="shared" ca="1" si="72"/>
        <v>2003</v>
      </c>
      <c r="F636" t="str">
        <f t="shared" ca="1" si="73"/>
        <v xml:space="preserve"> *Gaia Global: o concelho de 
Gaia no digital. </v>
      </c>
      <c r="G636" s="3">
        <f t="shared" ca="1" si="74"/>
        <v>45</v>
      </c>
      <c r="H636" s="2">
        <f t="shared" ca="1" si="75"/>
        <v>92</v>
      </c>
      <c r="I636" t="e">
        <f t="shared" ca="1" si="76"/>
        <v>#VALUE!</v>
      </c>
      <c r="J636" s="3" t="e">
        <f t="shared" ca="1" si="78"/>
        <v>#VALUE!</v>
      </c>
      <c r="K636" t="str">
        <f t="shared" ca="1" si="63"/>
        <v xml:space="preserve">Gouveia, J. e Gouveia, L. e Xavier, J. </v>
      </c>
      <c r="L636" t="str">
        <f t="shared" ca="1" si="64"/>
        <v xml:space="preserve">Quental, C. </v>
      </c>
    </row>
    <row r="637" spans="1:12" ht="15.75" customHeight="1">
      <c r="A637">
        <f ca="1">IFERROR(__xludf.DUMMYFUNCTION("""COMPUTED_VALUE"""),27)</f>
        <v>27</v>
      </c>
      <c r="B637" t="str">
        <f ca="1">IFERROR(__xludf.DUMMYFUNCTION("""COMPUTED_VALUE"""),"Gouveia, L. (2003). Notas complementares sobre Informática Aplicada. Pós-Graduação 
em Ciências da Informação e da Documentação. Universidade Fernando Pessoa. 
Porto, Abril.
texto [ pdf ]")</f>
        <v>Gouveia, L. (2003). Notas complementares sobre Informática Aplicada. Pós-Graduação 
em Ciências da Informação e da Documentação. Universidade Fernando Pessoa. 
Porto, Abril.
texto [ pdf ]</v>
      </c>
      <c r="C637" s="2">
        <f t="shared" ca="1" si="62"/>
        <v>13</v>
      </c>
      <c r="D637" t="str">
        <f t="shared" ca="1" si="77"/>
        <v xml:space="preserve">Gouveia, L. </v>
      </c>
      <c r="E637" t="str">
        <f t="shared" ca="1" si="72"/>
        <v>2003</v>
      </c>
      <c r="F637" t="str">
        <f t="shared" ca="1" si="73"/>
        <v xml:space="preserve"> Notas complementares sobre Informática Aplicada. </v>
      </c>
      <c r="G637" s="3">
        <f t="shared" ca="1" si="74"/>
        <v>18</v>
      </c>
      <c r="H637" s="2">
        <f t="shared" ca="1" si="75"/>
        <v>68</v>
      </c>
      <c r="I637" t="e">
        <f t="shared" ca="1" si="76"/>
        <v>#VALUE!</v>
      </c>
      <c r="J637" s="3" t="e">
        <f t="shared" ca="1" si="78"/>
        <v>#VALUE!</v>
      </c>
      <c r="K637" t="str">
        <f t="shared" ca="1" si="63"/>
        <v xml:space="preserve">Gouveia, L. </v>
      </c>
      <c r="L637" t="str">
        <f t="shared" ca="1" si="64"/>
        <v xml:space="preserve">Quental, C. </v>
      </c>
    </row>
    <row r="638" spans="1:12" ht="15.75" customHeight="1">
      <c r="A638">
        <f ca="1">IFERROR(__xludf.DUMMYFUNCTION("""COMPUTED_VALUE"""),26)</f>
        <v>26</v>
      </c>
      <c r="B638" t="str">
        <f ca="1">IFERROR(__xludf.DUMMYFUNCTION("""COMPUTED_VALUE"""),"Gouveia, L. (2003). *Complementos de Novas Tecnologias e Comunicação*. 
Mestrado de Ciências da Comunicação. Universidade Fernando Pessoa. Porto, 
Março.")</f>
        <v>Gouveia, L. (2003). *Complementos de Novas Tecnologias e Comunicação*. 
Mestrado de Ciências da Comunicação. Universidade Fernando Pessoa. Porto, 
Março.</v>
      </c>
      <c r="C638" s="2">
        <f t="shared" ca="1" si="62"/>
        <v>13</v>
      </c>
      <c r="D638" t="str">
        <f t="shared" ca="1" si="77"/>
        <v xml:space="preserve">Gouveia, L. </v>
      </c>
      <c r="E638" t="str">
        <f t="shared" ca="1" si="72"/>
        <v>2003</v>
      </c>
      <c r="F638" t="str">
        <f t="shared" ca="1" si="73"/>
        <v xml:space="preserve"> *Complementos de Novas Tecnologias e Comunicação*. </v>
      </c>
      <c r="G638" s="3">
        <f t="shared" ca="1" si="74"/>
        <v>18</v>
      </c>
      <c r="H638" s="2">
        <f t="shared" ca="1" si="75"/>
        <v>70</v>
      </c>
      <c r="I638" t="e">
        <f t="shared" ca="1" si="76"/>
        <v>#VALUE!</v>
      </c>
      <c r="J638" s="3" t="e">
        <f t="shared" ca="1" si="78"/>
        <v>#VALUE!</v>
      </c>
      <c r="K638" t="str">
        <f t="shared" ca="1" si="63"/>
        <v xml:space="preserve">Gouveia, L. </v>
      </c>
      <c r="L638" t="str">
        <f t="shared" ca="1" si="64"/>
        <v xml:space="preserve">Quental, C. </v>
      </c>
    </row>
    <row r="639" spans="1:12" ht="15.75" customHeight="1">
      <c r="A639">
        <f ca="1">IFERROR(__xludf.DUMMYFUNCTION("""COMPUTED_VALUE"""),25)</f>
        <v>25</v>
      </c>
      <c r="B639" t="str">
        <f ca="1">IFERROR(__xludf.DUMMYFUNCTION("""COMPUTED_VALUE"""),"Gouveia, L. (2003). *Apontamentos de Novas Tecnologias e Comunicação*. 
Mestrado de Ciências da Comunicação. Universidade Fernando Pessoa. Porto, 
Março.")</f>
        <v>Gouveia, L. (2003). *Apontamentos de Novas Tecnologias e Comunicação*. 
Mestrado de Ciências da Comunicação. Universidade Fernando Pessoa. Porto, 
Março.</v>
      </c>
      <c r="C639" s="2">
        <f t="shared" ca="1" si="62"/>
        <v>13</v>
      </c>
      <c r="D639" t="str">
        <f t="shared" ca="1" si="77"/>
        <v xml:space="preserve">Gouveia, L. </v>
      </c>
      <c r="E639" t="str">
        <f t="shared" ca="1" si="72"/>
        <v>2003</v>
      </c>
      <c r="F639" t="str">
        <f t="shared" ca="1" si="73"/>
        <v xml:space="preserve"> *Apontamentos de Novas Tecnologias e Comunicação*. </v>
      </c>
      <c r="G639" s="3">
        <f t="shared" ca="1" si="74"/>
        <v>18</v>
      </c>
      <c r="H639" s="2">
        <f t="shared" ca="1" si="75"/>
        <v>70</v>
      </c>
      <c r="I639" t="e">
        <f t="shared" ca="1" si="76"/>
        <v>#VALUE!</v>
      </c>
      <c r="J639" s="3" t="e">
        <f t="shared" ca="1" si="78"/>
        <v>#VALUE!</v>
      </c>
      <c r="K639" t="str">
        <f t="shared" ca="1" si="63"/>
        <v xml:space="preserve">Gouveia, L. </v>
      </c>
      <c r="L639" t="str">
        <f t="shared" ca="1" si="64"/>
        <v xml:space="preserve">Quental, C. </v>
      </c>
    </row>
    <row r="640" spans="1:12" ht="15.75" customHeight="1">
      <c r="A640">
        <f ca="1">IFERROR(__xludf.DUMMYFUNCTION("""COMPUTED_VALUE"""),24)</f>
        <v>24</v>
      </c>
      <c r="B640" t="str">
        <f ca="1">IFERROR(__xludf.DUMMYFUNCTION("""COMPUTED_VALUE"""),"Gouveia, L. (2002). *Exercícios práticos para Sistemas de Informação*. UFP. 
Março.
texto [ pdf ]")</f>
        <v>Gouveia, L. (2002). *Exercícios práticos para Sistemas de Informação*. UFP. 
Março.
texto [ pdf ]</v>
      </c>
      <c r="C640" s="2">
        <f t="shared" ca="1" si="62"/>
        <v>13</v>
      </c>
      <c r="D640" t="str">
        <f t="shared" ca="1" si="77"/>
        <v xml:space="preserve">Gouveia, L. </v>
      </c>
      <c r="E640" t="str">
        <f t="shared" ca="1" si="72"/>
        <v>2002</v>
      </c>
      <c r="F640" t="str">
        <f t="shared" ca="1" si="73"/>
        <v xml:space="preserve"> *Exercícios práticos para Sistemas de Informação*. </v>
      </c>
      <c r="G640" s="3">
        <f t="shared" ca="1" si="74"/>
        <v>18</v>
      </c>
      <c r="H640" s="2">
        <f t="shared" ca="1" si="75"/>
        <v>70</v>
      </c>
      <c r="I640" t="e">
        <f t="shared" ca="1" si="76"/>
        <v>#VALUE!</v>
      </c>
      <c r="J640" s="3" t="e">
        <f t="shared" ca="1" si="78"/>
        <v>#VALUE!</v>
      </c>
      <c r="K640" t="str">
        <f t="shared" ca="1" si="63"/>
        <v xml:space="preserve">Gouveia, L. </v>
      </c>
      <c r="L640" t="str">
        <f t="shared" ca="1" si="64"/>
        <v xml:space="preserve">Quental, C. </v>
      </c>
    </row>
    <row r="641" spans="1:12" ht="15.75" customHeight="1">
      <c r="A641">
        <f ca="1">IFERROR(__xludf.DUMMYFUNCTION("""COMPUTED_VALUE"""),23)</f>
        <v>23</v>
      </c>
      <c r="B641" t="str">
        <f ca="1">IFERROR(__xludf.DUMMYFUNCTION("""COMPUTED_VALUE"""),"Gouveia, L. (2000). *It's time to rethink the way we deal with information.* 
Accepted to the Millennial Science Essay Competition 2000. The Wellcome 
Trust and New Scientist. UK. 
text [ pdf(8,8KB)]")</f>
        <v>Gouveia, L. (2000). *It's time to rethink the way we deal with information.* 
Accepted to the Millennial Science Essay Competition 2000. The Wellcome 
Trust and New Scientist. UK. 
text [ pdf(8,8KB)]</v>
      </c>
      <c r="C641" s="2">
        <f t="shared" ca="1" si="62"/>
        <v>13</v>
      </c>
      <c r="D641" t="str">
        <f t="shared" ca="1" si="77"/>
        <v xml:space="preserve">Gouveia, L. </v>
      </c>
      <c r="E641" t="str">
        <f t="shared" ca="1" si="72"/>
        <v>2000</v>
      </c>
      <c r="F641" t="str">
        <f t="shared" ca="1" si="73"/>
        <v xml:space="preserve"> *It's time to rethink the way we deal with information.*</v>
      </c>
      <c r="G641" s="3">
        <f t="shared" ca="1" si="74"/>
        <v>18</v>
      </c>
      <c r="H641" s="2">
        <f t="shared" ca="1" si="75"/>
        <v>75</v>
      </c>
      <c r="I641" t="e">
        <f t="shared" ca="1" si="76"/>
        <v>#VALUE!</v>
      </c>
      <c r="J641" s="3" t="e">
        <f t="shared" ca="1" si="78"/>
        <v>#VALUE!</v>
      </c>
      <c r="K641" t="str">
        <f t="shared" ca="1" si="63"/>
        <v xml:space="preserve">Gouveia, L. </v>
      </c>
      <c r="L641" t="str">
        <f t="shared" ca="1" si="64"/>
        <v xml:space="preserve">Quental, C. </v>
      </c>
    </row>
    <row r="642" spans="1:12" ht="15.75" customHeight="1">
      <c r="A642">
        <f ca="1">IFERROR(__xludf.DUMMYFUNCTION("""COMPUTED_VALUE"""),22)</f>
        <v>22</v>
      </c>
      <c r="B642" t="str">
        <f ca="1">IFERROR(__xludf.DUMMYFUNCTION("""COMPUTED_VALUE"""),"Gouveia, L. (1999). *Apontamentos de Gestão de Informação,* versão 2.0. 
Reprografia da UFP. UFP, Outubro.")</f>
        <v>Gouveia, L. (1999). *Apontamentos de Gestão de Informação,* versão 2.0. 
Reprografia da UFP. UFP, Outubro.</v>
      </c>
      <c r="C642" s="2">
        <f t="shared" ca="1" si="62"/>
        <v>13</v>
      </c>
      <c r="D642" t="str">
        <f t="shared" ca="1" si="77"/>
        <v xml:space="preserve">Gouveia, L. </v>
      </c>
      <c r="E642" t="str">
        <f t="shared" ca="1" si="72"/>
        <v>1999</v>
      </c>
      <c r="F642" t="str">
        <f t="shared" ca="1" si="73"/>
        <v xml:space="preserve"> *Apontamentos de Gestão de Informação,* versão 2.0</v>
      </c>
      <c r="G642" s="3">
        <f t="shared" ca="1" si="74"/>
        <v>18</v>
      </c>
      <c r="H642" s="2">
        <f t="shared" ca="1" si="75"/>
        <v>69</v>
      </c>
      <c r="I642" t="e">
        <f t="shared" ca="1" si="76"/>
        <v>#VALUE!</v>
      </c>
      <c r="J642" s="3" t="e">
        <f t="shared" ca="1" si="78"/>
        <v>#VALUE!</v>
      </c>
      <c r="K642" t="str">
        <f t="shared" ca="1" si="63"/>
        <v xml:space="preserve">Gouveia, L. </v>
      </c>
      <c r="L642" t="str">
        <f t="shared" ca="1" si="64"/>
        <v xml:space="preserve">Quental, C. </v>
      </c>
    </row>
    <row r="643" spans="1:12" ht="15.75" customHeight="1">
      <c r="A643">
        <f ca="1">IFERROR(__xludf.DUMMYFUNCTION("""COMPUTED_VALUE"""),21)</f>
        <v>21</v>
      </c>
      <c r="B643" t="str">
        <f ca="1">IFERROR(__xludf.DUMMYFUNCTION("""COMPUTED_VALUE"""),"Gouveia, L. (1999). *Apontamentos de Media Interactivos.* UFP, Janeiro.
recursos [ pdf: intro, acetatos e texto ]")</f>
        <v>Gouveia, L. (1999). *Apontamentos de Media Interactivos.* UFP, Janeiro.
recursos [ pdf: intro, acetatos e texto ]</v>
      </c>
      <c r="C643" s="2">
        <f t="shared" ca="1" si="62"/>
        <v>13</v>
      </c>
      <c r="D643" t="str">
        <f t="shared" ca="1" si="77"/>
        <v xml:space="preserve">Gouveia, L. </v>
      </c>
      <c r="E643" t="str">
        <f t="shared" ref="E643:E660" ca="1" si="79">MID(B643,C643+1,4)</f>
        <v>1999</v>
      </c>
      <c r="F643" t="str">
        <f t="shared" ref="F643:F660" ca="1" si="80">MID(B643,G643+2,H643-G643)</f>
        <v xml:space="preserve"> *Apontamentos de Media Interactivos.*</v>
      </c>
      <c r="G643" s="3">
        <f t="shared" ref="G643:G660" ca="1" si="81">FIND(").",B643)</f>
        <v>18</v>
      </c>
      <c r="H643" s="2">
        <f t="shared" ref="H643:H660" ca="1" si="82">FIND(".",B643,G643+2)</f>
        <v>56</v>
      </c>
      <c r="I643" t="e">
        <f t="shared" ref="I643:I660" ca="1" si="83">MID(B643,H643+2,J643-H643)</f>
        <v>#VALUE!</v>
      </c>
      <c r="J643" s="3" t="e">
        <f t="shared" ca="1" si="78"/>
        <v>#VALUE!</v>
      </c>
      <c r="K643" t="str">
        <f t="shared" ca="1" si="63"/>
        <v xml:space="preserve">Gouveia, L. </v>
      </c>
      <c r="L643" t="str">
        <f t="shared" ca="1" si="64"/>
        <v xml:space="preserve">Quental, C. </v>
      </c>
    </row>
    <row r="644" spans="1:12" ht="15.75" customHeight="1">
      <c r="A644">
        <f ca="1">IFERROR(__xludf.DUMMYFUNCTION("""COMPUTED_VALUE"""),20)</f>
        <v>20</v>
      </c>
      <c r="B644" t="str">
        <f ca="1">IFERROR(__xludf.DUMMYFUNCTION("""COMPUTED_VALUE"""),"Gouveia, L. (1999). *A Análise de Sistemas. Discussão breve da actividade.* 
UFP, Janeiro.
texto [ pdf ]")</f>
        <v>Gouveia, L. (1999). *A Análise de Sistemas. Discussão breve da actividade.* 
UFP, Janeiro.
texto [ pdf ]</v>
      </c>
      <c r="C644" s="2">
        <f t="shared" ca="1" si="62"/>
        <v>13</v>
      </c>
      <c r="D644" t="str">
        <f t="shared" ref="D644:D660" ca="1" si="84">LEFT(B644,FIND("(",B644)-1)</f>
        <v xml:space="preserve">Gouveia, L. </v>
      </c>
      <c r="E644" t="str">
        <f t="shared" ca="1" si="79"/>
        <v>1999</v>
      </c>
      <c r="F644" t="str">
        <f t="shared" ca="1" si="80"/>
        <v xml:space="preserve"> *A Análise de Sistemas. </v>
      </c>
      <c r="G644" s="3">
        <f t="shared" ca="1" si="81"/>
        <v>18</v>
      </c>
      <c r="H644" s="2">
        <f t="shared" ca="1" si="82"/>
        <v>43</v>
      </c>
      <c r="I644" t="e">
        <f t="shared" ca="1" si="83"/>
        <v>#VALUE!</v>
      </c>
      <c r="J644" s="3" t="e">
        <f t="shared" ref="J644:J660" ca="1" si="85">FIND(").",B644,H644+1)</f>
        <v>#VALUE!</v>
      </c>
      <c r="K644" t="str">
        <f t="shared" ca="1" si="63"/>
        <v xml:space="preserve">Gouveia, L. </v>
      </c>
      <c r="L644" t="str">
        <f t="shared" ca="1" si="64"/>
        <v xml:space="preserve">Quental, C. </v>
      </c>
    </row>
    <row r="645" spans="1:12" ht="15.75" customHeight="1">
      <c r="A645">
        <f ca="1">IFERROR(__xludf.DUMMYFUNCTION("""COMPUTED_VALUE"""),19)</f>
        <v>19</v>
      </c>
      <c r="B645" t="str">
        <f ca="1">IFERROR(__xludf.DUMMYFUNCTION("""COMPUTED_VALUE"""),"Gouveia, L. (1999). *Introdução aos conceitos de Realidade Virtual*. UFP. 
Janeiro.
apresentação [ pdf ]")</f>
        <v>Gouveia, L. (1999). *Introdução aos conceitos de Realidade Virtual*. UFP. 
Janeiro.
apresentação [ pdf ]</v>
      </c>
      <c r="C645" s="2">
        <f t="shared" ca="1" si="62"/>
        <v>13</v>
      </c>
      <c r="D645" t="str">
        <f t="shared" ca="1" si="84"/>
        <v xml:space="preserve">Gouveia, L. </v>
      </c>
      <c r="E645" t="str">
        <f t="shared" ca="1" si="79"/>
        <v>1999</v>
      </c>
      <c r="F645" t="str">
        <f t="shared" ca="1" si="80"/>
        <v xml:space="preserve"> *Introdução aos conceitos de Realidade Virtual*. </v>
      </c>
      <c r="G645" s="3">
        <f t="shared" ca="1" si="81"/>
        <v>18</v>
      </c>
      <c r="H645" s="2">
        <f t="shared" ca="1" si="82"/>
        <v>68</v>
      </c>
      <c r="I645" t="e">
        <f t="shared" ca="1" si="83"/>
        <v>#VALUE!</v>
      </c>
      <c r="J645" s="3" t="e">
        <f t="shared" ca="1" si="85"/>
        <v>#VALUE!</v>
      </c>
      <c r="K645" t="str">
        <f t="shared" ca="1" si="63"/>
        <v xml:space="preserve">Gouveia, L. </v>
      </c>
      <c r="L645" t="str">
        <f t="shared" ca="1" si="64"/>
        <v xml:space="preserve">Quental, C. </v>
      </c>
    </row>
    <row r="646" spans="1:12" ht="15.75" customHeight="1">
      <c r="A646">
        <f ca="1">IFERROR(__xludf.DUMMYFUNCTION("""COMPUTED_VALUE"""),18)</f>
        <v>18</v>
      </c>
      <c r="B646" t="str">
        <f ca="1">IFERROR(__xludf.DUMMYFUNCTION("""COMPUTED_VALUE"""),"Gouveia, L. (1999). *Introdução à Linguagem JAVA.* UFP. Janeiro.
apresentação [ pdf ]")</f>
        <v>Gouveia, L. (1999). *Introdução à Linguagem JAVA.* UFP. Janeiro.
apresentação [ pdf ]</v>
      </c>
      <c r="C646" s="2">
        <f t="shared" ca="1" si="62"/>
        <v>13</v>
      </c>
      <c r="D646" t="str">
        <f t="shared" ca="1" si="84"/>
        <v xml:space="preserve">Gouveia, L. </v>
      </c>
      <c r="E646" t="str">
        <f t="shared" ca="1" si="79"/>
        <v>1999</v>
      </c>
      <c r="F646" t="str">
        <f t="shared" ca="1" si="80"/>
        <v xml:space="preserve"> *Introdução à Linguagem JAVA.*</v>
      </c>
      <c r="G646" s="3">
        <f t="shared" ca="1" si="81"/>
        <v>18</v>
      </c>
      <c r="H646" s="2">
        <f t="shared" ca="1" si="82"/>
        <v>49</v>
      </c>
      <c r="I646" t="e">
        <f t="shared" ca="1" si="83"/>
        <v>#VALUE!</v>
      </c>
      <c r="J646" s="3" t="e">
        <f t="shared" ca="1" si="85"/>
        <v>#VALUE!</v>
      </c>
      <c r="K646" t="str">
        <f t="shared" ca="1" si="63"/>
        <v xml:space="preserve">Gouveia, L. </v>
      </c>
      <c r="L646" t="str">
        <f t="shared" ca="1" si="64"/>
        <v xml:space="preserve">Quental, C. </v>
      </c>
    </row>
    <row r="647" spans="1:12" ht="15.75" customHeight="1">
      <c r="A647">
        <f ca="1">IFERROR(__xludf.DUMMYFUNCTION("""COMPUTED_VALUE"""),17)</f>
        <v>17</v>
      </c>
      <c r="B647" t="str">
        <f ca="1">IFERROR(__xludf.DUMMYFUNCTION("""COMPUTED_VALUE"""),"Gouveia, L. (1998). *Introdução ao VRML* -Virtual Reality Modeling 
Language. UFP, Março.
apresentação [ HTML ou  pdf]")</f>
        <v>Gouveia, L. (1998). *Introdução ao VRML* -Virtual Reality Modeling 
Language. UFP, Março.
apresentação [ HTML ou  pdf]</v>
      </c>
      <c r="C647" s="2">
        <f t="shared" ca="1" si="62"/>
        <v>13</v>
      </c>
      <c r="D647" t="str">
        <f t="shared" ca="1" si="84"/>
        <v xml:space="preserve">Gouveia, L. </v>
      </c>
      <c r="E647" t="str">
        <f t="shared" ca="1" si="79"/>
        <v>1998</v>
      </c>
      <c r="F647" t="str">
        <f t="shared" ca="1" si="80"/>
        <v xml:space="preserve"> *Introdução ao VRML* -Virtual Reality Modeling 
Language. </v>
      </c>
      <c r="G647" s="3">
        <f t="shared" ca="1" si="81"/>
        <v>18</v>
      </c>
      <c r="H647" s="2">
        <f t="shared" ca="1" si="82"/>
        <v>77</v>
      </c>
      <c r="I647" t="e">
        <f t="shared" ca="1" si="83"/>
        <v>#VALUE!</v>
      </c>
      <c r="J647" s="3" t="e">
        <f t="shared" ca="1" si="85"/>
        <v>#VALUE!</v>
      </c>
      <c r="K647" t="str">
        <f t="shared" ca="1" si="63"/>
        <v xml:space="preserve">Gouveia, L. </v>
      </c>
      <c r="L647" t="str">
        <f t="shared" ca="1" si="64"/>
        <v xml:space="preserve">Quental, C. </v>
      </c>
    </row>
    <row r="648" spans="1:12" ht="15.75" customHeight="1">
      <c r="A648">
        <f ca="1">IFERROR(__xludf.DUMMYFUNCTION("""COMPUTED_VALUE"""),16)</f>
        <v>16</v>
      </c>
      <c r="B648" t="str">
        <f ca="1">IFERROR(__xludf.DUMMYFUNCTION("""COMPUTED_VALUE"""),"Gouveia, L. (1998). *Apontamentos de Sistemas de Informação, versão 
1992-1995* . UFP.
apresentação [ pdf ]")</f>
        <v>Gouveia, L. (1998). *Apontamentos de Sistemas de Informação, versão 
1992-1995* . UFP.
apresentação [ pdf ]</v>
      </c>
      <c r="C648" s="2">
        <f t="shared" ca="1" si="62"/>
        <v>13</v>
      </c>
      <c r="D648" t="str">
        <f t="shared" ca="1" si="84"/>
        <v xml:space="preserve">Gouveia, L. </v>
      </c>
      <c r="E648" t="str">
        <f t="shared" ca="1" si="79"/>
        <v>1998</v>
      </c>
      <c r="F648" t="str">
        <f t="shared" ca="1" si="80"/>
        <v xml:space="preserve"> *Apontamentos de Sistemas de Informação, versão 
1992-1995* . </v>
      </c>
      <c r="G648" s="3">
        <f t="shared" ca="1" si="81"/>
        <v>18</v>
      </c>
      <c r="H648" s="2">
        <f t="shared" ca="1" si="82"/>
        <v>81</v>
      </c>
      <c r="I648" t="e">
        <f t="shared" ca="1" si="83"/>
        <v>#VALUE!</v>
      </c>
      <c r="J648" s="3" t="e">
        <f t="shared" ca="1" si="85"/>
        <v>#VALUE!</v>
      </c>
      <c r="K648" t="str">
        <f t="shared" ca="1" si="63"/>
        <v xml:space="preserve">Gouveia, L. </v>
      </c>
      <c r="L648" t="str">
        <f t="shared" ca="1" si="64"/>
        <v xml:space="preserve">Quental, C. </v>
      </c>
    </row>
    <row r="649" spans="1:12" ht="15.75" customHeight="1">
      <c r="A649">
        <f ca="1">IFERROR(__xludf.DUMMYFUNCTION("""COMPUTED_VALUE"""),15)</f>
        <v>15</v>
      </c>
      <c r="B649" t="str">
        <f ca="1">IFERROR(__xludf.DUMMYFUNCTION("""COMPUTED_VALUE"""),"Gouveia, L. (1997). *Uso básico do sistema operativo UNIX*, *introdução*. 
UFP, Dezembro.
texto [ HTML ]")</f>
        <v>Gouveia, L. (1997). *Uso básico do sistema operativo UNIX*, *introdução*. 
UFP, Dezembro.
texto [ HTML ]</v>
      </c>
      <c r="C649" s="2">
        <f t="shared" ca="1" si="62"/>
        <v>13</v>
      </c>
      <c r="D649" t="str">
        <f t="shared" ca="1" si="84"/>
        <v xml:space="preserve">Gouveia, L. </v>
      </c>
      <c r="E649" t="str">
        <f t="shared" ca="1" si="79"/>
        <v>1997</v>
      </c>
      <c r="F649" t="str">
        <f t="shared" ca="1" si="80"/>
        <v xml:space="preserve"> *Uso básico do sistema operativo UNIX*, *introdução*. </v>
      </c>
      <c r="G649" s="3">
        <f t="shared" ca="1" si="81"/>
        <v>18</v>
      </c>
      <c r="H649" s="2">
        <f t="shared" ca="1" si="82"/>
        <v>73</v>
      </c>
      <c r="I649" t="e">
        <f t="shared" ca="1" si="83"/>
        <v>#VALUE!</v>
      </c>
      <c r="J649" s="3" t="e">
        <f t="shared" ca="1" si="85"/>
        <v>#VALUE!</v>
      </c>
      <c r="K649" t="str">
        <f t="shared" ca="1" si="63"/>
        <v xml:space="preserve">Gouveia, L. </v>
      </c>
      <c r="L649" t="str">
        <f t="shared" ca="1" si="64"/>
        <v xml:space="preserve">Quental, C. </v>
      </c>
    </row>
    <row r="650" spans="1:12" ht="15.75" customHeight="1">
      <c r="A650">
        <f ca="1">IFERROR(__xludf.DUMMYFUNCTION("""COMPUTED_VALUE"""),14)</f>
        <v>14</v>
      </c>
      <c r="B650" t="str">
        <f ca="1">IFERROR(__xludf.DUMMYFUNCTION("""COMPUTED_VALUE"""),"Gouveia, L. (1997). *O modelo OSI e os esforços de normalização em 
comunicação de dados.* UFP, Outubro. 
texto [ HTML ]")</f>
        <v>Gouveia, L. (1997). *O modelo OSI e os esforços de normalização em 
comunicação de dados.* UFP, Outubro. 
texto [ HTML ]</v>
      </c>
      <c r="C650" s="2">
        <f t="shared" ca="1" si="62"/>
        <v>13</v>
      </c>
      <c r="D650" t="str">
        <f t="shared" ca="1" si="84"/>
        <v xml:space="preserve">Gouveia, L. </v>
      </c>
      <c r="E650" t="str">
        <f t="shared" ca="1" si="79"/>
        <v>1997</v>
      </c>
      <c r="F650" t="str">
        <f t="shared" ca="1" si="80"/>
        <v xml:space="preserve"> *O modelo OSI e os esforços de normalização em 
comunicação de dados.*</v>
      </c>
      <c r="G650" s="3">
        <f t="shared" ca="1" si="81"/>
        <v>18</v>
      </c>
      <c r="H650" s="2">
        <f t="shared" ca="1" si="82"/>
        <v>89</v>
      </c>
      <c r="I650" t="e">
        <f t="shared" ca="1" si="83"/>
        <v>#VALUE!</v>
      </c>
      <c r="J650" s="3" t="e">
        <f t="shared" ca="1" si="85"/>
        <v>#VALUE!</v>
      </c>
      <c r="K650" t="str">
        <f t="shared" ca="1" si="63"/>
        <v xml:space="preserve">Gouveia, L. </v>
      </c>
      <c r="L650" t="str">
        <f t="shared" ca="1" si="64"/>
        <v xml:space="preserve">Quental, C. </v>
      </c>
    </row>
    <row r="651" spans="1:12" ht="15.75" customHeight="1">
      <c r="A651">
        <f ca="1">IFERROR(__xludf.DUMMYFUNCTION("""COMPUTED_VALUE"""),13)</f>
        <v>13</v>
      </c>
      <c r="B651" t="str">
        <f ca="1">IFERROR(__xludf.DUMMYFUNCTION("""COMPUTED_VALUE"""),"Gouveia, L. (1997). *Desenvolvimento de páginas Web*, *dicas para obter o 
melhor efeito na publicação de informação na Internet*. UFP, Abril.
texto [ HTML ]")</f>
        <v>Gouveia, L. (1997). *Desenvolvimento de páginas Web*, *dicas para obter o 
melhor efeito na publicação de informação na Internet*. UFP, Abril.
texto [ HTML ]</v>
      </c>
      <c r="C651" s="2">
        <f t="shared" ca="1" si="62"/>
        <v>13</v>
      </c>
      <c r="D651" t="str">
        <f t="shared" ca="1" si="84"/>
        <v xml:space="preserve">Gouveia, L. </v>
      </c>
      <c r="E651" t="str">
        <f t="shared" ca="1" si="79"/>
        <v>1997</v>
      </c>
      <c r="F651" t="str">
        <f t="shared" ca="1" si="80"/>
        <v xml:space="preserve"> *Desenvolvimento de páginas Web*, *dicas para obter o 
melhor efeito na publicação de informação na Internet*. </v>
      </c>
      <c r="G651" s="3">
        <f t="shared" ca="1" si="81"/>
        <v>18</v>
      </c>
      <c r="H651" s="2">
        <f t="shared" ca="1" si="82"/>
        <v>130</v>
      </c>
      <c r="I651" t="e">
        <f t="shared" ca="1" si="83"/>
        <v>#VALUE!</v>
      </c>
      <c r="J651" s="3" t="e">
        <f t="shared" ca="1" si="85"/>
        <v>#VALUE!</v>
      </c>
      <c r="K651" t="str">
        <f t="shared" ca="1" si="63"/>
        <v xml:space="preserve">Gouveia, L. </v>
      </c>
      <c r="L651" t="str">
        <f t="shared" ca="1" si="64"/>
        <v xml:space="preserve">Quental, C. </v>
      </c>
    </row>
    <row r="652" spans="1:12" ht="15.75" customHeight="1">
      <c r="A652">
        <f ca="1">IFERROR(__xludf.DUMMYFUNCTION("""COMPUTED_VALUE"""),12)</f>
        <v>12</v>
      </c>
      <c r="B652" t="str">
        <f ca="1">IFERROR(__xludf.DUMMYFUNCTION("""COMPUTED_VALUE"""),"Gouveia, L. (1997).*Utilização básica do navegador Netscape.* UFP, Janeiro. 
texto [ HTML ]")</f>
        <v>Gouveia, L. (1997).*Utilização básica do navegador Netscape.* UFP, Janeiro. 
texto [ HTML ]</v>
      </c>
      <c r="C652" s="2">
        <f t="shared" ca="1" si="62"/>
        <v>13</v>
      </c>
      <c r="D652" t="str">
        <f t="shared" ca="1" si="84"/>
        <v xml:space="preserve">Gouveia, L. </v>
      </c>
      <c r="E652" t="str">
        <f t="shared" ca="1" si="79"/>
        <v>1997</v>
      </c>
      <c r="F652" t="str">
        <f t="shared" ca="1" si="80"/>
        <v>*Utilização básica do navegador Netscape.*</v>
      </c>
      <c r="G652" s="3">
        <f t="shared" ca="1" si="81"/>
        <v>18</v>
      </c>
      <c r="H652" s="2">
        <f t="shared" ca="1" si="82"/>
        <v>60</v>
      </c>
      <c r="I652" t="e">
        <f t="shared" ca="1" si="83"/>
        <v>#VALUE!</v>
      </c>
      <c r="J652" s="3" t="e">
        <f t="shared" ca="1" si="85"/>
        <v>#VALUE!</v>
      </c>
      <c r="K652" t="str">
        <f t="shared" ca="1" si="63"/>
        <v xml:space="preserve">Gouveia, L. </v>
      </c>
      <c r="L652" t="str">
        <f t="shared" ca="1" si="64"/>
        <v xml:space="preserve">Quental, C. </v>
      </c>
    </row>
    <row r="653" spans="1:12" ht="15.75" customHeight="1">
      <c r="A653">
        <f ca="1">IFERROR(__xludf.DUMMYFUNCTION("""COMPUTED_VALUE"""),11)</f>
        <v>11</v>
      </c>
      <c r="B653" t="str">
        <f ca="1">IFERROR(__xludf.DUMMYFUNCTION("""COMPUTED_VALUE"""),"Gouveia, L. (1997). *Apontamentos da cadeira de Logística e Gestão da 
Distribuição*. Cadeira leccionada no ISLA, entre 1995 e 1997.
apresentação [ pdf: resumo (7KB), introdução (77KB), logística integrada 
(62KB), serviço ao cliente (20KB), custos na dis"&amp;"tribuição (29KB), depósitos 
e política de localização (55KB) e práticas (623KB) ]")</f>
        <v>Gouveia, L. (1997). *Apontamentos da cadeira de Logística e Gestão da 
Distribuição*. Cadeira leccionada no ISLA, entre 1995 e 1997.
apresentação [ pdf: resumo (7KB), introdução (77KB), logística integrada 
(62KB), serviço ao cliente (20KB), custos na distribuição (29KB), depósitos 
e política de localização (55KB) e práticas (623KB) ]</v>
      </c>
      <c r="C653" s="2">
        <f t="shared" ca="1" si="62"/>
        <v>13</v>
      </c>
      <c r="D653" t="str">
        <f t="shared" ca="1" si="84"/>
        <v xml:space="preserve">Gouveia, L. </v>
      </c>
      <c r="E653" t="str">
        <f t="shared" ca="1" si="79"/>
        <v>1997</v>
      </c>
      <c r="F653" t="str">
        <f t="shared" ca="1" si="80"/>
        <v xml:space="preserve"> *Apontamentos da cadeira de Logística e Gestão da 
Distribuição*. </v>
      </c>
      <c r="G653" s="3">
        <f t="shared" ca="1" si="81"/>
        <v>18</v>
      </c>
      <c r="H653" s="2">
        <f t="shared" ca="1" si="82"/>
        <v>85</v>
      </c>
      <c r="I653" t="e">
        <f t="shared" ca="1" si="83"/>
        <v>#VALUE!</v>
      </c>
      <c r="J653" s="3" t="e">
        <f t="shared" ca="1" si="85"/>
        <v>#VALUE!</v>
      </c>
      <c r="K653" t="str">
        <f t="shared" ca="1" si="63"/>
        <v xml:space="preserve">Gouveia, L. </v>
      </c>
      <c r="L653" t="str">
        <f t="shared" ca="1" si="64"/>
        <v xml:space="preserve">Quental, C. </v>
      </c>
    </row>
    <row r="654" spans="1:12" ht="15.75" customHeight="1">
      <c r="A654">
        <f ca="1">IFERROR(__xludf.DUMMYFUNCTION("""COMPUTED_VALUE"""),10)</f>
        <v>10</v>
      </c>
      <c r="B654" t="str">
        <f ca="1">IFERROR(__xludf.DUMMYFUNCTION("""COMPUTED_VALUE"""),"Gouveia, L. (1996). *Como criar uma página Web, utilização de comandos HTML*. 
UFP, Dezembro.
apresentação [ pdf ]")</f>
        <v>Gouveia, L. (1996). *Como criar uma página Web, utilização de comandos HTML*. 
UFP, Dezembro.
apresentação [ pdf ]</v>
      </c>
      <c r="C654" s="2">
        <f t="shared" ca="1" si="62"/>
        <v>13</v>
      </c>
      <c r="D654" t="str">
        <f t="shared" ca="1" si="84"/>
        <v xml:space="preserve">Gouveia, L. </v>
      </c>
      <c r="E654" t="str">
        <f t="shared" ca="1" si="79"/>
        <v>1996</v>
      </c>
      <c r="F654" t="str">
        <f t="shared" ca="1" si="80"/>
        <v xml:space="preserve"> *Como criar uma página Web, utilização de comandos HTML*. </v>
      </c>
      <c r="G654" s="3">
        <f t="shared" ca="1" si="81"/>
        <v>18</v>
      </c>
      <c r="H654" s="2">
        <f t="shared" ca="1" si="82"/>
        <v>77</v>
      </c>
      <c r="I654" t="e">
        <f t="shared" ca="1" si="83"/>
        <v>#VALUE!</v>
      </c>
      <c r="J654" s="3" t="e">
        <f t="shared" ca="1" si="85"/>
        <v>#VALUE!</v>
      </c>
      <c r="K654" t="str">
        <f t="shared" ca="1" si="63"/>
        <v xml:space="preserve">Gouveia, L. </v>
      </c>
      <c r="L654" t="str">
        <f t="shared" ca="1" si="64"/>
        <v xml:space="preserve">Quental, C. </v>
      </c>
    </row>
    <row r="655" spans="1:12" ht="15.75" customHeight="1">
      <c r="A655">
        <f ca="1">IFERROR(__xludf.DUMMYFUNCTION("""COMPUTED_VALUE"""),9)</f>
        <v>9</v>
      </c>
      <c r="B655" t="str">
        <f ca="1">IFERROR(__xludf.DUMMYFUNCTION("""COMPUTED_VALUE"""),"Gouveia, L. (1996). *Três palavras sobre a Análise de Sistemas*. UFP, 
Outubro.
texto [ HTML ]")</f>
        <v>Gouveia, L. (1996). *Três palavras sobre a Análise de Sistemas*. UFP, 
Outubro.
texto [ HTML ]</v>
      </c>
      <c r="C655" s="2">
        <f t="shared" ca="1" si="62"/>
        <v>13</v>
      </c>
      <c r="D655" t="str">
        <f t="shared" ca="1" si="84"/>
        <v xml:space="preserve">Gouveia, L. </v>
      </c>
      <c r="E655" t="str">
        <f t="shared" ca="1" si="79"/>
        <v>1996</v>
      </c>
      <c r="F655" t="str">
        <f t="shared" ca="1" si="80"/>
        <v xml:space="preserve"> *Três palavras sobre a Análise de Sistemas*. </v>
      </c>
      <c r="G655" s="3">
        <f t="shared" ca="1" si="81"/>
        <v>18</v>
      </c>
      <c r="H655" s="2">
        <f t="shared" ca="1" si="82"/>
        <v>64</v>
      </c>
      <c r="I655" t="e">
        <f t="shared" ca="1" si="83"/>
        <v>#VALUE!</v>
      </c>
      <c r="J655" s="3" t="e">
        <f t="shared" ca="1" si="85"/>
        <v>#VALUE!</v>
      </c>
      <c r="K655" t="str">
        <f t="shared" ca="1" si="63"/>
        <v xml:space="preserve">Gouveia, L. </v>
      </c>
      <c r="L655" t="str">
        <f t="shared" ca="1" si="64"/>
        <v xml:space="preserve">Quental, C. </v>
      </c>
    </row>
    <row r="656" spans="1:12" ht="15.75" customHeight="1">
      <c r="A656">
        <f ca="1">IFERROR(__xludf.DUMMYFUNCTION("""COMPUTED_VALUE"""),8)</f>
        <v>8</v>
      </c>
      <c r="B656" t="str">
        <f ca="1">IFERROR(__xludf.DUMMYFUNCTION("""COMPUTED_VALUE"""),"Gouveia, L. (1996). *Sistemas de Informação para a Gestão. Modelos e 
Sistemas de Apoio à Decisão.* CEREM, UFP. Abril.
apresentação [ pdf ]")</f>
        <v>Gouveia, L. (1996). *Sistemas de Informação para a Gestão. Modelos e 
Sistemas de Apoio à Decisão.* CEREM, UFP. Abril.
apresentação [ pdf ]</v>
      </c>
      <c r="C656" s="2">
        <f t="shared" ca="1" si="62"/>
        <v>13</v>
      </c>
      <c r="D656" t="str">
        <f t="shared" ca="1" si="84"/>
        <v xml:space="preserve">Gouveia, L. </v>
      </c>
      <c r="E656" t="str">
        <f t="shared" ca="1" si="79"/>
        <v>1996</v>
      </c>
      <c r="F656" t="str">
        <f t="shared" ca="1" si="80"/>
        <v xml:space="preserve"> *Sistemas de Informação para a Gestão. </v>
      </c>
      <c r="G656" s="3">
        <f t="shared" ca="1" si="81"/>
        <v>18</v>
      </c>
      <c r="H656" s="2">
        <f t="shared" ca="1" si="82"/>
        <v>58</v>
      </c>
      <c r="I656" t="e">
        <f t="shared" ca="1" si="83"/>
        <v>#VALUE!</v>
      </c>
      <c r="J656" s="3" t="e">
        <f t="shared" ca="1" si="85"/>
        <v>#VALUE!</v>
      </c>
      <c r="K656" t="str">
        <f t="shared" ca="1" si="63"/>
        <v xml:space="preserve">Gouveia, L. </v>
      </c>
      <c r="L656" t="str">
        <f t="shared" ca="1" si="64"/>
        <v xml:space="preserve">Quental, C. </v>
      </c>
    </row>
    <row r="657" spans="1:12" ht="15.75" customHeight="1">
      <c r="A657">
        <f ca="1">IFERROR(__xludf.DUMMYFUNCTION("""COMPUTED_VALUE"""),7)</f>
        <v>7</v>
      </c>
      <c r="B657" t="str">
        <f ca="1">IFERROR(__xludf.DUMMYFUNCTION("""COMPUTED_VALUE"""),"Gouveia, L. (1996)*. Apontamentos de Introdução à Informática* *- conceitos*. 
UFP, Janeiro.
texto [ postscript zipado ou pdf ]")</f>
        <v>Gouveia, L. (1996)*. Apontamentos de Introdução à Informática* *- conceitos*. 
UFP, Janeiro.
texto [ postscript zipado ou pdf ]</v>
      </c>
      <c r="C657" s="2">
        <f t="shared" ca="1" si="62"/>
        <v>13</v>
      </c>
      <c r="D657" t="str">
        <f t="shared" ca="1" si="84"/>
        <v xml:space="preserve">Gouveia, L. </v>
      </c>
      <c r="E657" t="str">
        <f t="shared" ca="1" si="79"/>
        <v>1996</v>
      </c>
      <c r="F657" t="e">
        <f t="shared" ca="1" si="80"/>
        <v>#VALUE!</v>
      </c>
      <c r="G657" s="3" t="e">
        <f t="shared" ca="1" si="81"/>
        <v>#VALUE!</v>
      </c>
      <c r="H657" s="2" t="e">
        <f t="shared" ca="1" si="82"/>
        <v>#VALUE!</v>
      </c>
      <c r="I657" t="e">
        <f t="shared" ca="1" si="83"/>
        <v>#VALUE!</v>
      </c>
      <c r="J657" s="3" t="e">
        <f t="shared" ca="1" si="85"/>
        <v>#VALUE!</v>
      </c>
      <c r="K657" t="str">
        <f t="shared" ca="1" si="63"/>
        <v xml:space="preserve">Gouveia, L. </v>
      </c>
      <c r="L657" t="str">
        <f t="shared" ca="1" si="64"/>
        <v xml:space="preserve">Quental, C. </v>
      </c>
    </row>
    <row r="658" spans="1:12" ht="15.75" customHeight="1">
      <c r="A658">
        <f ca="1">IFERROR(__xludf.DUMMYFUNCTION("""COMPUTED_VALUE"""),6)</f>
        <v>6</v>
      </c>
      <c r="B658" t="str">
        <f ca="1">IFERROR(__xludf.DUMMYFUNCTION("""COMPUTED_VALUE"""),"Gouveia, L. (1996). *Apontamentos de MS-DOS*. UFP, Janeiro.
texto [ pdf ]")</f>
        <v>Gouveia, L. (1996). *Apontamentos de MS-DOS*. UFP, Janeiro.
texto [ pdf ]</v>
      </c>
      <c r="C658" s="2">
        <f t="shared" ca="1" si="62"/>
        <v>13</v>
      </c>
      <c r="D658" t="str">
        <f t="shared" ca="1" si="84"/>
        <v xml:space="preserve">Gouveia, L. </v>
      </c>
      <c r="E658" t="str">
        <f t="shared" ca="1" si="79"/>
        <v>1996</v>
      </c>
      <c r="F658" t="str">
        <f t="shared" ca="1" si="80"/>
        <v xml:space="preserve"> *Apontamentos de MS-DOS*. </v>
      </c>
      <c r="G658" s="3">
        <f t="shared" ca="1" si="81"/>
        <v>18</v>
      </c>
      <c r="H658" s="2">
        <f t="shared" ca="1" si="82"/>
        <v>45</v>
      </c>
      <c r="I658" t="e">
        <f t="shared" ca="1" si="83"/>
        <v>#VALUE!</v>
      </c>
      <c r="J658" s="3" t="e">
        <f t="shared" ca="1" si="85"/>
        <v>#VALUE!</v>
      </c>
      <c r="K658" t="str">
        <f t="shared" ca="1" si="63"/>
        <v xml:space="preserve">Gouveia, L. </v>
      </c>
      <c r="L658" t="str">
        <f t="shared" ca="1" si="64"/>
        <v xml:space="preserve">Quental, C. </v>
      </c>
    </row>
    <row r="659" spans="1:12" ht="15.75" customHeight="1">
      <c r="A659">
        <f ca="1">IFERROR(__xludf.DUMMYFUNCTION("""COMPUTED_VALUE"""),5)</f>
        <v>5</v>
      </c>
      <c r="B659" t="str">
        <f ca="1">IFERROR(__xludf.DUMMYFUNCTION("""COMPUTED_VALUE"""),"Gouveia, L. (1995). *Gestão de projectos informáticos*. Transparências 
utilizadas em acções de formação no CESAI.
apresentação [pdf: mod1, mod2 e mod3 ]")</f>
        <v>Gouveia, L. (1995). *Gestão de projectos informáticos*. Transparências 
utilizadas em acções de formação no CESAI.
apresentação [pdf: mod1, mod2 e mod3 ]</v>
      </c>
      <c r="C659" s="2">
        <f t="shared" ca="1" si="62"/>
        <v>13</v>
      </c>
      <c r="D659" t="str">
        <f t="shared" ca="1" si="84"/>
        <v xml:space="preserve">Gouveia, L. </v>
      </c>
      <c r="E659" t="str">
        <f t="shared" ca="1" si="79"/>
        <v>1995</v>
      </c>
      <c r="F659" t="str">
        <f t="shared" ca="1" si="80"/>
        <v xml:space="preserve"> *Gestão de projectos informáticos*. </v>
      </c>
      <c r="G659" s="3">
        <f t="shared" ca="1" si="81"/>
        <v>18</v>
      </c>
      <c r="H659" s="2">
        <f t="shared" ca="1" si="82"/>
        <v>55</v>
      </c>
      <c r="I659" t="e">
        <f t="shared" ca="1" si="83"/>
        <v>#VALUE!</v>
      </c>
      <c r="J659" s="3" t="e">
        <f t="shared" ca="1" si="85"/>
        <v>#VALUE!</v>
      </c>
      <c r="K659" t="str">
        <f t="shared" ca="1" si="63"/>
        <v xml:space="preserve">Gouveia, L. </v>
      </c>
      <c r="L659" t="str">
        <f t="shared" ca="1" si="64"/>
        <v xml:space="preserve">Quental, C. </v>
      </c>
    </row>
    <row r="660" spans="1:12" ht="15.75" customHeight="1">
      <c r="A660">
        <f ca="1">IFERROR(__xludf.DUMMYFUNCTION("""COMPUTED_VALUE"""),4)</f>
        <v>4</v>
      </c>
      <c r="B660" t="str">
        <f ca="1">IFERROR(__xludf.DUMMYFUNCTION("""COMPUTED_VALUE"""),"Gouveia, L. (1993). *Ambiente distribuído no UNIX e ""remote procedure* 
calls"". FEUP-DEEC.
texto [ postscript zipado]")</f>
        <v>Gouveia, L. (1993). *Ambiente distribuído no UNIX e "remote procedure* 
calls". FEUP-DEEC.
texto [ postscript zipado]</v>
      </c>
      <c r="C660" s="2">
        <f t="shared" ca="1" si="62"/>
        <v>13</v>
      </c>
      <c r="D660" t="str">
        <f t="shared" ca="1" si="84"/>
        <v xml:space="preserve">Gouveia, L. </v>
      </c>
      <c r="E660" t="str">
        <f t="shared" ca="1" si="79"/>
        <v>1993</v>
      </c>
      <c r="F660" t="str">
        <f t="shared" ca="1" si="80"/>
        <v xml:space="preserve"> *Ambiente distribuído no UNIX e "remote procedure* 
calls". </v>
      </c>
      <c r="G660" s="3">
        <f t="shared" ca="1" si="81"/>
        <v>18</v>
      </c>
      <c r="H660" s="2">
        <f t="shared" ca="1" si="82"/>
        <v>79</v>
      </c>
      <c r="I660" t="e">
        <f t="shared" ca="1" si="83"/>
        <v>#VALUE!</v>
      </c>
      <c r="J660" s="3" t="e">
        <f t="shared" ca="1" si="85"/>
        <v>#VALUE!</v>
      </c>
      <c r="K660" t="str">
        <f t="shared" ca="1" si="63"/>
        <v xml:space="preserve">Gouveia, L. </v>
      </c>
      <c r="L660" t="str">
        <f t="shared" ca="1" si="64"/>
        <v xml:space="preserve">Quental, C. </v>
      </c>
    </row>
    <row r="661" spans="1:12" ht="15.75" customHeight="1">
      <c r="A661">
        <f ca="1">IFERROR(__xludf.DUMMYFUNCTION("""COMPUTED_VALUE"""),3)</f>
        <v>3</v>
      </c>
      <c r="B661" t="str">
        <f ca="1">IFERROR(__xludf.DUMMYFUNCTION("""COMPUTED_VALUE"""),"Gouveia, L. (1993). *Sybase SQL Server - base de dados cliente/servidor*. 
FEUP-DEEC.
texto [ postscript zipado ]")</f>
        <v>Gouveia, L. (1993). *Sybase SQL Server - base de dados cliente/servidor*. 
FEUP-DEEC.
texto [ postscript zipado ]</v>
      </c>
      <c r="C661" s="2">
        <f t="shared" ca="1" si="62"/>
        <v>13</v>
      </c>
    </row>
    <row r="662" spans="1:12" ht="15.75" customHeight="1">
      <c r="A662">
        <f ca="1">IFERROR(__xludf.DUMMYFUNCTION("""COMPUTED_VALUE"""),2)</f>
        <v>2</v>
      </c>
      <c r="B662" t="str">
        <f ca="1">IFERROR(__xludf.DUMMYFUNCTION("""COMPUTED_VALUE"""),"Gouveia, L. (1993). *Programação em bourne shell - sistema operativo UNIX*. 
Junho.
texto [ HTML ]")</f>
        <v>Gouveia, L. (1993). *Programação em bourne shell - sistema operativo UNIX*. 
Junho.
texto [ HTML ]</v>
      </c>
    </row>
    <row r="663" spans="1:12" ht="15.75" customHeight="1">
      <c r="A663">
        <f ca="1">IFERROR(__xludf.DUMMYFUNCTION("""COMPUTED_VALUE"""),1)</f>
        <v>1</v>
      </c>
      <c r="B663" t="str">
        <f ca="1">IFERROR(__xludf.DUMMYFUNCTION("""COMPUTED_VALUE"""),"Gouveia, L. (1988). *Levantamento estatístico para estudo do padrão 
alimentar dos alunos da 4ª classe*, em colaboração com o Centro de Saúde de 
Soares dos Reis, Rotary Club de Vila Nova de Gaia.")</f>
        <v>Gouveia, L. (1988). *Levantamento estatístico para estudo do padrão 
alimentar dos alunos da 4ª classe*, em colaboração com o Centro de Saúde de 
Soares dos Reis, Rotary Club de Vila Nova de Gaia.</v>
      </c>
    </row>
    <row r="664" spans="1:12" ht="15.75" customHeight="1">
      <c r="A664" t="str">
        <f ca="1">IFERROR(__xludf.DUMMYFUNCTION("""COMPUTED_VALUE"""),"[ top ]")</f>
        <v>[ top ]</v>
      </c>
      <c r="B664" t="str">
        <f ca="1">IFERROR(__xludf.DUMMYFUNCTION("""COMPUTED_VALUE"""),"")</f>
        <v/>
      </c>
    </row>
    <row r="665" spans="1:12" ht="15.75" customHeight="1"/>
    <row r="666" spans="1:12" ht="15.75" customHeight="1"/>
    <row r="667" spans="1:12" ht="15.75" customHeight="1"/>
    <row r="668" spans="1:12" ht="15.75" customHeight="1"/>
    <row r="669" spans="1:12" ht="15.75" customHeight="1"/>
    <row r="670" spans="1:12" ht="15.75" customHeight="1"/>
    <row r="671" spans="1:12" ht="15.75" customHeight="1"/>
    <row r="672" spans="1:1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AA0F7-F2CF-4729-A162-2F842D3F70ED}">
  <dimension ref="A1:N664"/>
  <sheetViews>
    <sheetView zoomScale="80" zoomScaleNormal="80" workbookViewId="0">
      <selection sqref="A1:XFD1048576"/>
    </sheetView>
  </sheetViews>
  <sheetFormatPr defaultColWidth="5.7265625" defaultRowHeight="14" customHeight="1"/>
  <cols>
    <col min="1" max="1" width="5.7265625" style="4"/>
    <col min="2" max="2" width="63" style="4" customWidth="1"/>
    <col min="3" max="3" width="23.54296875" style="4" customWidth="1"/>
    <col min="4" max="4" width="7.81640625" style="4" customWidth="1"/>
    <col min="5" max="6" width="32.90625" style="4" customWidth="1"/>
    <col min="7" max="7" width="7.81640625" style="4" customWidth="1"/>
    <col min="8" max="12" width="11.54296875" style="4" customWidth="1"/>
    <col min="13" max="16384" width="5.7265625" style="4"/>
  </cols>
  <sheetData>
    <row r="1" spans="1:12" s="5" customFormat="1" ht="14" customHeight="1">
      <c r="A1" s="5" t="s">
        <v>6</v>
      </c>
      <c r="B1" s="5" t="s">
        <v>7</v>
      </c>
    </row>
    <row r="2" spans="1:12" s="5" customFormat="1" ht="14" customHeight="1">
      <c r="A2" s="5" t="s">
        <v>8</v>
      </c>
      <c r="B2" s="5" t="s">
        <v>9</v>
      </c>
      <c r="C2" s="5" t="s">
        <v>1</v>
      </c>
      <c r="D2" s="5" t="s">
        <v>1656</v>
      </c>
      <c r="E2" s="5" t="s">
        <v>1657</v>
      </c>
      <c r="I2" s="7" t="s">
        <v>1658</v>
      </c>
      <c r="J2" s="7"/>
      <c r="K2" s="7"/>
    </row>
    <row r="3" spans="1:12" ht="14" customHeight="1">
      <c r="A3" s="4">
        <v>20</v>
      </c>
      <c r="B3" s="4" t="s">
        <v>10</v>
      </c>
      <c r="C3" s="4" t="s">
        <v>11</v>
      </c>
      <c r="D3" s="4" t="s">
        <v>12</v>
      </c>
      <c r="E3" s="6" t="s">
        <v>13</v>
      </c>
      <c r="F3" s="4" t="s">
        <v>14</v>
      </c>
      <c r="G3" s="4">
        <v>246</v>
      </c>
      <c r="H3" s="4" t="s">
        <v>15</v>
      </c>
      <c r="I3" s="4" t="s">
        <v>16</v>
      </c>
      <c r="J3" s="4" t="s">
        <v>17</v>
      </c>
    </row>
    <row r="4" spans="1:12" ht="14" customHeight="1">
      <c r="A4" s="4">
        <v>19</v>
      </c>
      <c r="B4" s="4" t="s">
        <v>18</v>
      </c>
      <c r="C4" s="4" t="s">
        <v>11</v>
      </c>
      <c r="D4" s="4" t="s">
        <v>12</v>
      </c>
      <c r="E4" s="4" t="s">
        <v>19</v>
      </c>
      <c r="F4" s="4" t="s">
        <v>20</v>
      </c>
      <c r="G4" s="4">
        <v>134</v>
      </c>
      <c r="H4" s="4" t="s">
        <v>15</v>
      </c>
      <c r="I4" s="4" t="s">
        <v>16</v>
      </c>
      <c r="J4" s="4" t="s">
        <v>17</v>
      </c>
    </row>
    <row r="5" spans="1:12" ht="14" customHeight="1">
      <c r="A5" s="4">
        <v>18</v>
      </c>
      <c r="B5" s="4" t="s">
        <v>21</v>
      </c>
      <c r="C5" s="4" t="s">
        <v>22</v>
      </c>
      <c r="D5" s="4" t="s">
        <v>23</v>
      </c>
      <c r="E5" s="4" t="s">
        <v>24</v>
      </c>
      <c r="F5" s="4" t="s">
        <v>25</v>
      </c>
      <c r="G5" s="4">
        <v>169</v>
      </c>
      <c r="H5" s="4" t="s">
        <v>22</v>
      </c>
      <c r="I5" s="4" t="s">
        <v>16</v>
      </c>
      <c r="J5" s="4" t="s">
        <v>17</v>
      </c>
    </row>
    <row r="6" spans="1:12" ht="14" customHeight="1">
      <c r="A6" s="4">
        <v>17</v>
      </c>
      <c r="B6" s="4" t="s">
        <v>26</v>
      </c>
      <c r="C6" s="4" t="s">
        <v>27</v>
      </c>
      <c r="D6" s="4" t="s">
        <v>23</v>
      </c>
      <c r="E6" s="4" t="s">
        <v>28</v>
      </c>
      <c r="F6" s="4" t="s">
        <v>29</v>
      </c>
      <c r="G6" s="4">
        <v>172</v>
      </c>
      <c r="H6" s="4" t="s">
        <v>27</v>
      </c>
      <c r="I6" s="4" t="s">
        <v>16</v>
      </c>
      <c r="J6" s="4" t="s">
        <v>17</v>
      </c>
    </row>
    <row r="7" spans="1:12" ht="14" customHeight="1">
      <c r="A7" s="4">
        <v>16</v>
      </c>
      <c r="B7" s="4" t="s">
        <v>30</v>
      </c>
      <c r="C7" s="4" t="s">
        <v>31</v>
      </c>
      <c r="D7" s="4" t="s">
        <v>23</v>
      </c>
      <c r="E7" s="4" t="s">
        <v>32</v>
      </c>
      <c r="F7" s="4" t="s">
        <v>33</v>
      </c>
      <c r="G7" s="4">
        <v>188</v>
      </c>
      <c r="H7" s="4" t="s">
        <v>31</v>
      </c>
      <c r="I7" s="4" t="s">
        <v>16</v>
      </c>
      <c r="J7" s="4" t="s">
        <v>17</v>
      </c>
    </row>
    <row r="8" spans="1:12" ht="14" customHeight="1">
      <c r="A8" s="4">
        <v>15</v>
      </c>
      <c r="B8" s="4" t="s">
        <v>34</v>
      </c>
      <c r="C8" s="4" t="s">
        <v>35</v>
      </c>
      <c r="D8" s="4" t="s">
        <v>23</v>
      </c>
      <c r="E8" s="4" t="s">
        <v>36</v>
      </c>
      <c r="F8" s="4" t="s">
        <v>37</v>
      </c>
      <c r="G8" s="4">
        <v>182</v>
      </c>
      <c r="H8" s="4" t="s">
        <v>38</v>
      </c>
      <c r="I8" s="4" t="s">
        <v>16</v>
      </c>
      <c r="J8" s="4" t="s">
        <v>39</v>
      </c>
      <c r="K8" s="4" t="s">
        <v>17</v>
      </c>
    </row>
    <row r="9" spans="1:12" ht="14" customHeight="1">
      <c r="A9" s="4">
        <v>14</v>
      </c>
      <c r="B9" s="4" t="s">
        <v>40</v>
      </c>
      <c r="C9" s="4" t="s">
        <v>41</v>
      </c>
      <c r="D9" s="4" t="s">
        <v>23</v>
      </c>
      <c r="E9" s="4" t="s">
        <v>42</v>
      </c>
      <c r="F9" s="4" t="s">
        <v>43</v>
      </c>
      <c r="G9" s="4">
        <v>221</v>
      </c>
      <c r="H9" s="4" t="s">
        <v>41</v>
      </c>
      <c r="I9" s="4" t="s">
        <v>16</v>
      </c>
    </row>
    <row r="10" spans="1:12" ht="14" customHeight="1">
      <c r="A10" s="4">
        <v>13</v>
      </c>
      <c r="B10" s="4" t="s">
        <v>44</v>
      </c>
      <c r="C10" s="4" t="s">
        <v>35</v>
      </c>
      <c r="D10" s="4" t="s">
        <v>45</v>
      </c>
      <c r="E10" s="4" t="s">
        <v>46</v>
      </c>
      <c r="F10" s="4" t="e">
        <v>#VALUE!</v>
      </c>
      <c r="G10" s="4" t="e">
        <v>#VALUE!</v>
      </c>
      <c r="H10" s="4" t="s">
        <v>38</v>
      </c>
      <c r="I10" s="4" t="s">
        <v>16</v>
      </c>
      <c r="J10" s="4" t="s">
        <v>39</v>
      </c>
      <c r="K10" s="4" t="s">
        <v>17</v>
      </c>
    </row>
    <row r="11" spans="1:12" ht="14" customHeight="1">
      <c r="A11" s="4">
        <v>12</v>
      </c>
      <c r="B11" s="4" t="s">
        <v>47</v>
      </c>
      <c r="C11" s="4" t="s">
        <v>48</v>
      </c>
      <c r="D11" s="4" t="s">
        <v>45</v>
      </c>
      <c r="E11" s="4" t="s">
        <v>42</v>
      </c>
      <c r="F11" s="4" t="s">
        <v>49</v>
      </c>
      <c r="G11" s="4">
        <v>133</v>
      </c>
      <c r="H11" s="4" t="s">
        <v>50</v>
      </c>
      <c r="I11" s="4" t="s">
        <v>16</v>
      </c>
      <c r="J11" s="4" t="s">
        <v>17</v>
      </c>
    </row>
    <row r="12" spans="1:12" ht="14" customHeight="1">
      <c r="A12" s="4">
        <v>11</v>
      </c>
      <c r="B12" s="4" t="s">
        <v>51</v>
      </c>
      <c r="C12" s="4" t="s">
        <v>52</v>
      </c>
      <c r="D12" s="4" t="s">
        <v>53</v>
      </c>
      <c r="E12" s="4" t="s">
        <v>54</v>
      </c>
      <c r="F12" s="4" t="e">
        <v>#VALUE!</v>
      </c>
      <c r="G12" s="4" t="e">
        <v>#VALUE!</v>
      </c>
      <c r="H12" s="4" t="s">
        <v>55</v>
      </c>
      <c r="I12" s="4" t="s">
        <v>16</v>
      </c>
      <c r="J12" s="4" t="s">
        <v>56</v>
      </c>
      <c r="K12" s="4" t="s">
        <v>17</v>
      </c>
    </row>
    <row r="13" spans="1:12" ht="14" customHeight="1">
      <c r="A13" s="4">
        <v>10</v>
      </c>
      <c r="B13" s="4" t="s">
        <v>57</v>
      </c>
      <c r="C13" s="4" t="s">
        <v>58</v>
      </c>
      <c r="D13" s="4" t="s">
        <v>53</v>
      </c>
      <c r="E13" s="4" t="s">
        <v>59</v>
      </c>
      <c r="F13" s="4" t="s">
        <v>60</v>
      </c>
      <c r="G13" s="4">
        <v>155</v>
      </c>
      <c r="H13" s="4" t="s">
        <v>58</v>
      </c>
      <c r="I13" s="4" t="s">
        <v>16</v>
      </c>
    </row>
    <row r="14" spans="1:12" ht="14" customHeight="1">
      <c r="A14" s="4">
        <v>9</v>
      </c>
      <c r="B14" s="4" t="s">
        <v>61</v>
      </c>
      <c r="C14" s="4" t="s">
        <v>35</v>
      </c>
      <c r="D14" s="4" t="s">
        <v>62</v>
      </c>
      <c r="E14" s="4" t="s">
        <v>63</v>
      </c>
      <c r="F14" s="4" t="s">
        <v>64</v>
      </c>
      <c r="G14" s="4">
        <v>167</v>
      </c>
      <c r="H14" s="4" t="s">
        <v>38</v>
      </c>
      <c r="I14" s="4" t="s">
        <v>16</v>
      </c>
      <c r="J14" s="4" t="s">
        <v>39</v>
      </c>
      <c r="K14" s="4" t="s">
        <v>17</v>
      </c>
    </row>
    <row r="15" spans="1:12" ht="14" customHeight="1">
      <c r="A15" s="4">
        <v>8</v>
      </c>
      <c r="B15" s="4" t="s">
        <v>65</v>
      </c>
      <c r="C15" s="4" t="s">
        <v>66</v>
      </c>
      <c r="D15" s="4" t="s">
        <v>67</v>
      </c>
      <c r="E15" s="4" t="s">
        <v>68</v>
      </c>
      <c r="F15" s="4" t="e">
        <v>#VALUE!</v>
      </c>
      <c r="G15" s="4" t="e">
        <v>#VALUE!</v>
      </c>
      <c r="H15" s="4" t="s">
        <v>69</v>
      </c>
      <c r="I15" s="4" t="s">
        <v>16</v>
      </c>
      <c r="J15" s="4" t="s">
        <v>70</v>
      </c>
      <c r="K15" s="4" t="s">
        <v>71</v>
      </c>
      <c r="L15" s="4" t="s">
        <v>17</v>
      </c>
    </row>
    <row r="16" spans="1:12" ht="14" customHeight="1">
      <c r="A16" s="4">
        <v>7</v>
      </c>
      <c r="B16" s="4" t="s">
        <v>72</v>
      </c>
      <c r="C16" s="4" t="s">
        <v>73</v>
      </c>
      <c r="D16" s="4" t="s">
        <v>74</v>
      </c>
      <c r="E16" s="4" t="s">
        <v>75</v>
      </c>
      <c r="F16" s="4" t="s">
        <v>76</v>
      </c>
      <c r="G16" s="4">
        <v>141</v>
      </c>
      <c r="H16" s="4" t="s">
        <v>73</v>
      </c>
      <c r="I16" s="4" t="s">
        <v>16</v>
      </c>
    </row>
    <row r="17" spans="1:12" ht="14" customHeight="1">
      <c r="A17" s="4">
        <v>6</v>
      </c>
      <c r="B17" s="4" t="s">
        <v>77</v>
      </c>
      <c r="C17" s="4" t="s">
        <v>73</v>
      </c>
      <c r="D17" s="4" t="s">
        <v>78</v>
      </c>
      <c r="E17" s="4" t="s">
        <v>79</v>
      </c>
      <c r="F17" s="4" t="s">
        <v>80</v>
      </c>
      <c r="G17" s="4">
        <v>141</v>
      </c>
      <c r="H17" s="4" t="s">
        <v>73</v>
      </c>
      <c r="I17" s="4" t="s">
        <v>16</v>
      </c>
    </row>
    <row r="18" spans="1:12" ht="14" customHeight="1">
      <c r="A18" s="4">
        <v>5</v>
      </c>
      <c r="B18" s="4" t="s">
        <v>81</v>
      </c>
      <c r="C18" s="4" t="s">
        <v>82</v>
      </c>
      <c r="D18" s="4" t="s">
        <v>83</v>
      </c>
      <c r="E18" s="4" t="s">
        <v>84</v>
      </c>
      <c r="F18" s="4" t="e">
        <v>#VALUE!</v>
      </c>
      <c r="G18" s="4" t="e">
        <v>#VALUE!</v>
      </c>
      <c r="H18" s="4" t="s">
        <v>85</v>
      </c>
      <c r="I18" s="4" t="s">
        <v>16</v>
      </c>
      <c r="J18" s="4" t="s">
        <v>86</v>
      </c>
    </row>
    <row r="19" spans="1:12" ht="14" customHeight="1">
      <c r="A19" s="4">
        <v>4</v>
      </c>
      <c r="B19" s="4" t="s">
        <v>87</v>
      </c>
      <c r="C19" s="4" t="s">
        <v>88</v>
      </c>
      <c r="D19" s="4" t="s">
        <v>89</v>
      </c>
      <c r="E19" s="4" t="s">
        <v>90</v>
      </c>
      <c r="F19" s="4" t="e">
        <v>#VALUE!</v>
      </c>
      <c r="G19" s="4" t="e">
        <v>#VALUE!</v>
      </c>
      <c r="H19" s="4" t="s">
        <v>91</v>
      </c>
      <c r="I19" s="4" t="s">
        <v>16</v>
      </c>
      <c r="J19" s="4" t="s">
        <v>17</v>
      </c>
      <c r="K19" s="4" t="s">
        <v>86</v>
      </c>
    </row>
    <row r="20" spans="1:12" ht="14" customHeight="1">
      <c r="A20" s="4">
        <v>3</v>
      </c>
      <c r="B20" s="4" t="s">
        <v>92</v>
      </c>
      <c r="C20" s="4" t="s">
        <v>73</v>
      </c>
      <c r="D20" s="4" t="s">
        <v>89</v>
      </c>
      <c r="E20" s="4" t="s">
        <v>93</v>
      </c>
      <c r="F20" s="4" t="e">
        <v>#VALUE!</v>
      </c>
      <c r="G20" s="4" t="e">
        <v>#VALUE!</v>
      </c>
      <c r="H20" s="4" t="s">
        <v>73</v>
      </c>
      <c r="I20" s="4" t="s">
        <v>16</v>
      </c>
    </row>
    <row r="21" spans="1:12" ht="14" customHeight="1">
      <c r="A21" s="4">
        <v>2</v>
      </c>
      <c r="B21" s="4" t="s">
        <v>94</v>
      </c>
      <c r="C21" s="4" t="s">
        <v>95</v>
      </c>
      <c r="D21" s="4" t="s">
        <v>89</v>
      </c>
      <c r="E21" s="4" t="s">
        <v>96</v>
      </c>
      <c r="F21" s="4" t="e">
        <v>#VALUE!</v>
      </c>
      <c r="G21" s="4" t="e">
        <v>#VALUE!</v>
      </c>
      <c r="H21" s="4" t="s">
        <v>97</v>
      </c>
      <c r="I21" s="4" t="s">
        <v>16</v>
      </c>
      <c r="J21" s="4" t="s">
        <v>71</v>
      </c>
    </row>
    <row r="22" spans="1:12" ht="14" customHeight="1">
      <c r="A22" s="4">
        <v>1</v>
      </c>
      <c r="B22" s="4" t="s">
        <v>98</v>
      </c>
      <c r="C22" s="4" t="s">
        <v>73</v>
      </c>
      <c r="D22" s="4" t="s">
        <v>99</v>
      </c>
      <c r="E22" s="4" t="s">
        <v>100</v>
      </c>
      <c r="F22" s="4" t="e">
        <v>#VALUE!</v>
      </c>
      <c r="G22" s="4" t="e">
        <v>#VALUE!</v>
      </c>
      <c r="H22" s="4" t="s">
        <v>73</v>
      </c>
      <c r="I22" s="4" t="s">
        <v>16</v>
      </c>
    </row>
    <row r="23" spans="1:12" s="5" customFormat="1" ht="14" customHeight="1">
      <c r="A23" s="5" t="s">
        <v>8</v>
      </c>
      <c r="B23" s="5" t="s">
        <v>101</v>
      </c>
      <c r="C23" s="5" t="e">
        <v>#VALUE!</v>
      </c>
      <c r="D23" s="5" t="e">
        <v>#VALUE!</v>
      </c>
      <c r="E23" s="5" t="e">
        <v>#VALUE!</v>
      </c>
      <c r="F23" s="5" t="e">
        <v>#VALUE!</v>
      </c>
      <c r="G23" s="5" t="e">
        <v>#VALUE!</v>
      </c>
      <c r="H23" s="5" t="e">
        <v>#VALUE!</v>
      </c>
      <c r="I23" s="5" t="s">
        <v>16</v>
      </c>
    </row>
    <row r="24" spans="1:12" ht="14" customHeight="1">
      <c r="A24" s="4">
        <v>63</v>
      </c>
      <c r="B24" s="4" t="s">
        <v>102</v>
      </c>
      <c r="C24" s="4" t="s">
        <v>103</v>
      </c>
      <c r="D24" s="4" t="s">
        <v>104</v>
      </c>
      <c r="E24" s="4" t="s">
        <v>105</v>
      </c>
      <c r="F24" s="4" t="s">
        <v>106</v>
      </c>
      <c r="G24" s="4">
        <v>184</v>
      </c>
      <c r="H24" s="4" t="s">
        <v>103</v>
      </c>
      <c r="I24" s="4" t="s">
        <v>16</v>
      </c>
    </row>
    <row r="25" spans="1:12" ht="14" customHeight="1">
      <c r="A25" s="4">
        <v>62</v>
      </c>
      <c r="B25" s="4" t="s">
        <v>107</v>
      </c>
      <c r="C25" s="4" t="s">
        <v>108</v>
      </c>
      <c r="D25" s="4" t="s">
        <v>104</v>
      </c>
      <c r="E25" s="4" t="s">
        <v>109</v>
      </c>
      <c r="F25" s="4" t="e">
        <v>#VALUE!</v>
      </c>
      <c r="G25" s="4" t="e">
        <v>#VALUE!</v>
      </c>
      <c r="H25" s="4" t="s">
        <v>108</v>
      </c>
      <c r="I25" s="4" t="s">
        <v>16</v>
      </c>
    </row>
    <row r="26" spans="1:12" ht="14" customHeight="1">
      <c r="A26" s="4">
        <v>61</v>
      </c>
      <c r="B26" s="4" t="s">
        <v>110</v>
      </c>
      <c r="C26" s="4" t="s">
        <v>108</v>
      </c>
      <c r="D26" s="4" t="s">
        <v>104</v>
      </c>
      <c r="E26" s="4" t="s">
        <v>111</v>
      </c>
      <c r="F26" s="4" t="s">
        <v>112</v>
      </c>
      <c r="G26" s="4">
        <v>94</v>
      </c>
      <c r="H26" s="4" t="s">
        <v>108</v>
      </c>
      <c r="I26" s="4" t="s">
        <v>16</v>
      </c>
    </row>
    <row r="27" spans="1:12" ht="14" customHeight="1">
      <c r="A27" s="4">
        <v>60</v>
      </c>
      <c r="B27" s="4" t="s">
        <v>113</v>
      </c>
      <c r="C27" s="4" t="s">
        <v>108</v>
      </c>
      <c r="D27" s="4" t="s">
        <v>12</v>
      </c>
      <c r="E27" s="4" t="s">
        <v>114</v>
      </c>
      <c r="F27" s="4" t="s">
        <v>115</v>
      </c>
      <c r="G27" s="4">
        <v>98</v>
      </c>
      <c r="H27" s="4" t="s">
        <v>108</v>
      </c>
      <c r="I27" s="4" t="s">
        <v>16</v>
      </c>
    </row>
    <row r="28" spans="1:12" ht="14" customHeight="1">
      <c r="A28" s="4">
        <v>59</v>
      </c>
      <c r="B28" s="4" t="s">
        <v>116</v>
      </c>
      <c r="C28" s="4" t="s">
        <v>117</v>
      </c>
      <c r="D28" s="4" t="s">
        <v>12</v>
      </c>
      <c r="E28" s="4" t="s">
        <v>118</v>
      </c>
      <c r="F28" s="4" t="s">
        <v>119</v>
      </c>
      <c r="G28" s="4">
        <v>150</v>
      </c>
      <c r="H28" s="4" t="s">
        <v>117</v>
      </c>
      <c r="I28" s="4" t="s">
        <v>16</v>
      </c>
      <c r="J28" s="4" t="s">
        <v>120</v>
      </c>
      <c r="K28" s="4" t="s">
        <v>121</v>
      </c>
      <c r="L28" s="4" t="s">
        <v>17</v>
      </c>
    </row>
    <row r="29" spans="1:12" ht="14" customHeight="1">
      <c r="A29" s="4">
        <v>58</v>
      </c>
      <c r="B29" s="4" t="s">
        <v>122</v>
      </c>
      <c r="C29" s="4" t="s">
        <v>123</v>
      </c>
      <c r="D29" s="4" t="s">
        <v>12</v>
      </c>
      <c r="E29" s="4" t="s">
        <v>124</v>
      </c>
      <c r="F29" s="4" t="s">
        <v>125</v>
      </c>
      <c r="G29" s="4">
        <v>162</v>
      </c>
      <c r="H29" s="4" t="s">
        <v>123</v>
      </c>
      <c r="I29" s="4" t="s">
        <v>16</v>
      </c>
      <c r="J29" s="4" t="s">
        <v>126</v>
      </c>
      <c r="K29" s="4" t="s">
        <v>127</v>
      </c>
      <c r="L29" s="4" t="s">
        <v>128</v>
      </c>
    </row>
    <row r="30" spans="1:12" ht="14" customHeight="1">
      <c r="A30" s="4">
        <v>57</v>
      </c>
      <c r="B30" s="4" t="s">
        <v>129</v>
      </c>
      <c r="C30" s="4" t="s">
        <v>130</v>
      </c>
      <c r="D30" s="4" t="s">
        <v>131</v>
      </c>
      <c r="E30" s="4" t="s">
        <v>132</v>
      </c>
      <c r="F30" s="4" t="s">
        <v>133</v>
      </c>
      <c r="G30" s="4">
        <v>244</v>
      </c>
      <c r="H30" s="4" t="s">
        <v>130</v>
      </c>
      <c r="I30" s="4" t="s">
        <v>16</v>
      </c>
    </row>
    <row r="31" spans="1:12" ht="14" customHeight="1">
      <c r="A31" s="4">
        <v>56</v>
      </c>
      <c r="B31" s="4" t="s">
        <v>134</v>
      </c>
      <c r="C31" s="4" t="s">
        <v>135</v>
      </c>
      <c r="D31" s="4" t="s">
        <v>131</v>
      </c>
      <c r="E31" s="4" t="s">
        <v>136</v>
      </c>
      <c r="F31" s="4" t="s">
        <v>137</v>
      </c>
      <c r="G31" s="4">
        <v>126</v>
      </c>
      <c r="H31" s="4" t="s">
        <v>138</v>
      </c>
      <c r="I31" s="4" t="s">
        <v>16</v>
      </c>
      <c r="J31" s="4" t="s">
        <v>17</v>
      </c>
    </row>
    <row r="32" spans="1:12" ht="14" customHeight="1">
      <c r="A32" s="4">
        <v>55</v>
      </c>
      <c r="B32" s="4" t="s">
        <v>139</v>
      </c>
      <c r="C32" s="4" t="s">
        <v>140</v>
      </c>
      <c r="D32" s="4" t="s">
        <v>131</v>
      </c>
      <c r="E32" s="4" t="s">
        <v>141</v>
      </c>
      <c r="F32" s="4" t="s">
        <v>137</v>
      </c>
      <c r="G32" s="4">
        <v>123</v>
      </c>
      <c r="H32" s="4" t="s">
        <v>142</v>
      </c>
      <c r="I32" s="4" t="s">
        <v>16</v>
      </c>
      <c r="J32" s="4" t="s">
        <v>17</v>
      </c>
    </row>
    <row r="33" spans="1:11" ht="14" customHeight="1">
      <c r="A33" s="4">
        <v>54</v>
      </c>
      <c r="B33" s="4" t="s">
        <v>143</v>
      </c>
      <c r="C33" s="4" t="s">
        <v>144</v>
      </c>
      <c r="D33" s="4" t="s">
        <v>131</v>
      </c>
      <c r="E33" s="4" t="s">
        <v>145</v>
      </c>
      <c r="F33" s="4" t="s">
        <v>137</v>
      </c>
      <c r="G33" s="4">
        <v>178</v>
      </c>
      <c r="H33" s="4" t="s">
        <v>146</v>
      </c>
      <c r="I33" s="4" t="s">
        <v>16</v>
      </c>
      <c r="J33" s="4" t="s">
        <v>17</v>
      </c>
      <c r="K33" s="4" t="s">
        <v>147</v>
      </c>
    </row>
    <row r="34" spans="1:11" ht="14" customHeight="1">
      <c r="A34" s="4">
        <v>53</v>
      </c>
      <c r="B34" s="4" t="s">
        <v>148</v>
      </c>
      <c r="C34" s="4" t="s">
        <v>149</v>
      </c>
      <c r="D34" s="4" t="s">
        <v>131</v>
      </c>
      <c r="E34" s="4" t="s">
        <v>150</v>
      </c>
      <c r="F34" s="4" t="s">
        <v>137</v>
      </c>
      <c r="G34" s="4">
        <v>190</v>
      </c>
      <c r="H34" s="4" t="s">
        <v>149</v>
      </c>
      <c r="I34" s="4" t="s">
        <v>16</v>
      </c>
      <c r="J34" s="4" t="s">
        <v>151</v>
      </c>
    </row>
    <row r="35" spans="1:11" ht="14" customHeight="1">
      <c r="A35" s="4">
        <v>52</v>
      </c>
      <c r="B35" s="4" t="s">
        <v>152</v>
      </c>
      <c r="C35" s="4" t="s">
        <v>153</v>
      </c>
      <c r="D35" s="4" t="s">
        <v>131</v>
      </c>
      <c r="E35" s="4" t="s">
        <v>154</v>
      </c>
      <c r="F35" s="4" t="s">
        <v>137</v>
      </c>
      <c r="G35" s="4">
        <v>170</v>
      </c>
      <c r="H35" s="4" t="s">
        <v>153</v>
      </c>
      <c r="I35" s="4" t="s">
        <v>16</v>
      </c>
      <c r="J35" s="4" t="s">
        <v>155</v>
      </c>
    </row>
    <row r="36" spans="1:11" ht="14" customHeight="1">
      <c r="A36" s="4">
        <v>51</v>
      </c>
      <c r="B36" s="4" t="s">
        <v>156</v>
      </c>
      <c r="C36" s="4" t="s">
        <v>157</v>
      </c>
      <c r="D36" s="4" t="s">
        <v>131</v>
      </c>
      <c r="E36" s="4" t="s">
        <v>158</v>
      </c>
      <c r="F36" s="4" t="s">
        <v>137</v>
      </c>
      <c r="G36" s="4">
        <v>173</v>
      </c>
      <c r="H36" s="4" t="s">
        <v>157</v>
      </c>
      <c r="I36" s="4" t="s">
        <v>16</v>
      </c>
    </row>
    <row r="37" spans="1:11" ht="14" customHeight="1">
      <c r="A37" s="4">
        <v>50</v>
      </c>
      <c r="B37" s="4" t="s">
        <v>159</v>
      </c>
      <c r="C37" s="4" t="s">
        <v>160</v>
      </c>
      <c r="D37" s="4" t="s">
        <v>131</v>
      </c>
      <c r="E37" s="4" t="s">
        <v>161</v>
      </c>
      <c r="F37" s="4" t="s">
        <v>162</v>
      </c>
      <c r="G37" s="4">
        <v>92</v>
      </c>
      <c r="H37" s="4" t="s">
        <v>160</v>
      </c>
      <c r="I37" s="4" t="s">
        <v>16</v>
      </c>
    </row>
    <row r="38" spans="1:11" ht="14" customHeight="1">
      <c r="A38" s="4">
        <v>49</v>
      </c>
      <c r="B38" s="4" t="s">
        <v>163</v>
      </c>
      <c r="C38" s="4" t="s">
        <v>164</v>
      </c>
      <c r="D38" s="4" t="s">
        <v>131</v>
      </c>
      <c r="E38" s="4" t="s">
        <v>165</v>
      </c>
      <c r="F38" s="4" t="s">
        <v>137</v>
      </c>
      <c r="G38" s="4">
        <v>170</v>
      </c>
      <c r="H38" s="4" t="s">
        <v>164</v>
      </c>
      <c r="I38" s="4" t="s">
        <v>16</v>
      </c>
    </row>
    <row r="39" spans="1:11" ht="14" customHeight="1">
      <c r="A39" s="4">
        <v>48</v>
      </c>
      <c r="B39" s="4" t="s">
        <v>166</v>
      </c>
      <c r="C39" s="4" t="s">
        <v>167</v>
      </c>
      <c r="D39" s="4" t="s">
        <v>131</v>
      </c>
      <c r="E39" s="4" t="s">
        <v>168</v>
      </c>
      <c r="F39" s="4" t="s">
        <v>137</v>
      </c>
      <c r="G39" s="4">
        <v>146</v>
      </c>
      <c r="H39" s="4" t="s">
        <v>167</v>
      </c>
      <c r="I39" s="4" t="s">
        <v>16</v>
      </c>
    </row>
    <row r="40" spans="1:11" ht="14" customHeight="1">
      <c r="A40" s="4">
        <v>47</v>
      </c>
      <c r="B40" s="4" t="s">
        <v>169</v>
      </c>
      <c r="C40" s="4" t="s">
        <v>170</v>
      </c>
      <c r="D40" s="4" t="s">
        <v>131</v>
      </c>
      <c r="E40" s="4" t="s">
        <v>171</v>
      </c>
      <c r="F40" s="4" t="s">
        <v>137</v>
      </c>
      <c r="G40" s="4">
        <v>105</v>
      </c>
      <c r="H40" s="4" t="s">
        <v>170</v>
      </c>
      <c r="I40" s="4" t="s">
        <v>16</v>
      </c>
    </row>
    <row r="41" spans="1:11" ht="14" customHeight="1">
      <c r="A41" s="4">
        <v>46</v>
      </c>
      <c r="B41" s="4" t="s">
        <v>172</v>
      </c>
      <c r="C41" s="4" t="s">
        <v>173</v>
      </c>
      <c r="D41" s="4" t="s">
        <v>131</v>
      </c>
      <c r="E41" s="4" t="s">
        <v>174</v>
      </c>
      <c r="F41" s="4" t="s">
        <v>137</v>
      </c>
      <c r="G41" s="4">
        <v>192</v>
      </c>
      <c r="H41" s="4" t="s">
        <v>173</v>
      </c>
      <c r="I41" s="4" t="s">
        <v>16</v>
      </c>
    </row>
    <row r="42" spans="1:11" ht="14" customHeight="1">
      <c r="A42" s="4">
        <v>45</v>
      </c>
      <c r="B42" s="4" t="s">
        <v>175</v>
      </c>
      <c r="C42" s="4" t="s">
        <v>176</v>
      </c>
      <c r="D42" s="4" t="s">
        <v>131</v>
      </c>
      <c r="E42" s="4" t="s">
        <v>177</v>
      </c>
      <c r="F42" s="4" t="s">
        <v>137</v>
      </c>
      <c r="G42" s="4">
        <v>192</v>
      </c>
      <c r="H42" s="4" t="s">
        <v>176</v>
      </c>
      <c r="I42" s="4" t="s">
        <v>16</v>
      </c>
    </row>
    <row r="43" spans="1:11" ht="14" customHeight="1">
      <c r="A43" s="4">
        <v>44</v>
      </c>
      <c r="B43" s="4" t="s">
        <v>178</v>
      </c>
      <c r="C43" s="4" t="s">
        <v>130</v>
      </c>
      <c r="D43" s="4" t="s">
        <v>131</v>
      </c>
      <c r="E43" s="4" t="s">
        <v>179</v>
      </c>
      <c r="F43" s="4" t="s">
        <v>137</v>
      </c>
      <c r="G43" s="4">
        <v>174</v>
      </c>
      <c r="H43" s="4" t="s">
        <v>130</v>
      </c>
      <c r="I43" s="4" t="s">
        <v>16</v>
      </c>
    </row>
    <row r="44" spans="1:11" ht="14" customHeight="1">
      <c r="A44" s="4">
        <v>43</v>
      </c>
      <c r="B44" s="4" t="s">
        <v>180</v>
      </c>
      <c r="C44" s="4" t="s">
        <v>58</v>
      </c>
      <c r="D44" s="4" t="s">
        <v>131</v>
      </c>
      <c r="E44" s="4" t="s">
        <v>181</v>
      </c>
      <c r="F44" s="4" t="s">
        <v>182</v>
      </c>
      <c r="G44" s="4">
        <v>149</v>
      </c>
      <c r="H44" s="4" t="s">
        <v>58</v>
      </c>
      <c r="I44" s="4" t="s">
        <v>16</v>
      </c>
    </row>
    <row r="45" spans="1:11" ht="14" customHeight="1">
      <c r="A45" s="4">
        <v>42</v>
      </c>
      <c r="B45" s="4" t="s">
        <v>183</v>
      </c>
      <c r="C45" s="4" t="s">
        <v>184</v>
      </c>
      <c r="D45" s="4" t="s">
        <v>131</v>
      </c>
      <c r="E45" s="4" t="s">
        <v>185</v>
      </c>
      <c r="F45" s="4" t="s">
        <v>137</v>
      </c>
      <c r="G45" s="4">
        <v>182</v>
      </c>
      <c r="H45" s="4" t="s">
        <v>184</v>
      </c>
      <c r="I45" s="4" t="s">
        <v>16</v>
      </c>
    </row>
    <row r="46" spans="1:11" ht="14" customHeight="1">
      <c r="A46" s="4">
        <v>41</v>
      </c>
      <c r="B46" s="4" t="s">
        <v>186</v>
      </c>
      <c r="C46" s="4" t="s">
        <v>187</v>
      </c>
      <c r="D46" s="4" t="s">
        <v>131</v>
      </c>
      <c r="E46" s="4" t="s">
        <v>188</v>
      </c>
      <c r="F46" s="4" t="s">
        <v>137</v>
      </c>
      <c r="G46" s="4">
        <v>181</v>
      </c>
      <c r="H46" s="4" t="s">
        <v>187</v>
      </c>
      <c r="I46" s="4" t="s">
        <v>16</v>
      </c>
    </row>
    <row r="47" spans="1:11" ht="14" customHeight="1">
      <c r="A47" s="4">
        <v>40</v>
      </c>
      <c r="B47" s="4" t="s">
        <v>189</v>
      </c>
      <c r="C47" s="4" t="s">
        <v>190</v>
      </c>
      <c r="D47" s="4" t="s">
        <v>131</v>
      </c>
      <c r="E47" s="4" t="s">
        <v>191</v>
      </c>
      <c r="F47" s="4" t="s">
        <v>137</v>
      </c>
      <c r="G47" s="4">
        <v>119</v>
      </c>
      <c r="H47" s="4" t="s">
        <v>190</v>
      </c>
      <c r="I47" s="4" t="s">
        <v>16</v>
      </c>
    </row>
    <row r="48" spans="1:11" ht="14" customHeight="1">
      <c r="A48" s="4">
        <v>39</v>
      </c>
      <c r="B48" s="4" t="s">
        <v>192</v>
      </c>
      <c r="C48" s="4" t="s">
        <v>193</v>
      </c>
      <c r="D48" s="4" t="s">
        <v>131</v>
      </c>
      <c r="E48" s="4" t="s">
        <v>194</v>
      </c>
      <c r="F48" s="4" t="s">
        <v>137</v>
      </c>
      <c r="G48" s="4">
        <v>126</v>
      </c>
      <c r="H48" s="4" t="s">
        <v>193</v>
      </c>
      <c r="I48" s="4" t="s">
        <v>16</v>
      </c>
    </row>
    <row r="49" spans="1:10" ht="14" customHeight="1">
      <c r="A49" s="4">
        <v>38</v>
      </c>
      <c r="B49" s="4" t="s">
        <v>195</v>
      </c>
      <c r="C49" s="4" t="s">
        <v>73</v>
      </c>
      <c r="D49" s="4" t="s">
        <v>131</v>
      </c>
      <c r="E49" s="4" t="s">
        <v>196</v>
      </c>
      <c r="F49" s="4" t="s">
        <v>197</v>
      </c>
      <c r="G49" s="4">
        <v>160</v>
      </c>
      <c r="H49" s="4" t="s">
        <v>73</v>
      </c>
      <c r="I49" s="4" t="s">
        <v>16</v>
      </c>
    </row>
    <row r="50" spans="1:10" ht="14" customHeight="1">
      <c r="A50" s="4">
        <v>37</v>
      </c>
      <c r="B50" s="4" t="s">
        <v>198</v>
      </c>
      <c r="C50" s="4" t="s">
        <v>130</v>
      </c>
      <c r="D50" s="4" t="s">
        <v>131</v>
      </c>
      <c r="E50" s="4" t="s">
        <v>199</v>
      </c>
      <c r="F50" s="4" t="s">
        <v>200</v>
      </c>
      <c r="G50" s="4">
        <v>203</v>
      </c>
      <c r="H50" s="4" t="s">
        <v>130</v>
      </c>
      <c r="I50" s="4" t="s">
        <v>16</v>
      </c>
    </row>
    <row r="51" spans="1:10" ht="14" customHeight="1">
      <c r="A51" s="4">
        <v>36</v>
      </c>
      <c r="B51" s="4" t="s">
        <v>201</v>
      </c>
      <c r="C51" s="4" t="s">
        <v>160</v>
      </c>
      <c r="D51" s="4" t="s">
        <v>202</v>
      </c>
      <c r="E51" s="4" t="s">
        <v>203</v>
      </c>
      <c r="F51" s="4" t="e">
        <v>#VALUE!</v>
      </c>
      <c r="G51" s="4" t="e">
        <v>#VALUE!</v>
      </c>
      <c r="H51" s="4" t="s">
        <v>160</v>
      </c>
      <c r="I51" s="4" t="s">
        <v>16</v>
      </c>
    </row>
    <row r="52" spans="1:10" ht="14" customHeight="1">
      <c r="A52" s="4">
        <v>35</v>
      </c>
      <c r="B52" s="4" t="s">
        <v>204</v>
      </c>
      <c r="C52" s="4" t="s">
        <v>190</v>
      </c>
      <c r="D52" s="4" t="s">
        <v>202</v>
      </c>
      <c r="E52" s="4" t="s">
        <v>205</v>
      </c>
      <c r="F52" s="4" t="e">
        <v>#VALUE!</v>
      </c>
      <c r="G52" s="4" t="e">
        <v>#VALUE!</v>
      </c>
      <c r="H52" s="4" t="s">
        <v>190</v>
      </c>
      <c r="I52" s="4" t="s">
        <v>16</v>
      </c>
    </row>
    <row r="53" spans="1:10" ht="14" customHeight="1">
      <c r="A53" s="4">
        <v>34</v>
      </c>
      <c r="B53" s="4" t="s">
        <v>206</v>
      </c>
      <c r="C53" s="4" t="s">
        <v>207</v>
      </c>
      <c r="D53" s="4" t="s">
        <v>202</v>
      </c>
      <c r="E53" s="4" t="s">
        <v>208</v>
      </c>
      <c r="F53" s="4" t="e">
        <v>#VALUE!</v>
      </c>
      <c r="G53" s="4" t="e">
        <v>#VALUE!</v>
      </c>
      <c r="H53" s="4" t="s">
        <v>207</v>
      </c>
      <c r="I53" s="4" t="s">
        <v>16</v>
      </c>
      <c r="J53" s="4" t="s">
        <v>209</v>
      </c>
    </row>
    <row r="54" spans="1:10" ht="14" customHeight="1">
      <c r="A54" s="4">
        <v>33</v>
      </c>
      <c r="B54" s="4" t="s">
        <v>210</v>
      </c>
      <c r="C54" s="4" t="s">
        <v>164</v>
      </c>
      <c r="D54" s="4" t="s">
        <v>202</v>
      </c>
      <c r="E54" s="4" t="s">
        <v>211</v>
      </c>
      <c r="F54" s="4" t="e">
        <v>#VALUE!</v>
      </c>
      <c r="G54" s="4" t="e">
        <v>#VALUE!</v>
      </c>
      <c r="H54" s="4" t="s">
        <v>164</v>
      </c>
      <c r="I54" s="4" t="s">
        <v>16</v>
      </c>
    </row>
    <row r="55" spans="1:10" ht="14" customHeight="1">
      <c r="A55" s="4">
        <v>32</v>
      </c>
      <c r="B55" s="4" t="s">
        <v>212</v>
      </c>
      <c r="C55" s="4" t="s">
        <v>149</v>
      </c>
      <c r="D55" s="4" t="s">
        <v>202</v>
      </c>
      <c r="E55" s="4" t="s">
        <v>213</v>
      </c>
      <c r="F55" s="4" t="e">
        <v>#VALUE!</v>
      </c>
      <c r="G55" s="4" t="e">
        <v>#VALUE!</v>
      </c>
      <c r="H55" s="4" t="s">
        <v>149</v>
      </c>
      <c r="I55" s="4" t="s">
        <v>16</v>
      </c>
      <c r="J55" s="4" t="s">
        <v>151</v>
      </c>
    </row>
    <row r="56" spans="1:10" ht="14" customHeight="1">
      <c r="A56" s="4">
        <v>31</v>
      </c>
      <c r="B56" s="4" t="s">
        <v>214</v>
      </c>
      <c r="C56" s="4" t="s">
        <v>215</v>
      </c>
      <c r="D56" s="4" t="s">
        <v>202</v>
      </c>
      <c r="E56" s="4" t="s">
        <v>216</v>
      </c>
      <c r="F56" s="4" t="e">
        <v>#VALUE!</v>
      </c>
      <c r="G56" s="4" t="e">
        <v>#VALUE!</v>
      </c>
      <c r="H56" s="4" t="s">
        <v>215</v>
      </c>
      <c r="I56" s="4" t="s">
        <v>16</v>
      </c>
      <c r="J56" s="4" t="s">
        <v>217</v>
      </c>
    </row>
    <row r="57" spans="1:10" ht="14" customHeight="1">
      <c r="A57" s="4">
        <v>30</v>
      </c>
      <c r="B57" s="4" t="s">
        <v>218</v>
      </c>
      <c r="C57" s="4" t="s">
        <v>219</v>
      </c>
      <c r="D57" s="4" t="s">
        <v>220</v>
      </c>
      <c r="E57" s="4" t="s">
        <v>221</v>
      </c>
      <c r="F57" s="4" t="s">
        <v>222</v>
      </c>
      <c r="G57" s="4">
        <v>210</v>
      </c>
      <c r="H57" s="4" t="s">
        <v>219</v>
      </c>
      <c r="I57" s="4" t="s">
        <v>16</v>
      </c>
    </row>
    <row r="58" spans="1:10" ht="14" customHeight="1">
      <c r="A58" s="4">
        <v>29</v>
      </c>
      <c r="B58" s="4" t="s">
        <v>223</v>
      </c>
      <c r="C58" s="4" t="s">
        <v>224</v>
      </c>
      <c r="D58" s="4" t="s">
        <v>220</v>
      </c>
      <c r="E58" s="4" t="s">
        <v>225</v>
      </c>
      <c r="F58" s="4" t="e">
        <v>#VALUE!</v>
      </c>
      <c r="G58" s="4" t="e">
        <v>#VALUE!</v>
      </c>
      <c r="H58" s="4" t="s">
        <v>224</v>
      </c>
      <c r="I58" s="4" t="s">
        <v>16</v>
      </c>
    </row>
    <row r="59" spans="1:10" ht="14" customHeight="1">
      <c r="A59" s="4">
        <v>28</v>
      </c>
      <c r="B59" s="4" t="s">
        <v>226</v>
      </c>
      <c r="C59" s="4" t="s">
        <v>187</v>
      </c>
      <c r="D59" s="4" t="s">
        <v>220</v>
      </c>
      <c r="E59" s="4" t="s">
        <v>227</v>
      </c>
      <c r="F59" s="4" t="s">
        <v>228</v>
      </c>
      <c r="G59" s="4">
        <v>207</v>
      </c>
      <c r="H59" s="4" t="s">
        <v>187</v>
      </c>
      <c r="I59" s="4" t="s">
        <v>16</v>
      </c>
    </row>
    <row r="60" spans="1:10" ht="14" customHeight="1">
      <c r="A60" s="4">
        <v>27</v>
      </c>
      <c r="B60" s="4" t="s">
        <v>229</v>
      </c>
      <c r="C60" s="4" t="s">
        <v>230</v>
      </c>
      <c r="D60" s="4" t="s">
        <v>220</v>
      </c>
      <c r="E60" s="4" t="s">
        <v>231</v>
      </c>
      <c r="F60" s="4" t="e">
        <v>#VALUE!</v>
      </c>
      <c r="G60" s="4" t="e">
        <v>#VALUE!</v>
      </c>
      <c r="H60" s="4" t="s">
        <v>230</v>
      </c>
      <c r="I60" s="4" t="s">
        <v>16</v>
      </c>
    </row>
    <row r="61" spans="1:10" ht="14" customHeight="1">
      <c r="A61" s="4">
        <v>26</v>
      </c>
      <c r="B61" s="4" t="s">
        <v>232</v>
      </c>
      <c r="C61" s="4" t="s">
        <v>233</v>
      </c>
      <c r="D61" s="4" t="s">
        <v>220</v>
      </c>
      <c r="E61" s="4" t="s">
        <v>234</v>
      </c>
      <c r="F61" s="4" t="s">
        <v>235</v>
      </c>
      <c r="G61" s="4">
        <v>207</v>
      </c>
      <c r="H61" s="4" t="s">
        <v>233</v>
      </c>
      <c r="I61" s="4" t="s">
        <v>16</v>
      </c>
    </row>
    <row r="62" spans="1:10" ht="14" customHeight="1">
      <c r="A62" s="4">
        <v>25</v>
      </c>
      <c r="B62" s="4" t="s">
        <v>236</v>
      </c>
      <c r="C62" s="4" t="s">
        <v>237</v>
      </c>
      <c r="D62" s="4" t="s">
        <v>220</v>
      </c>
      <c r="E62" s="4" t="s">
        <v>238</v>
      </c>
      <c r="F62" s="4" t="s">
        <v>222</v>
      </c>
      <c r="G62" s="4">
        <v>217</v>
      </c>
      <c r="H62" s="4" t="s">
        <v>237</v>
      </c>
      <c r="I62" s="4" t="s">
        <v>16</v>
      </c>
    </row>
    <row r="63" spans="1:10" ht="14" customHeight="1">
      <c r="A63" s="4">
        <v>24</v>
      </c>
      <c r="B63" s="4" t="s">
        <v>239</v>
      </c>
      <c r="C63" s="4" t="s">
        <v>240</v>
      </c>
      <c r="D63" s="4" t="s">
        <v>220</v>
      </c>
      <c r="E63" s="4" t="s">
        <v>241</v>
      </c>
      <c r="F63" s="4" t="s">
        <v>242</v>
      </c>
      <c r="G63" s="4">
        <v>228</v>
      </c>
      <c r="H63" s="4" t="s">
        <v>243</v>
      </c>
      <c r="I63" s="4" t="s">
        <v>16</v>
      </c>
      <c r="J63" s="4" t="s">
        <v>17</v>
      </c>
    </row>
    <row r="64" spans="1:10" ht="14" customHeight="1">
      <c r="A64" s="4">
        <v>23</v>
      </c>
      <c r="B64" s="4" t="s">
        <v>244</v>
      </c>
      <c r="C64" s="4" t="s">
        <v>245</v>
      </c>
      <c r="D64" s="4" t="s">
        <v>220</v>
      </c>
      <c r="E64" s="4" t="s">
        <v>246</v>
      </c>
      <c r="F64" s="4" t="s">
        <v>247</v>
      </c>
      <c r="G64" s="4">
        <v>166</v>
      </c>
      <c r="H64" s="4" t="s">
        <v>245</v>
      </c>
      <c r="I64" s="4" t="s">
        <v>16</v>
      </c>
    </row>
    <row r="65" spans="1:11" ht="14" customHeight="1">
      <c r="A65" s="4">
        <v>22</v>
      </c>
      <c r="B65" s="4" t="s">
        <v>248</v>
      </c>
      <c r="C65" s="4" t="s">
        <v>73</v>
      </c>
      <c r="D65" s="4" t="s">
        <v>220</v>
      </c>
      <c r="E65" s="4" t="s">
        <v>249</v>
      </c>
      <c r="F65" s="4" t="s">
        <v>250</v>
      </c>
      <c r="G65" s="4">
        <v>171</v>
      </c>
      <c r="H65" s="4" t="s">
        <v>73</v>
      </c>
      <c r="I65" s="4" t="s">
        <v>16</v>
      </c>
    </row>
    <row r="66" spans="1:11" ht="14" customHeight="1">
      <c r="A66" s="4">
        <v>21</v>
      </c>
      <c r="B66" s="4" t="s">
        <v>251</v>
      </c>
      <c r="C66" s="4" t="s">
        <v>73</v>
      </c>
      <c r="D66" s="4" t="s">
        <v>252</v>
      </c>
      <c r="E66" s="4" t="s">
        <v>253</v>
      </c>
      <c r="F66" s="4" t="s">
        <v>254</v>
      </c>
      <c r="G66" s="4">
        <v>137</v>
      </c>
      <c r="H66" s="4" t="s">
        <v>73</v>
      </c>
      <c r="I66" s="4" t="s">
        <v>16</v>
      </c>
    </row>
    <row r="67" spans="1:11" ht="14" customHeight="1">
      <c r="A67" s="4">
        <v>20</v>
      </c>
      <c r="B67" s="4" t="s">
        <v>255</v>
      </c>
      <c r="C67" s="4" t="s">
        <v>73</v>
      </c>
      <c r="D67" s="4" t="s">
        <v>45</v>
      </c>
      <c r="E67" s="4" t="s">
        <v>256</v>
      </c>
      <c r="F67" s="4" t="s">
        <v>257</v>
      </c>
      <c r="G67" s="4">
        <v>128</v>
      </c>
      <c r="H67" s="4" t="s">
        <v>73</v>
      </c>
      <c r="I67" s="4" t="s">
        <v>16</v>
      </c>
    </row>
    <row r="68" spans="1:11" ht="14" customHeight="1">
      <c r="A68" s="4">
        <v>19</v>
      </c>
      <c r="B68" s="4" t="s">
        <v>258</v>
      </c>
      <c r="C68" s="4" t="s">
        <v>237</v>
      </c>
      <c r="D68" s="4" t="s">
        <v>67</v>
      </c>
      <c r="E68" s="4" t="s">
        <v>259</v>
      </c>
      <c r="F68" s="4" t="s">
        <v>260</v>
      </c>
      <c r="G68" s="4">
        <v>188</v>
      </c>
      <c r="H68" s="4" t="s">
        <v>237</v>
      </c>
      <c r="I68" s="4" t="s">
        <v>16</v>
      </c>
    </row>
    <row r="69" spans="1:11" ht="14" customHeight="1">
      <c r="A69" s="4">
        <v>18</v>
      </c>
      <c r="B69" s="4" t="s">
        <v>261</v>
      </c>
      <c r="C69" s="4" t="s">
        <v>73</v>
      </c>
      <c r="D69" s="4" t="s">
        <v>262</v>
      </c>
      <c r="E69" s="4" t="s">
        <v>263</v>
      </c>
      <c r="F69" s="4" t="s">
        <v>264</v>
      </c>
      <c r="G69" s="4">
        <v>111</v>
      </c>
      <c r="H69" s="4" t="s">
        <v>73</v>
      </c>
      <c r="I69" s="4" t="s">
        <v>16</v>
      </c>
    </row>
    <row r="70" spans="1:11" ht="14" customHeight="1">
      <c r="A70" s="4">
        <v>17</v>
      </c>
      <c r="B70" s="4" t="s">
        <v>265</v>
      </c>
      <c r="C70" s="4" t="s">
        <v>73</v>
      </c>
      <c r="D70" s="4" t="s">
        <v>266</v>
      </c>
      <c r="E70" s="4" t="s">
        <v>267</v>
      </c>
      <c r="F70" s="4" t="s">
        <v>268</v>
      </c>
      <c r="G70" s="4">
        <v>121</v>
      </c>
      <c r="H70" s="4" t="s">
        <v>73</v>
      </c>
      <c r="I70" s="4" t="s">
        <v>16</v>
      </c>
    </row>
    <row r="71" spans="1:11" ht="14" customHeight="1">
      <c r="A71" s="4">
        <v>16</v>
      </c>
      <c r="B71" s="4" t="s">
        <v>269</v>
      </c>
      <c r="C71" s="4" t="s">
        <v>270</v>
      </c>
      <c r="D71" s="4" t="s">
        <v>78</v>
      </c>
      <c r="E71" s="4" t="s">
        <v>271</v>
      </c>
      <c r="F71" s="4" t="s">
        <v>272</v>
      </c>
      <c r="G71" s="4">
        <v>153</v>
      </c>
      <c r="H71" s="4" t="s">
        <v>270</v>
      </c>
      <c r="I71" s="4" t="s">
        <v>16</v>
      </c>
    </row>
    <row r="72" spans="1:11" ht="14" customHeight="1">
      <c r="A72" s="4">
        <v>15</v>
      </c>
      <c r="B72" s="4" t="s">
        <v>273</v>
      </c>
      <c r="C72" s="4" t="s">
        <v>274</v>
      </c>
      <c r="D72" s="4" t="s">
        <v>78</v>
      </c>
      <c r="E72" s="4" t="s">
        <v>275</v>
      </c>
      <c r="F72" s="4" t="e">
        <v>#VALUE!</v>
      </c>
      <c r="G72" s="4" t="e">
        <v>#VALUE!</v>
      </c>
      <c r="H72" s="4" t="s">
        <v>274</v>
      </c>
      <c r="I72" s="4" t="s">
        <v>16</v>
      </c>
    </row>
    <row r="73" spans="1:11" ht="14" customHeight="1">
      <c r="A73" s="4">
        <v>14</v>
      </c>
      <c r="B73" s="4" t="s">
        <v>276</v>
      </c>
      <c r="C73" s="4" t="s">
        <v>277</v>
      </c>
      <c r="D73" s="4" t="s">
        <v>78</v>
      </c>
      <c r="E73" s="4" t="s">
        <v>278</v>
      </c>
      <c r="F73" s="4" t="s">
        <v>279</v>
      </c>
      <c r="G73" s="4">
        <v>176</v>
      </c>
      <c r="H73" s="4" t="s">
        <v>277</v>
      </c>
      <c r="I73" s="4" t="s">
        <v>16</v>
      </c>
    </row>
    <row r="74" spans="1:11" ht="14" customHeight="1">
      <c r="A74" s="4">
        <v>13</v>
      </c>
      <c r="B74" s="4" t="s">
        <v>280</v>
      </c>
      <c r="C74" s="4" t="s">
        <v>281</v>
      </c>
      <c r="D74" s="4" t="s">
        <v>78</v>
      </c>
      <c r="E74" s="4" t="s">
        <v>282</v>
      </c>
      <c r="F74" s="4" t="s">
        <v>283</v>
      </c>
      <c r="G74" s="4">
        <v>127</v>
      </c>
      <c r="H74" s="4" t="s">
        <v>281</v>
      </c>
      <c r="I74" s="4" t="s">
        <v>16</v>
      </c>
    </row>
    <row r="75" spans="1:11" ht="14" customHeight="1">
      <c r="A75" s="4">
        <v>12</v>
      </c>
      <c r="B75" s="4" t="s">
        <v>284</v>
      </c>
      <c r="C75" s="4" t="s">
        <v>285</v>
      </c>
      <c r="D75" s="4" t="s">
        <v>78</v>
      </c>
      <c r="E75" s="4" t="s">
        <v>286</v>
      </c>
      <c r="F75" s="4" t="s">
        <v>287</v>
      </c>
      <c r="G75" s="4">
        <v>105</v>
      </c>
      <c r="H75" s="4" t="s">
        <v>288</v>
      </c>
      <c r="I75" s="4" t="s">
        <v>16</v>
      </c>
      <c r="J75" s="4" t="s">
        <v>289</v>
      </c>
    </row>
    <row r="76" spans="1:11" ht="14" customHeight="1">
      <c r="A76" s="4">
        <v>11</v>
      </c>
      <c r="B76" s="4" t="s">
        <v>290</v>
      </c>
      <c r="C76" s="4" t="s">
        <v>291</v>
      </c>
      <c r="D76" s="4" t="s">
        <v>78</v>
      </c>
      <c r="E76" s="4" t="s">
        <v>292</v>
      </c>
      <c r="F76" s="4" t="s">
        <v>293</v>
      </c>
      <c r="G76" s="4">
        <v>130</v>
      </c>
      <c r="H76" s="4" t="s">
        <v>294</v>
      </c>
      <c r="I76" s="4" t="s">
        <v>16</v>
      </c>
      <c r="J76" s="4" t="s">
        <v>295</v>
      </c>
      <c r="K76" s="4" t="s">
        <v>296</v>
      </c>
    </row>
    <row r="77" spans="1:11" ht="14" customHeight="1">
      <c r="A77" s="4">
        <v>10</v>
      </c>
      <c r="B77" s="4" t="s">
        <v>297</v>
      </c>
      <c r="C77" s="4" t="s">
        <v>73</v>
      </c>
      <c r="D77" s="4" t="s">
        <v>78</v>
      </c>
      <c r="E77" s="4" t="s">
        <v>298</v>
      </c>
      <c r="F77" s="4" t="s">
        <v>293</v>
      </c>
      <c r="G77" s="4">
        <v>105</v>
      </c>
      <c r="H77" s="4" t="s">
        <v>73</v>
      </c>
      <c r="I77" s="4" t="s">
        <v>16</v>
      </c>
    </row>
    <row r="78" spans="1:11" ht="14" customHeight="1">
      <c r="A78" s="4">
        <v>9</v>
      </c>
      <c r="B78" s="4" t="s">
        <v>299</v>
      </c>
      <c r="C78" s="4" t="s">
        <v>300</v>
      </c>
      <c r="D78" s="4" t="s">
        <v>78</v>
      </c>
      <c r="E78" s="4" t="s">
        <v>301</v>
      </c>
      <c r="F78" s="4" t="s">
        <v>302</v>
      </c>
      <c r="G78" s="4">
        <v>158</v>
      </c>
      <c r="H78" s="4" t="s">
        <v>303</v>
      </c>
      <c r="I78" s="4" t="s">
        <v>16</v>
      </c>
      <c r="J78" s="4" t="s">
        <v>17</v>
      </c>
      <c r="K78" s="4" t="s">
        <v>86</v>
      </c>
    </row>
    <row r="79" spans="1:11" ht="14" customHeight="1">
      <c r="A79" s="4">
        <v>8</v>
      </c>
      <c r="B79" s="4" t="s">
        <v>304</v>
      </c>
      <c r="C79" s="4" t="s">
        <v>73</v>
      </c>
      <c r="D79" s="4" t="s">
        <v>83</v>
      </c>
      <c r="E79" s="4" t="s">
        <v>305</v>
      </c>
      <c r="F79" s="4" t="s">
        <v>306</v>
      </c>
      <c r="G79" s="4">
        <v>110</v>
      </c>
      <c r="H79" s="4" t="s">
        <v>73</v>
      </c>
      <c r="I79" s="4" t="s">
        <v>16</v>
      </c>
    </row>
    <row r="80" spans="1:11" ht="14" customHeight="1">
      <c r="A80" s="4">
        <v>7</v>
      </c>
      <c r="B80" s="4" t="s">
        <v>307</v>
      </c>
      <c r="C80" s="4" t="s">
        <v>270</v>
      </c>
      <c r="D80" s="4" t="s">
        <v>83</v>
      </c>
      <c r="E80" s="4" t="s">
        <v>308</v>
      </c>
      <c r="F80" s="4" t="e">
        <v>#VALUE!</v>
      </c>
      <c r="G80" s="4" t="e">
        <v>#VALUE!</v>
      </c>
      <c r="H80" s="4" t="s">
        <v>270</v>
      </c>
      <c r="I80" s="4" t="s">
        <v>16</v>
      </c>
    </row>
    <row r="81" spans="1:11" ht="14" customHeight="1">
      <c r="A81" s="4">
        <v>6</v>
      </c>
      <c r="B81" s="4" t="s">
        <v>309</v>
      </c>
      <c r="C81" s="4" t="s">
        <v>310</v>
      </c>
      <c r="D81" s="4" t="s">
        <v>83</v>
      </c>
      <c r="E81" s="4" t="e">
        <v>#VALUE!</v>
      </c>
      <c r="F81" s="4" t="e">
        <v>#VALUE!</v>
      </c>
      <c r="G81" s="4" t="e">
        <v>#VALUE!</v>
      </c>
      <c r="H81" s="4" t="s">
        <v>310</v>
      </c>
      <c r="I81" s="4" t="s">
        <v>16</v>
      </c>
    </row>
    <row r="82" spans="1:11" ht="14" customHeight="1">
      <c r="A82" s="4">
        <v>5</v>
      </c>
      <c r="B82" s="4" t="s">
        <v>311</v>
      </c>
      <c r="C82" s="4" t="s">
        <v>95</v>
      </c>
      <c r="D82" s="4" t="s">
        <v>83</v>
      </c>
      <c r="E82" s="4" t="s">
        <v>312</v>
      </c>
      <c r="F82" s="4" t="e">
        <v>#VALUE!</v>
      </c>
      <c r="G82" s="4" t="e">
        <v>#VALUE!</v>
      </c>
      <c r="H82" s="4" t="s">
        <v>97</v>
      </c>
      <c r="I82" s="4" t="s">
        <v>16</v>
      </c>
      <c r="J82" s="4" t="s">
        <v>71</v>
      </c>
    </row>
    <row r="83" spans="1:11" ht="14" customHeight="1">
      <c r="A83" s="4">
        <v>4</v>
      </c>
      <c r="B83" s="4" t="s">
        <v>313</v>
      </c>
      <c r="C83" s="4" t="s">
        <v>314</v>
      </c>
      <c r="D83" s="4" t="s">
        <v>99</v>
      </c>
      <c r="E83" s="4" t="s">
        <v>315</v>
      </c>
      <c r="F83" s="4" t="s">
        <v>316</v>
      </c>
      <c r="G83" s="4">
        <v>120</v>
      </c>
      <c r="H83" s="4" t="s">
        <v>314</v>
      </c>
      <c r="I83" s="4" t="s">
        <v>16</v>
      </c>
      <c r="J83" s="4" t="s">
        <v>317</v>
      </c>
    </row>
    <row r="84" spans="1:11" ht="14" customHeight="1">
      <c r="A84" s="4">
        <v>3</v>
      </c>
      <c r="B84" s="4" t="s">
        <v>318</v>
      </c>
      <c r="C84" s="4" t="s">
        <v>319</v>
      </c>
      <c r="D84" s="4" t="s">
        <v>320</v>
      </c>
      <c r="E84" s="4" t="s">
        <v>321</v>
      </c>
      <c r="F84" s="4" t="e">
        <v>#VALUE!</v>
      </c>
      <c r="G84" s="4" t="e">
        <v>#VALUE!</v>
      </c>
      <c r="H84" s="4" t="s">
        <v>322</v>
      </c>
      <c r="I84" s="4" t="s">
        <v>16</v>
      </c>
      <c r="J84" s="4" t="s">
        <v>86</v>
      </c>
      <c r="K84" s="4" t="s">
        <v>323</v>
      </c>
    </row>
    <row r="85" spans="1:11" ht="14" customHeight="1">
      <c r="A85" s="4">
        <v>2</v>
      </c>
      <c r="B85" s="4" t="s">
        <v>324</v>
      </c>
      <c r="C85" s="4" t="s">
        <v>325</v>
      </c>
      <c r="D85" s="4" t="s">
        <v>320</v>
      </c>
      <c r="E85" s="4" t="s">
        <v>326</v>
      </c>
      <c r="F85" s="4" t="s">
        <v>327</v>
      </c>
      <c r="G85" s="4">
        <v>146</v>
      </c>
      <c r="H85" s="4" t="s">
        <v>328</v>
      </c>
      <c r="I85" s="4" t="s">
        <v>16</v>
      </c>
      <c r="J85" s="4" t="s">
        <v>71</v>
      </c>
      <c r="K85" s="4" t="s">
        <v>329</v>
      </c>
    </row>
    <row r="86" spans="1:11" ht="14" customHeight="1">
      <c r="A86" s="4">
        <v>1</v>
      </c>
      <c r="B86" s="4" t="s">
        <v>330</v>
      </c>
      <c r="C86" s="4" t="s">
        <v>73</v>
      </c>
      <c r="D86" s="4" t="s">
        <v>331</v>
      </c>
      <c r="E86" s="4" t="s">
        <v>332</v>
      </c>
      <c r="F86" s="4" t="e">
        <v>#VALUE!</v>
      </c>
      <c r="G86" s="4" t="e">
        <v>#VALUE!</v>
      </c>
      <c r="H86" s="4" t="s">
        <v>73</v>
      </c>
      <c r="I86" s="4" t="s">
        <v>16</v>
      </c>
    </row>
    <row r="87" spans="1:11" s="5" customFormat="1" ht="14" customHeight="1">
      <c r="A87" s="5" t="s">
        <v>6</v>
      </c>
      <c r="B87" s="5" t="s">
        <v>333</v>
      </c>
      <c r="C87" s="5" t="e">
        <v>#VALUE!</v>
      </c>
      <c r="D87" s="5" t="e">
        <v>#VALUE!</v>
      </c>
      <c r="E87" s="5" t="e">
        <v>#VALUE!</v>
      </c>
      <c r="F87" s="5" t="e">
        <v>#VALUE!</v>
      </c>
      <c r="G87" s="5" t="e">
        <v>#VALUE!</v>
      </c>
      <c r="H87" s="5" t="e">
        <v>#VALUE!</v>
      </c>
      <c r="I87" s="5" t="s">
        <v>16</v>
      </c>
    </row>
    <row r="88" spans="1:11" s="5" customFormat="1" ht="14" customHeight="1">
      <c r="A88" s="5" t="s">
        <v>8</v>
      </c>
      <c r="B88" s="5" t="s">
        <v>334</v>
      </c>
      <c r="C88" s="5" t="e">
        <v>#VALUE!</v>
      </c>
      <c r="D88" s="5" t="e">
        <v>#VALUE!</v>
      </c>
      <c r="E88" s="5" t="e">
        <v>#VALUE!</v>
      </c>
      <c r="F88" s="5" t="e">
        <v>#VALUE!</v>
      </c>
      <c r="G88" s="5" t="e">
        <v>#VALUE!</v>
      </c>
      <c r="H88" s="5" t="e">
        <v>#VALUE!</v>
      </c>
      <c r="I88" s="5" t="s">
        <v>16</v>
      </c>
    </row>
    <row r="89" spans="1:11" ht="14" customHeight="1">
      <c r="A89" s="4">
        <v>9</v>
      </c>
      <c r="B89" s="4" t="s">
        <v>335</v>
      </c>
      <c r="C89" s="4" t="s">
        <v>73</v>
      </c>
      <c r="D89" s="4" t="s">
        <v>62</v>
      </c>
      <c r="E89" s="4" t="s">
        <v>336</v>
      </c>
      <c r="F89" s="4" t="e">
        <v>#VALUE!</v>
      </c>
      <c r="G89" s="4" t="e">
        <v>#VALUE!</v>
      </c>
      <c r="H89" s="4" t="s">
        <v>73</v>
      </c>
      <c r="I89" s="4" t="s">
        <v>16</v>
      </c>
    </row>
    <row r="90" spans="1:11" ht="14" customHeight="1">
      <c r="A90" s="4">
        <v>8</v>
      </c>
      <c r="B90" s="4" t="s">
        <v>337</v>
      </c>
      <c r="C90" s="4" t="s">
        <v>73</v>
      </c>
      <c r="D90" s="4" t="s">
        <v>62</v>
      </c>
      <c r="E90" s="4" t="s">
        <v>338</v>
      </c>
      <c r="F90" s="4" t="e">
        <v>#VALUE!</v>
      </c>
      <c r="G90" s="4" t="e">
        <v>#VALUE!</v>
      </c>
      <c r="H90" s="4" t="s">
        <v>73</v>
      </c>
      <c r="I90" s="4" t="s">
        <v>16</v>
      </c>
    </row>
    <row r="91" spans="1:11" ht="14" customHeight="1">
      <c r="A91" s="4">
        <v>7</v>
      </c>
      <c r="B91" s="4" t="s">
        <v>339</v>
      </c>
      <c r="C91" s="4" t="s">
        <v>73</v>
      </c>
      <c r="D91" s="4" t="s">
        <v>262</v>
      </c>
      <c r="E91" s="4" t="s">
        <v>340</v>
      </c>
      <c r="F91" s="4" t="e">
        <v>#VALUE!</v>
      </c>
      <c r="G91" s="4" t="e">
        <v>#VALUE!</v>
      </c>
      <c r="H91" s="4" t="s">
        <v>73</v>
      </c>
      <c r="I91" s="4" t="s">
        <v>16</v>
      </c>
    </row>
    <row r="92" spans="1:11" ht="14" customHeight="1">
      <c r="A92" s="4">
        <v>6</v>
      </c>
      <c r="B92" s="4" t="s">
        <v>341</v>
      </c>
      <c r="C92" s="4" t="s">
        <v>73</v>
      </c>
      <c r="D92" s="4" t="s">
        <v>89</v>
      </c>
      <c r="E92" s="4" t="s">
        <v>342</v>
      </c>
      <c r="F92" s="4" t="e">
        <v>#VALUE!</v>
      </c>
      <c r="G92" s="4" t="e">
        <v>#VALUE!</v>
      </c>
      <c r="H92" s="4" t="s">
        <v>73</v>
      </c>
      <c r="I92" s="4" t="s">
        <v>16</v>
      </c>
    </row>
    <row r="93" spans="1:11" ht="14" customHeight="1">
      <c r="A93" s="4">
        <v>5</v>
      </c>
      <c r="B93" s="4" t="s">
        <v>343</v>
      </c>
      <c r="C93" s="4" t="s">
        <v>73</v>
      </c>
      <c r="D93" s="4" t="s">
        <v>99</v>
      </c>
      <c r="E93" s="4" t="s">
        <v>342</v>
      </c>
      <c r="F93" s="4" t="e">
        <v>#VALUE!</v>
      </c>
      <c r="G93" s="4" t="e">
        <v>#VALUE!</v>
      </c>
      <c r="H93" s="4" t="s">
        <v>73</v>
      </c>
      <c r="I93" s="4" t="s">
        <v>16</v>
      </c>
    </row>
    <row r="94" spans="1:11" ht="14" customHeight="1">
      <c r="A94" s="4">
        <v>4</v>
      </c>
      <c r="B94" s="4" t="s">
        <v>344</v>
      </c>
      <c r="C94" s="4" t="s">
        <v>73</v>
      </c>
      <c r="D94" s="4" t="s">
        <v>345</v>
      </c>
      <c r="E94" s="4" t="s">
        <v>346</v>
      </c>
      <c r="F94" s="4" t="e">
        <v>#VALUE!</v>
      </c>
      <c r="G94" s="4" t="e">
        <v>#VALUE!</v>
      </c>
      <c r="H94" s="4" t="s">
        <v>73</v>
      </c>
      <c r="I94" s="4" t="s">
        <v>16</v>
      </c>
    </row>
    <row r="95" spans="1:11" ht="14" customHeight="1">
      <c r="A95" s="4">
        <v>3</v>
      </c>
      <c r="B95" s="4" t="s">
        <v>347</v>
      </c>
      <c r="C95" s="4" t="s">
        <v>73</v>
      </c>
      <c r="D95" s="4" t="s">
        <v>331</v>
      </c>
      <c r="E95" s="4" t="s">
        <v>348</v>
      </c>
      <c r="F95" s="4" t="e">
        <v>#VALUE!</v>
      </c>
      <c r="G95" s="4" t="e">
        <v>#VALUE!</v>
      </c>
      <c r="H95" s="4" t="s">
        <v>73</v>
      </c>
      <c r="I95" s="4" t="s">
        <v>16</v>
      </c>
    </row>
    <row r="96" spans="1:11" ht="14" customHeight="1">
      <c r="A96" s="4">
        <v>2</v>
      </c>
      <c r="B96" s="4" t="s">
        <v>349</v>
      </c>
      <c r="C96" s="4" t="s">
        <v>73</v>
      </c>
      <c r="D96" s="4" t="s">
        <v>350</v>
      </c>
      <c r="E96" s="4" t="s">
        <v>351</v>
      </c>
      <c r="F96" s="4" t="e">
        <v>#VALUE!</v>
      </c>
      <c r="G96" s="4" t="e">
        <v>#VALUE!</v>
      </c>
      <c r="H96" s="4" t="s">
        <v>73</v>
      </c>
      <c r="I96" s="4" t="s">
        <v>16</v>
      </c>
    </row>
    <row r="97" spans="1:10" ht="14" customHeight="1">
      <c r="A97" s="4">
        <v>1</v>
      </c>
      <c r="B97" s="4" t="s">
        <v>352</v>
      </c>
      <c r="C97" s="4" t="s">
        <v>353</v>
      </c>
      <c r="D97" s="4" t="s">
        <v>354</v>
      </c>
      <c r="E97" s="4" t="s">
        <v>355</v>
      </c>
      <c r="F97" s="4" t="e">
        <v>#VALUE!</v>
      </c>
      <c r="G97" s="4" t="e">
        <v>#VALUE!</v>
      </c>
      <c r="H97" s="4" t="s">
        <v>353</v>
      </c>
      <c r="I97" s="4" t="s">
        <v>16</v>
      </c>
    </row>
    <row r="98" spans="1:10" s="5" customFormat="1" ht="14" customHeight="1">
      <c r="A98" s="5" t="s">
        <v>8</v>
      </c>
      <c r="B98" s="5" t="s">
        <v>356</v>
      </c>
      <c r="C98" s="5" t="e">
        <v>#VALUE!</v>
      </c>
      <c r="D98" s="5" t="e">
        <v>#VALUE!</v>
      </c>
      <c r="E98" s="5" t="e">
        <v>#VALUE!</v>
      </c>
      <c r="F98" s="5" t="e">
        <v>#VALUE!</v>
      </c>
      <c r="G98" s="5" t="e">
        <v>#VALUE!</v>
      </c>
      <c r="H98" s="5" t="e">
        <v>#VALUE!</v>
      </c>
      <c r="I98" s="5" t="s">
        <v>16</v>
      </c>
    </row>
    <row r="99" spans="1:10" ht="14" customHeight="1">
      <c r="A99" s="4">
        <v>43</v>
      </c>
      <c r="B99" s="4" t="s">
        <v>357</v>
      </c>
      <c r="C99" s="4" t="s">
        <v>358</v>
      </c>
      <c r="D99" s="4" t="s">
        <v>104</v>
      </c>
      <c r="E99" s="4" t="s">
        <v>359</v>
      </c>
      <c r="F99" s="4" t="e">
        <v>#VALUE!</v>
      </c>
      <c r="G99" s="4" t="e">
        <v>#VALUE!</v>
      </c>
      <c r="H99" s="4" t="s">
        <v>358</v>
      </c>
      <c r="I99" s="4" t="s">
        <v>16</v>
      </c>
      <c r="J99" s="4" t="s">
        <v>217</v>
      </c>
    </row>
    <row r="100" spans="1:10" ht="14" customHeight="1">
      <c r="A100" s="4">
        <v>42</v>
      </c>
      <c r="B100" s="4" t="s">
        <v>360</v>
      </c>
      <c r="C100" s="4" t="s">
        <v>361</v>
      </c>
      <c r="D100" s="4" t="s">
        <v>12</v>
      </c>
      <c r="E100" s="4" t="s">
        <v>362</v>
      </c>
      <c r="F100" s="4" t="e">
        <v>#VALUE!</v>
      </c>
      <c r="G100" s="4" t="e">
        <v>#VALUE!</v>
      </c>
      <c r="H100" s="4" t="s">
        <v>361</v>
      </c>
      <c r="I100" s="4" t="s">
        <v>16</v>
      </c>
    </row>
    <row r="101" spans="1:10" ht="14" customHeight="1">
      <c r="A101" s="4">
        <v>41</v>
      </c>
      <c r="B101" s="4" t="s">
        <v>363</v>
      </c>
      <c r="C101" s="4" t="s">
        <v>190</v>
      </c>
      <c r="D101" s="4" t="s">
        <v>12</v>
      </c>
      <c r="E101" s="4" t="s">
        <v>364</v>
      </c>
      <c r="F101" s="4" t="e">
        <v>#VALUE!</v>
      </c>
      <c r="G101" s="4" t="e">
        <v>#VALUE!</v>
      </c>
      <c r="H101" s="4" t="s">
        <v>190</v>
      </c>
      <c r="I101" s="4" t="s">
        <v>16</v>
      </c>
    </row>
    <row r="102" spans="1:10" ht="14" customHeight="1">
      <c r="A102" s="4">
        <v>40</v>
      </c>
      <c r="B102" s="4" t="s">
        <v>365</v>
      </c>
      <c r="C102" s="4" t="s">
        <v>164</v>
      </c>
      <c r="D102" s="4" t="s">
        <v>12</v>
      </c>
      <c r="E102" s="4" t="s">
        <v>366</v>
      </c>
      <c r="F102" s="4" t="e">
        <v>#VALUE!</v>
      </c>
      <c r="G102" s="4" t="e">
        <v>#VALUE!</v>
      </c>
      <c r="H102" s="4" t="s">
        <v>164</v>
      </c>
      <c r="I102" s="4" t="s">
        <v>16</v>
      </c>
    </row>
    <row r="103" spans="1:10" ht="14" customHeight="1">
      <c r="A103" s="4">
        <v>39</v>
      </c>
      <c r="B103" s="4" t="s">
        <v>367</v>
      </c>
      <c r="C103" s="4" t="s">
        <v>368</v>
      </c>
      <c r="D103" s="4" t="s">
        <v>12</v>
      </c>
      <c r="E103" s="4" t="s">
        <v>369</v>
      </c>
      <c r="F103" s="4" t="e">
        <v>#VALUE!</v>
      </c>
      <c r="G103" s="4" t="e">
        <v>#VALUE!</v>
      </c>
      <c r="H103" s="4" t="s">
        <v>368</v>
      </c>
      <c r="I103" s="4" t="s">
        <v>16</v>
      </c>
    </row>
    <row r="104" spans="1:10" ht="14" customHeight="1">
      <c r="A104" s="4">
        <v>38</v>
      </c>
      <c r="B104" s="4" t="s">
        <v>370</v>
      </c>
      <c r="C104" s="4" t="s">
        <v>184</v>
      </c>
      <c r="D104" s="4" t="s">
        <v>12</v>
      </c>
      <c r="E104" s="4" t="s">
        <v>371</v>
      </c>
      <c r="F104" s="4" t="e">
        <v>#VALUE!</v>
      </c>
      <c r="G104" s="4" t="e">
        <v>#VALUE!</v>
      </c>
      <c r="H104" s="4" t="s">
        <v>184</v>
      </c>
      <c r="I104" s="4" t="s">
        <v>16</v>
      </c>
    </row>
    <row r="105" spans="1:10" ht="14" customHeight="1">
      <c r="A105" s="4">
        <v>37</v>
      </c>
      <c r="B105" s="4" t="s">
        <v>372</v>
      </c>
      <c r="C105" s="4" t="s">
        <v>215</v>
      </c>
      <c r="D105" s="4" t="s">
        <v>12</v>
      </c>
      <c r="E105" s="4" t="s">
        <v>373</v>
      </c>
      <c r="F105" s="4" t="e">
        <v>#VALUE!</v>
      </c>
      <c r="G105" s="4" t="e">
        <v>#VALUE!</v>
      </c>
      <c r="H105" s="4" t="s">
        <v>215</v>
      </c>
      <c r="I105" s="4" t="s">
        <v>16</v>
      </c>
      <c r="J105" s="4" t="s">
        <v>217</v>
      </c>
    </row>
    <row r="106" spans="1:10" ht="14" customHeight="1">
      <c r="A106" s="4">
        <v>36</v>
      </c>
      <c r="B106" s="4" t="s">
        <v>374</v>
      </c>
      <c r="C106" s="4" t="s">
        <v>184</v>
      </c>
      <c r="D106" s="4" t="s">
        <v>12</v>
      </c>
      <c r="E106" s="4" t="s">
        <v>375</v>
      </c>
      <c r="F106" s="4" t="e">
        <v>#VALUE!</v>
      </c>
      <c r="G106" s="4" t="e">
        <v>#VALUE!</v>
      </c>
      <c r="H106" s="4" t="s">
        <v>184</v>
      </c>
      <c r="I106" s="4" t="s">
        <v>16</v>
      </c>
    </row>
    <row r="107" spans="1:10" ht="14" customHeight="1">
      <c r="A107" s="4">
        <v>35</v>
      </c>
      <c r="B107" s="4" t="s">
        <v>376</v>
      </c>
      <c r="C107" s="4" t="s">
        <v>73</v>
      </c>
      <c r="D107" s="4" t="s">
        <v>12</v>
      </c>
      <c r="E107" s="4" t="s">
        <v>377</v>
      </c>
      <c r="F107" s="4" t="e">
        <v>#VALUE!</v>
      </c>
      <c r="G107" s="4" t="e">
        <v>#VALUE!</v>
      </c>
      <c r="H107" s="4" t="s">
        <v>73</v>
      </c>
      <c r="I107" s="4" t="s">
        <v>16</v>
      </c>
    </row>
    <row r="108" spans="1:10" ht="14" customHeight="1">
      <c r="A108" s="4">
        <v>34</v>
      </c>
      <c r="B108" s="4" t="s">
        <v>378</v>
      </c>
      <c r="C108" s="4" t="s">
        <v>184</v>
      </c>
      <c r="D108" s="4" t="s">
        <v>12</v>
      </c>
      <c r="E108" s="4" t="s">
        <v>379</v>
      </c>
      <c r="F108" s="4" t="e">
        <v>#VALUE!</v>
      </c>
      <c r="G108" s="4" t="e">
        <v>#VALUE!</v>
      </c>
      <c r="H108" s="4" t="s">
        <v>184</v>
      </c>
      <c r="I108" s="4" t="s">
        <v>16</v>
      </c>
    </row>
    <row r="109" spans="1:10" ht="14" customHeight="1">
      <c r="A109" s="4">
        <v>33</v>
      </c>
      <c r="B109" s="4" t="s">
        <v>380</v>
      </c>
      <c r="C109" s="4" t="s">
        <v>135</v>
      </c>
      <c r="D109" s="4" t="s">
        <v>12</v>
      </c>
      <c r="E109" s="4" t="s">
        <v>381</v>
      </c>
      <c r="F109" s="4" t="e">
        <v>#VALUE!</v>
      </c>
      <c r="G109" s="4" t="e">
        <v>#VALUE!</v>
      </c>
      <c r="H109" s="4" t="s">
        <v>138</v>
      </c>
      <c r="I109" s="4" t="s">
        <v>16</v>
      </c>
      <c r="J109" s="4" t="s">
        <v>17</v>
      </c>
    </row>
    <row r="110" spans="1:10" ht="14" customHeight="1">
      <c r="A110" s="4">
        <v>32</v>
      </c>
      <c r="B110" s="4" t="s">
        <v>382</v>
      </c>
      <c r="C110" s="4" t="s">
        <v>383</v>
      </c>
      <c r="D110" s="4" t="s">
        <v>131</v>
      </c>
      <c r="E110" s="4" t="s">
        <v>384</v>
      </c>
      <c r="F110" s="4" t="e">
        <v>#VALUE!</v>
      </c>
      <c r="G110" s="4" t="e">
        <v>#VALUE!</v>
      </c>
      <c r="H110" s="4" t="s">
        <v>383</v>
      </c>
      <c r="I110" s="4" t="s">
        <v>16</v>
      </c>
    </row>
    <row r="111" spans="1:10" ht="14" customHeight="1">
      <c r="A111" s="4">
        <v>31</v>
      </c>
      <c r="B111" s="4" t="s">
        <v>385</v>
      </c>
      <c r="C111" s="4" t="s">
        <v>190</v>
      </c>
      <c r="D111" s="4" t="s">
        <v>131</v>
      </c>
      <c r="E111" s="4" t="s">
        <v>386</v>
      </c>
      <c r="F111" s="4" t="e">
        <v>#VALUE!</v>
      </c>
      <c r="G111" s="4" t="e">
        <v>#VALUE!</v>
      </c>
      <c r="H111" s="4" t="s">
        <v>190</v>
      </c>
      <c r="I111" s="4" t="s">
        <v>16</v>
      </c>
    </row>
    <row r="112" spans="1:10" ht="14" customHeight="1">
      <c r="A112" s="4">
        <v>30</v>
      </c>
      <c r="B112" s="4" t="s">
        <v>387</v>
      </c>
      <c r="C112" s="4" t="s">
        <v>170</v>
      </c>
      <c r="D112" s="4" t="s">
        <v>131</v>
      </c>
      <c r="E112" s="4" t="s">
        <v>388</v>
      </c>
      <c r="F112" s="4" t="e">
        <v>#VALUE!</v>
      </c>
      <c r="G112" s="4" t="e">
        <v>#VALUE!</v>
      </c>
      <c r="H112" s="4" t="s">
        <v>170</v>
      </c>
      <c r="I112" s="4" t="s">
        <v>16</v>
      </c>
    </row>
    <row r="113" spans="1:10" ht="14" customHeight="1">
      <c r="A113" s="4">
        <v>29</v>
      </c>
      <c r="B113" s="4" t="s">
        <v>389</v>
      </c>
      <c r="C113" s="4" t="s">
        <v>390</v>
      </c>
      <c r="D113" s="4" t="s">
        <v>131</v>
      </c>
      <c r="E113" s="4" t="s">
        <v>391</v>
      </c>
      <c r="F113" s="4" t="e">
        <v>#VALUE!</v>
      </c>
      <c r="G113" s="4" t="e">
        <v>#VALUE!</v>
      </c>
      <c r="H113" s="4" t="s">
        <v>390</v>
      </c>
      <c r="I113" s="4" t="s">
        <v>16</v>
      </c>
    </row>
    <row r="114" spans="1:10" ht="14" customHeight="1">
      <c r="A114" s="4">
        <v>28</v>
      </c>
      <c r="B114" s="4" t="s">
        <v>392</v>
      </c>
      <c r="C114" s="4" t="s">
        <v>58</v>
      </c>
      <c r="D114" s="4" t="s">
        <v>131</v>
      </c>
      <c r="E114" s="4" t="s">
        <v>393</v>
      </c>
      <c r="F114" s="4" t="e">
        <v>#VALUE!</v>
      </c>
      <c r="G114" s="4" t="e">
        <v>#VALUE!</v>
      </c>
      <c r="H114" s="4" t="s">
        <v>58</v>
      </c>
      <c r="I114" s="4" t="s">
        <v>16</v>
      </c>
    </row>
    <row r="115" spans="1:10" ht="14" customHeight="1">
      <c r="A115" s="4">
        <v>27</v>
      </c>
      <c r="B115" s="4" t="s">
        <v>394</v>
      </c>
      <c r="C115" s="4" t="s">
        <v>135</v>
      </c>
      <c r="D115" s="4" t="s">
        <v>131</v>
      </c>
      <c r="E115" s="4" t="s">
        <v>395</v>
      </c>
      <c r="F115" s="4" t="e">
        <v>#VALUE!</v>
      </c>
      <c r="G115" s="4" t="e">
        <v>#VALUE!</v>
      </c>
      <c r="H115" s="4" t="s">
        <v>138</v>
      </c>
      <c r="I115" s="4" t="s">
        <v>16</v>
      </c>
      <c r="J115" s="4" t="s">
        <v>17</v>
      </c>
    </row>
    <row r="116" spans="1:10" ht="14" customHeight="1">
      <c r="A116" s="4">
        <v>26</v>
      </c>
      <c r="B116" s="4" t="s">
        <v>396</v>
      </c>
      <c r="C116" s="4" t="s">
        <v>397</v>
      </c>
      <c r="D116" s="4" t="s">
        <v>131</v>
      </c>
      <c r="E116" s="4" t="s">
        <v>398</v>
      </c>
      <c r="F116" s="4" t="e">
        <v>#VALUE!</v>
      </c>
      <c r="G116" s="4" t="e">
        <v>#VALUE!</v>
      </c>
      <c r="H116" s="4" t="s">
        <v>397</v>
      </c>
      <c r="I116" s="4" t="s">
        <v>16</v>
      </c>
    </row>
    <row r="117" spans="1:10" ht="14" customHeight="1">
      <c r="A117" s="4">
        <v>25</v>
      </c>
      <c r="B117" s="4" t="s">
        <v>399</v>
      </c>
      <c r="C117" s="4" t="s">
        <v>73</v>
      </c>
      <c r="D117" s="4" t="s">
        <v>131</v>
      </c>
      <c r="E117" s="4" t="s">
        <v>400</v>
      </c>
      <c r="F117" s="4" t="e">
        <v>#VALUE!</v>
      </c>
      <c r="G117" s="4" t="e">
        <v>#VALUE!</v>
      </c>
      <c r="H117" s="4" t="s">
        <v>73</v>
      </c>
      <c r="I117" s="4" t="s">
        <v>16</v>
      </c>
    </row>
    <row r="118" spans="1:10" ht="14" customHeight="1">
      <c r="A118" s="4">
        <v>24</v>
      </c>
      <c r="B118" s="4" t="s">
        <v>401</v>
      </c>
      <c r="C118" s="4" t="s">
        <v>402</v>
      </c>
      <c r="D118" s="4" t="s">
        <v>131</v>
      </c>
      <c r="E118" s="4" t="s">
        <v>403</v>
      </c>
      <c r="F118" s="4" t="e">
        <v>#VALUE!</v>
      </c>
      <c r="G118" s="4" t="e">
        <v>#VALUE!</v>
      </c>
      <c r="H118" s="4" t="s">
        <v>402</v>
      </c>
      <c r="I118" s="4" t="s">
        <v>16</v>
      </c>
    </row>
    <row r="119" spans="1:10" ht="14" customHeight="1">
      <c r="A119" s="4">
        <v>23</v>
      </c>
      <c r="B119" s="4" t="s">
        <v>404</v>
      </c>
      <c r="C119" s="4" t="s">
        <v>405</v>
      </c>
      <c r="D119" s="4" t="s">
        <v>131</v>
      </c>
      <c r="E119" s="4" t="s">
        <v>406</v>
      </c>
      <c r="F119" s="4" t="e">
        <v>#VALUE!</v>
      </c>
      <c r="G119" s="4" t="e">
        <v>#VALUE!</v>
      </c>
      <c r="H119" s="4" t="s">
        <v>405</v>
      </c>
      <c r="I119" s="4" t="s">
        <v>16</v>
      </c>
    </row>
    <row r="120" spans="1:10" ht="14" customHeight="1">
      <c r="A120" s="4">
        <v>22</v>
      </c>
      <c r="B120" s="4" t="s">
        <v>407</v>
      </c>
      <c r="C120" s="4" t="s">
        <v>187</v>
      </c>
      <c r="D120" s="4" t="s">
        <v>202</v>
      </c>
      <c r="E120" s="4" t="s">
        <v>408</v>
      </c>
      <c r="F120" s="4" t="e">
        <v>#VALUE!</v>
      </c>
      <c r="G120" s="4" t="e">
        <v>#VALUE!</v>
      </c>
      <c r="H120" s="4" t="s">
        <v>187</v>
      </c>
      <c r="I120" s="4" t="s">
        <v>16</v>
      </c>
    </row>
    <row r="121" spans="1:10" ht="14" customHeight="1">
      <c r="A121" s="4">
        <v>21</v>
      </c>
      <c r="B121" s="4" t="s">
        <v>409</v>
      </c>
      <c r="C121" s="4" t="s">
        <v>410</v>
      </c>
      <c r="D121" s="4" t="s">
        <v>202</v>
      </c>
      <c r="E121" s="4" t="s">
        <v>411</v>
      </c>
      <c r="F121" s="4" t="e">
        <v>#VALUE!</v>
      </c>
      <c r="G121" s="4" t="e">
        <v>#VALUE!</v>
      </c>
      <c r="H121" s="4" t="s">
        <v>410</v>
      </c>
      <c r="I121" s="4" t="s">
        <v>16</v>
      </c>
    </row>
    <row r="122" spans="1:10" ht="14" customHeight="1">
      <c r="A122" s="4">
        <v>20</v>
      </c>
      <c r="B122" s="4" t="s">
        <v>412</v>
      </c>
      <c r="C122" s="4" t="s">
        <v>413</v>
      </c>
      <c r="D122" s="4" t="s">
        <v>220</v>
      </c>
      <c r="E122" s="4" t="s">
        <v>414</v>
      </c>
      <c r="F122" s="4" t="e">
        <v>#VALUE!</v>
      </c>
      <c r="G122" s="4" t="e">
        <v>#VALUE!</v>
      </c>
      <c r="H122" s="4" t="s">
        <v>413</v>
      </c>
      <c r="I122" s="4" t="s">
        <v>16</v>
      </c>
    </row>
    <row r="123" spans="1:10" ht="14" customHeight="1">
      <c r="A123" s="4">
        <v>19</v>
      </c>
      <c r="B123" s="4" t="s">
        <v>415</v>
      </c>
      <c r="C123" s="4" t="s">
        <v>416</v>
      </c>
      <c r="D123" s="4" t="s">
        <v>220</v>
      </c>
      <c r="E123" s="4" t="s">
        <v>417</v>
      </c>
      <c r="F123" s="4" t="e">
        <v>#VALUE!</v>
      </c>
      <c r="G123" s="4" t="e">
        <v>#VALUE!</v>
      </c>
      <c r="H123" s="4" t="s">
        <v>416</v>
      </c>
      <c r="I123" s="4" t="s">
        <v>16</v>
      </c>
    </row>
    <row r="124" spans="1:10" ht="14" customHeight="1">
      <c r="A124" s="4">
        <v>18</v>
      </c>
      <c r="B124" s="4" t="s">
        <v>418</v>
      </c>
      <c r="C124" s="4" t="s">
        <v>230</v>
      </c>
      <c r="D124" s="4" t="s">
        <v>220</v>
      </c>
      <c r="E124" s="4" t="s">
        <v>419</v>
      </c>
      <c r="F124" s="4" t="e">
        <v>#VALUE!</v>
      </c>
      <c r="G124" s="4" t="e">
        <v>#VALUE!</v>
      </c>
      <c r="H124" s="4" t="s">
        <v>230</v>
      </c>
      <c r="I124" s="4" t="s">
        <v>16</v>
      </c>
    </row>
    <row r="125" spans="1:10" ht="14" customHeight="1">
      <c r="A125" s="4">
        <v>17</v>
      </c>
      <c r="B125" s="4" t="s">
        <v>420</v>
      </c>
      <c r="C125" s="4" t="s">
        <v>233</v>
      </c>
      <c r="D125" s="4" t="s">
        <v>220</v>
      </c>
      <c r="E125" s="4" t="s">
        <v>421</v>
      </c>
      <c r="F125" s="4" t="e">
        <v>#VALUE!</v>
      </c>
      <c r="G125" s="4" t="e">
        <v>#VALUE!</v>
      </c>
      <c r="H125" s="4" t="s">
        <v>233</v>
      </c>
      <c r="I125" s="4" t="s">
        <v>16</v>
      </c>
    </row>
    <row r="126" spans="1:10" ht="14" customHeight="1">
      <c r="A126" s="4">
        <v>16</v>
      </c>
      <c r="B126" s="4" t="s">
        <v>422</v>
      </c>
      <c r="C126" s="4" t="s">
        <v>423</v>
      </c>
      <c r="D126" s="4" t="s">
        <v>23</v>
      </c>
      <c r="E126" s="4" t="s">
        <v>424</v>
      </c>
      <c r="F126" s="4" t="e">
        <v>#VALUE!</v>
      </c>
      <c r="G126" s="4" t="e">
        <v>#VALUE!</v>
      </c>
      <c r="H126" s="4" t="s">
        <v>423</v>
      </c>
      <c r="I126" s="4" t="s">
        <v>16</v>
      </c>
    </row>
    <row r="127" spans="1:10" ht="14" customHeight="1">
      <c r="A127" s="4">
        <v>15</v>
      </c>
      <c r="B127" s="4" t="s">
        <v>425</v>
      </c>
      <c r="C127" s="4" t="s">
        <v>423</v>
      </c>
      <c r="D127" s="4" t="s">
        <v>23</v>
      </c>
      <c r="E127" s="4" t="s">
        <v>426</v>
      </c>
      <c r="F127" s="4" t="e">
        <v>#VALUE!</v>
      </c>
      <c r="G127" s="4" t="e">
        <v>#VALUE!</v>
      </c>
      <c r="H127" s="4" t="s">
        <v>423</v>
      </c>
      <c r="I127" s="4" t="s">
        <v>16</v>
      </c>
    </row>
    <row r="128" spans="1:10" ht="14" customHeight="1">
      <c r="A128" s="4">
        <v>14</v>
      </c>
      <c r="B128" s="4" t="s">
        <v>427</v>
      </c>
      <c r="C128" s="4" t="s">
        <v>402</v>
      </c>
      <c r="D128" s="4" t="s">
        <v>23</v>
      </c>
      <c r="E128" s="4" t="s">
        <v>428</v>
      </c>
      <c r="F128" s="4" t="e">
        <v>#VALUE!</v>
      </c>
      <c r="G128" s="4" t="e">
        <v>#VALUE!</v>
      </c>
      <c r="H128" s="4" t="s">
        <v>402</v>
      </c>
      <c r="I128" s="4" t="s">
        <v>16</v>
      </c>
    </row>
    <row r="129" spans="1:12" ht="14" customHeight="1">
      <c r="A129" s="4">
        <v>13</v>
      </c>
      <c r="B129" s="4" t="s">
        <v>429</v>
      </c>
      <c r="C129" s="4" t="s">
        <v>187</v>
      </c>
      <c r="D129" s="4" t="s">
        <v>252</v>
      </c>
      <c r="E129" s="4" t="s">
        <v>430</v>
      </c>
      <c r="F129" s="4" t="e">
        <v>#VALUE!</v>
      </c>
      <c r="G129" s="4" t="e">
        <v>#VALUE!</v>
      </c>
      <c r="H129" s="4" t="s">
        <v>187</v>
      </c>
      <c r="I129" s="4" t="s">
        <v>16</v>
      </c>
    </row>
    <row r="130" spans="1:12" ht="14" customHeight="1">
      <c r="A130" s="4">
        <v>12</v>
      </c>
      <c r="B130" s="4" t="s">
        <v>431</v>
      </c>
      <c r="C130" s="4" t="s">
        <v>432</v>
      </c>
      <c r="D130" s="4" t="s">
        <v>252</v>
      </c>
      <c r="E130" s="4" t="s">
        <v>28</v>
      </c>
      <c r="F130" s="4" t="e">
        <v>#VALUE!</v>
      </c>
      <c r="G130" s="4" t="e">
        <v>#VALUE!</v>
      </c>
      <c r="H130" s="4" t="s">
        <v>432</v>
      </c>
      <c r="I130" s="4" t="s">
        <v>16</v>
      </c>
    </row>
    <row r="131" spans="1:12" ht="14" customHeight="1">
      <c r="A131" s="4">
        <v>11</v>
      </c>
      <c r="B131" s="4" t="s">
        <v>433</v>
      </c>
      <c r="C131" s="4" t="s">
        <v>434</v>
      </c>
      <c r="D131" s="4" t="s">
        <v>67</v>
      </c>
      <c r="E131" s="4" t="e">
        <v>#VALUE!</v>
      </c>
      <c r="F131" s="4" t="e">
        <v>#VALUE!</v>
      </c>
      <c r="G131" s="4" t="e">
        <v>#VALUE!</v>
      </c>
      <c r="H131" s="4" t="s">
        <v>435</v>
      </c>
      <c r="I131" s="4" t="s">
        <v>16</v>
      </c>
      <c r="J131" s="4" t="s">
        <v>70</v>
      </c>
      <c r="K131" s="4" t="s">
        <v>17</v>
      </c>
      <c r="L131" s="4" t="s">
        <v>71</v>
      </c>
    </row>
    <row r="132" spans="1:12" ht="14" customHeight="1">
      <c r="A132" s="4">
        <v>10</v>
      </c>
      <c r="B132" s="4" t="s">
        <v>436</v>
      </c>
      <c r="C132" s="4" t="s">
        <v>237</v>
      </c>
      <c r="D132" s="4" t="s">
        <v>67</v>
      </c>
      <c r="E132" s="4" t="e">
        <v>#VALUE!</v>
      </c>
      <c r="F132" s="4" t="e">
        <v>#VALUE!</v>
      </c>
      <c r="G132" s="4" t="e">
        <v>#VALUE!</v>
      </c>
      <c r="H132" s="4" t="s">
        <v>237</v>
      </c>
      <c r="I132" s="4" t="s">
        <v>16</v>
      </c>
    </row>
    <row r="133" spans="1:12" ht="14" customHeight="1">
      <c r="A133" s="4">
        <v>9</v>
      </c>
      <c r="B133" s="4" t="s">
        <v>437</v>
      </c>
      <c r="C133" s="4" t="s">
        <v>237</v>
      </c>
      <c r="D133" s="4" t="s">
        <v>67</v>
      </c>
      <c r="E133" s="4" t="e">
        <v>#VALUE!</v>
      </c>
      <c r="F133" s="4" t="e">
        <v>#VALUE!</v>
      </c>
      <c r="G133" s="4" t="e">
        <v>#VALUE!</v>
      </c>
      <c r="H133" s="4" t="s">
        <v>237</v>
      </c>
      <c r="I133" s="4" t="s">
        <v>16</v>
      </c>
    </row>
    <row r="134" spans="1:12" ht="14" customHeight="1">
      <c r="A134" s="4">
        <v>8</v>
      </c>
      <c r="B134" s="4" t="s">
        <v>438</v>
      </c>
      <c r="C134" s="4" t="s">
        <v>237</v>
      </c>
      <c r="D134" s="4" t="s">
        <v>67</v>
      </c>
      <c r="E134" s="4" t="e">
        <v>#VALUE!</v>
      </c>
      <c r="F134" s="4" t="e">
        <v>#VALUE!</v>
      </c>
      <c r="G134" s="4" t="e">
        <v>#VALUE!</v>
      </c>
      <c r="H134" s="4" t="s">
        <v>237</v>
      </c>
      <c r="I134" s="4" t="s">
        <v>16</v>
      </c>
    </row>
    <row r="135" spans="1:12" ht="14" customHeight="1">
      <c r="A135" s="4">
        <v>7</v>
      </c>
      <c r="B135" s="4" t="s">
        <v>439</v>
      </c>
      <c r="C135" s="4" t="s">
        <v>440</v>
      </c>
      <c r="D135" s="4" t="s">
        <v>74</v>
      </c>
      <c r="E135" s="4" t="e">
        <v>#VALUE!</v>
      </c>
      <c r="F135" s="4" t="e">
        <v>#VALUE!</v>
      </c>
      <c r="G135" s="4" t="e">
        <v>#VALUE!</v>
      </c>
      <c r="H135" s="4" t="s">
        <v>440</v>
      </c>
      <c r="I135" s="4" t="s">
        <v>16</v>
      </c>
      <c r="J135" s="4" t="s">
        <v>441</v>
      </c>
    </row>
    <row r="136" spans="1:12" ht="14" customHeight="1">
      <c r="A136" s="4">
        <v>6</v>
      </c>
      <c r="B136" s="4" t="s">
        <v>442</v>
      </c>
      <c r="C136" s="4" t="s">
        <v>443</v>
      </c>
      <c r="D136" s="4" t="s">
        <v>74</v>
      </c>
      <c r="E136" s="4" t="s">
        <v>444</v>
      </c>
      <c r="F136" s="4" t="e">
        <v>#VALUE!</v>
      </c>
      <c r="G136" s="4" t="e">
        <v>#VALUE!</v>
      </c>
      <c r="H136" s="4" t="s">
        <v>443</v>
      </c>
      <c r="I136" s="4" t="s">
        <v>16</v>
      </c>
    </row>
    <row r="137" spans="1:12" ht="14" customHeight="1">
      <c r="A137" s="4">
        <v>5</v>
      </c>
      <c r="B137" s="4" t="s">
        <v>445</v>
      </c>
      <c r="C137" s="4" t="s">
        <v>446</v>
      </c>
      <c r="D137" s="4" t="s">
        <v>74</v>
      </c>
      <c r="E137" s="4" t="s">
        <v>447</v>
      </c>
      <c r="F137" s="4" t="e">
        <v>#VALUE!</v>
      </c>
      <c r="G137" s="4" t="e">
        <v>#VALUE!</v>
      </c>
      <c r="H137" s="4" t="s">
        <v>448</v>
      </c>
      <c r="I137" s="4" t="s">
        <v>16</v>
      </c>
      <c r="J137" s="4" t="s">
        <v>17</v>
      </c>
    </row>
    <row r="138" spans="1:12" ht="14" customHeight="1">
      <c r="A138" s="4">
        <v>4</v>
      </c>
      <c r="B138" s="4" t="s">
        <v>449</v>
      </c>
      <c r="C138" s="4" t="s">
        <v>73</v>
      </c>
      <c r="D138" s="4" t="s">
        <v>78</v>
      </c>
      <c r="E138" s="4" t="s">
        <v>450</v>
      </c>
      <c r="F138" s="4" t="e">
        <v>#VALUE!</v>
      </c>
      <c r="G138" s="4" t="e">
        <v>#VALUE!</v>
      </c>
      <c r="H138" s="4" t="s">
        <v>73</v>
      </c>
      <c r="I138" s="4" t="s">
        <v>16</v>
      </c>
    </row>
    <row r="139" spans="1:12" ht="14" customHeight="1">
      <c r="A139" s="4">
        <v>3</v>
      </c>
      <c r="B139" s="4" t="s">
        <v>451</v>
      </c>
      <c r="C139" s="4" t="s">
        <v>95</v>
      </c>
      <c r="D139" s="4" t="s">
        <v>99</v>
      </c>
      <c r="E139" s="4" t="s">
        <v>452</v>
      </c>
      <c r="F139" s="4" t="e">
        <v>#VALUE!</v>
      </c>
      <c r="G139" s="4" t="e">
        <v>#VALUE!</v>
      </c>
      <c r="H139" s="4" t="s">
        <v>97</v>
      </c>
      <c r="I139" s="4" t="s">
        <v>16</v>
      </c>
      <c r="J139" s="4" t="s">
        <v>71</v>
      </c>
    </row>
    <row r="140" spans="1:12" ht="14" customHeight="1">
      <c r="A140" s="4">
        <v>2</v>
      </c>
      <c r="B140" s="4" t="s">
        <v>453</v>
      </c>
      <c r="C140" s="4" t="s">
        <v>454</v>
      </c>
      <c r="D140" s="4" t="s">
        <v>320</v>
      </c>
      <c r="E140" s="4" t="s">
        <v>455</v>
      </c>
      <c r="F140" s="4" t="e">
        <v>#VALUE!</v>
      </c>
      <c r="G140" s="4" t="e">
        <v>#VALUE!</v>
      </c>
      <c r="H140" s="4" t="s">
        <v>454</v>
      </c>
      <c r="I140" s="4" t="s">
        <v>16</v>
      </c>
    </row>
    <row r="141" spans="1:12" ht="14" customHeight="1">
      <c r="A141" s="4">
        <v>1</v>
      </c>
      <c r="B141" s="4" t="s">
        <v>456</v>
      </c>
      <c r="C141" s="4" t="s">
        <v>454</v>
      </c>
      <c r="D141" s="4" t="s">
        <v>320</v>
      </c>
      <c r="E141" s="4" t="s">
        <v>457</v>
      </c>
      <c r="F141" s="4" t="e">
        <v>#VALUE!</v>
      </c>
      <c r="G141" s="4" t="e">
        <v>#VALUE!</v>
      </c>
      <c r="H141" s="4" t="s">
        <v>454</v>
      </c>
      <c r="I141" s="4" t="s">
        <v>16</v>
      </c>
    </row>
    <row r="142" spans="1:12" ht="14" customHeight="1">
      <c r="A142" s="4" t="s">
        <v>8</v>
      </c>
      <c r="B142" s="4" t="s">
        <v>458</v>
      </c>
      <c r="C142" s="4" t="e">
        <v>#VALUE!</v>
      </c>
      <c r="D142" s="4" t="e">
        <v>#VALUE!</v>
      </c>
      <c r="E142" s="4" t="e">
        <v>#VALUE!</v>
      </c>
      <c r="F142" s="4" t="e">
        <v>#VALUE!</v>
      </c>
      <c r="G142" s="4" t="e">
        <v>#VALUE!</v>
      </c>
      <c r="H142" s="4" t="e">
        <v>#VALUE!</v>
      </c>
      <c r="I142" s="4" t="s">
        <v>16</v>
      </c>
    </row>
    <row r="143" spans="1:12" ht="14" customHeight="1">
      <c r="A143" s="4">
        <v>5</v>
      </c>
      <c r="B143" s="4" t="s">
        <v>459</v>
      </c>
      <c r="C143" s="4" t="s">
        <v>73</v>
      </c>
      <c r="D143" s="4" t="s">
        <v>12</v>
      </c>
      <c r="E143" s="4" t="s">
        <v>460</v>
      </c>
      <c r="F143" s="4" t="e">
        <v>#VALUE!</v>
      </c>
      <c r="G143" s="4" t="e">
        <v>#VALUE!</v>
      </c>
      <c r="H143" s="4" t="s">
        <v>73</v>
      </c>
      <c r="I143" s="4" t="s">
        <v>16</v>
      </c>
    </row>
    <row r="144" spans="1:12" ht="14" customHeight="1">
      <c r="A144" s="4">
        <v>4</v>
      </c>
      <c r="B144" s="4" t="s">
        <v>461</v>
      </c>
      <c r="C144" s="4" t="s">
        <v>73</v>
      </c>
      <c r="D144" s="4" t="s">
        <v>462</v>
      </c>
      <c r="E144" s="4" t="s">
        <v>463</v>
      </c>
      <c r="F144" s="4" t="e">
        <v>#VALUE!</v>
      </c>
      <c r="G144" s="4" t="e">
        <v>#VALUE!</v>
      </c>
      <c r="H144" s="4" t="s">
        <v>73</v>
      </c>
      <c r="I144" s="4" t="s">
        <v>16</v>
      </c>
    </row>
    <row r="145" spans="1:10" ht="14" customHeight="1">
      <c r="A145" s="4">
        <v>3</v>
      </c>
      <c r="B145" s="4" t="s">
        <v>464</v>
      </c>
      <c r="C145" s="4" t="s">
        <v>465</v>
      </c>
      <c r="D145" s="4" t="s">
        <v>466</v>
      </c>
      <c r="E145" s="4" t="s">
        <v>467</v>
      </c>
      <c r="F145" s="4" t="e">
        <v>#VALUE!</v>
      </c>
      <c r="G145" s="4" t="e">
        <v>#VALUE!</v>
      </c>
      <c r="H145" s="4" t="s">
        <v>465</v>
      </c>
      <c r="I145" s="4" t="s">
        <v>16</v>
      </c>
    </row>
    <row r="146" spans="1:10" ht="14" customHeight="1">
      <c r="A146" s="4">
        <v>2</v>
      </c>
      <c r="B146" s="4" t="s">
        <v>468</v>
      </c>
      <c r="C146" s="4" t="s">
        <v>73</v>
      </c>
      <c r="D146" s="4" t="s">
        <v>266</v>
      </c>
      <c r="E146" s="4" t="s">
        <v>469</v>
      </c>
      <c r="F146" s="4" t="e">
        <v>#VALUE!</v>
      </c>
      <c r="G146" s="4" t="e">
        <v>#VALUE!</v>
      </c>
      <c r="H146" s="4" t="s">
        <v>73</v>
      </c>
      <c r="I146" s="4" t="s">
        <v>16</v>
      </c>
    </row>
    <row r="147" spans="1:10" ht="14" customHeight="1">
      <c r="A147" s="4">
        <v>1</v>
      </c>
      <c r="B147" s="4" t="s">
        <v>470</v>
      </c>
      <c r="C147" s="4" t="s">
        <v>471</v>
      </c>
      <c r="D147" s="4" t="s">
        <v>83</v>
      </c>
      <c r="E147" s="4" t="s">
        <v>472</v>
      </c>
      <c r="F147" s="4" t="e">
        <v>#VALUE!</v>
      </c>
      <c r="G147" s="4" t="e">
        <v>#VALUE!</v>
      </c>
      <c r="H147" s="4" t="s">
        <v>471</v>
      </c>
      <c r="I147" s="4" t="s">
        <v>16</v>
      </c>
    </row>
    <row r="148" spans="1:10" ht="14" customHeight="1">
      <c r="A148" s="4" t="s">
        <v>6</v>
      </c>
      <c r="B148" s="4" t="s">
        <v>473</v>
      </c>
      <c r="C148" s="4" t="e">
        <v>#VALUE!</v>
      </c>
      <c r="D148" s="4" t="e">
        <v>#VALUE!</v>
      </c>
      <c r="E148" s="4" t="e">
        <v>#VALUE!</v>
      </c>
      <c r="F148" s="4" t="e">
        <v>#VALUE!</v>
      </c>
      <c r="G148" s="4" t="e">
        <v>#VALUE!</v>
      </c>
      <c r="H148" s="4" t="e">
        <v>#VALUE!</v>
      </c>
      <c r="I148" s="4" t="s">
        <v>16</v>
      </c>
    </row>
    <row r="149" spans="1:10" ht="14" customHeight="1">
      <c r="A149" s="4" t="s">
        <v>8</v>
      </c>
      <c r="B149" s="4" t="s">
        <v>474</v>
      </c>
      <c r="C149" s="4" t="e">
        <v>#VALUE!</v>
      </c>
      <c r="D149" s="4" t="e">
        <v>#VALUE!</v>
      </c>
      <c r="E149" s="4" t="e">
        <v>#VALUE!</v>
      </c>
      <c r="F149" s="4" t="e">
        <v>#VALUE!</v>
      </c>
      <c r="G149" s="4" t="e">
        <v>#VALUE!</v>
      </c>
      <c r="H149" s="4" t="e">
        <v>#VALUE!</v>
      </c>
      <c r="I149" s="4" t="s">
        <v>16</v>
      </c>
    </row>
    <row r="150" spans="1:10" ht="14" customHeight="1">
      <c r="A150" s="4">
        <v>4</v>
      </c>
      <c r="B150" s="4" t="s">
        <v>475</v>
      </c>
      <c r="C150" s="4" t="s">
        <v>73</v>
      </c>
      <c r="D150" s="4" t="s">
        <v>220</v>
      </c>
      <c r="E150" s="4" t="s">
        <v>476</v>
      </c>
      <c r="F150" s="4" t="e">
        <v>#VALUE!</v>
      </c>
      <c r="G150" s="4" t="e">
        <v>#VALUE!</v>
      </c>
      <c r="H150" s="4" t="s">
        <v>73</v>
      </c>
      <c r="I150" s="4" t="s">
        <v>16</v>
      </c>
    </row>
    <row r="151" spans="1:10" ht="14" customHeight="1">
      <c r="A151" s="4">
        <v>3</v>
      </c>
      <c r="B151" s="4" t="s">
        <v>477</v>
      </c>
      <c r="C151" s="4" t="s">
        <v>73</v>
      </c>
      <c r="D151" s="4" t="s">
        <v>220</v>
      </c>
      <c r="E151" s="4" t="s">
        <v>478</v>
      </c>
      <c r="F151" s="4" t="e">
        <v>#VALUE!</v>
      </c>
      <c r="G151" s="4" t="e">
        <v>#VALUE!</v>
      </c>
      <c r="H151" s="4" t="s">
        <v>73</v>
      </c>
      <c r="I151" s="4" t="s">
        <v>16</v>
      </c>
    </row>
    <row r="152" spans="1:10" ht="14" customHeight="1">
      <c r="A152" s="4">
        <v>2</v>
      </c>
      <c r="B152" s="4" t="s">
        <v>479</v>
      </c>
      <c r="C152" s="4" t="s">
        <v>73</v>
      </c>
      <c r="D152" s="4" t="s">
        <v>220</v>
      </c>
      <c r="E152" s="4" t="s">
        <v>480</v>
      </c>
      <c r="F152" s="4" t="e">
        <v>#VALUE!</v>
      </c>
      <c r="G152" s="4" t="e">
        <v>#VALUE!</v>
      </c>
      <c r="H152" s="4" t="s">
        <v>73</v>
      </c>
      <c r="I152" s="4" t="s">
        <v>16</v>
      </c>
    </row>
    <row r="153" spans="1:10" ht="14" customHeight="1">
      <c r="A153" s="4">
        <v>1</v>
      </c>
      <c r="B153" s="4" t="s">
        <v>481</v>
      </c>
      <c r="C153" s="4" t="s">
        <v>73</v>
      </c>
      <c r="D153" s="4" t="s">
        <v>252</v>
      </c>
      <c r="E153" s="4" t="s">
        <v>482</v>
      </c>
      <c r="F153" s="4" t="e">
        <v>#VALUE!</v>
      </c>
      <c r="G153" s="4" t="e">
        <v>#VALUE!</v>
      </c>
      <c r="H153" s="4" t="s">
        <v>73</v>
      </c>
      <c r="I153" s="4" t="s">
        <v>16</v>
      </c>
    </row>
    <row r="154" spans="1:10" ht="14" customHeight="1">
      <c r="A154" s="4" t="s">
        <v>8</v>
      </c>
      <c r="B154" s="4" t="s">
        <v>483</v>
      </c>
      <c r="C154" s="4" t="e">
        <v>#VALUE!</v>
      </c>
      <c r="D154" s="4" t="e">
        <v>#VALUE!</v>
      </c>
      <c r="E154" s="4" t="e">
        <v>#VALUE!</v>
      </c>
      <c r="F154" s="4" t="e">
        <v>#VALUE!</v>
      </c>
      <c r="G154" s="4" t="e">
        <v>#VALUE!</v>
      </c>
      <c r="H154" s="4" t="e">
        <v>#VALUE!</v>
      </c>
      <c r="I154" s="4" t="s">
        <v>16</v>
      </c>
    </row>
    <row r="155" spans="1:10" ht="14" customHeight="1">
      <c r="A155" s="4">
        <v>139</v>
      </c>
      <c r="B155" s="4" t="s">
        <v>484</v>
      </c>
      <c r="C155" s="4" t="s">
        <v>358</v>
      </c>
      <c r="D155" s="4" t="s">
        <v>104</v>
      </c>
      <c r="E155" s="4" t="s">
        <v>485</v>
      </c>
      <c r="F155" s="4" t="s">
        <v>486</v>
      </c>
      <c r="G155" s="4">
        <v>169</v>
      </c>
      <c r="H155" s="4" t="s">
        <v>358</v>
      </c>
      <c r="I155" s="4" t="s">
        <v>16</v>
      </c>
      <c r="J155" s="4" t="s">
        <v>217</v>
      </c>
    </row>
    <row r="156" spans="1:10" ht="14" customHeight="1">
      <c r="A156" s="4">
        <v>138</v>
      </c>
      <c r="B156" s="4" t="s">
        <v>487</v>
      </c>
      <c r="C156" s="4" t="s">
        <v>73</v>
      </c>
      <c r="D156" s="4" t="s">
        <v>12</v>
      </c>
      <c r="E156" s="4" t="s">
        <v>488</v>
      </c>
      <c r="F156" s="4" t="e">
        <v>#VALUE!</v>
      </c>
      <c r="G156" s="4" t="e">
        <v>#VALUE!</v>
      </c>
      <c r="H156" s="4" t="s">
        <v>73</v>
      </c>
      <c r="I156" s="4" t="s">
        <v>16</v>
      </c>
    </row>
    <row r="157" spans="1:10" ht="14" customHeight="1">
      <c r="A157" s="4">
        <v>137</v>
      </c>
      <c r="B157" s="4" t="s">
        <v>489</v>
      </c>
      <c r="C157" s="4" t="s">
        <v>103</v>
      </c>
      <c r="D157" s="4" t="s">
        <v>12</v>
      </c>
      <c r="E157" s="4" t="s">
        <v>490</v>
      </c>
      <c r="F157" s="4" t="e">
        <v>#VALUE!</v>
      </c>
      <c r="G157" s="4" t="e">
        <v>#VALUE!</v>
      </c>
      <c r="H157" s="4" t="s">
        <v>103</v>
      </c>
      <c r="I157" s="4" t="s">
        <v>16</v>
      </c>
    </row>
    <row r="158" spans="1:10" ht="14" customHeight="1">
      <c r="A158" s="4">
        <v>136</v>
      </c>
      <c r="B158" s="4" t="s">
        <v>491</v>
      </c>
      <c r="C158" s="4" t="s">
        <v>492</v>
      </c>
      <c r="D158" s="4" t="s">
        <v>12</v>
      </c>
      <c r="E158" s="4" t="s">
        <v>493</v>
      </c>
      <c r="F158" s="4" t="e">
        <v>#VALUE!</v>
      </c>
      <c r="G158" s="4" t="e">
        <v>#VALUE!</v>
      </c>
      <c r="H158" s="4" t="s">
        <v>492</v>
      </c>
      <c r="I158" s="4" t="s">
        <v>16</v>
      </c>
    </row>
    <row r="159" spans="1:10" ht="14" customHeight="1">
      <c r="A159" s="4">
        <v>135</v>
      </c>
      <c r="B159" s="4" t="s">
        <v>494</v>
      </c>
      <c r="C159" s="4" t="s">
        <v>103</v>
      </c>
      <c r="D159" s="4" t="s">
        <v>12</v>
      </c>
      <c r="E159" s="4" t="s">
        <v>495</v>
      </c>
      <c r="F159" s="4" t="e">
        <v>#VALUE!</v>
      </c>
      <c r="G159" s="4" t="e">
        <v>#VALUE!</v>
      </c>
      <c r="H159" s="4" t="s">
        <v>103</v>
      </c>
      <c r="I159" s="4" t="s">
        <v>16</v>
      </c>
    </row>
    <row r="160" spans="1:10" ht="14" customHeight="1">
      <c r="A160" s="4">
        <v>134</v>
      </c>
      <c r="B160" s="4" t="s">
        <v>496</v>
      </c>
      <c r="C160" s="4" t="s">
        <v>497</v>
      </c>
      <c r="D160" s="4" t="s">
        <v>12</v>
      </c>
      <c r="E160" s="4" t="s">
        <v>498</v>
      </c>
      <c r="F160" s="4" t="s">
        <v>499</v>
      </c>
      <c r="G160" s="4">
        <v>193</v>
      </c>
      <c r="H160" s="4" t="s">
        <v>497</v>
      </c>
      <c r="I160" s="4" t="s">
        <v>16</v>
      </c>
    </row>
    <row r="161" spans="1:12" ht="14" customHeight="1">
      <c r="A161" s="4">
        <v>133</v>
      </c>
      <c r="B161" s="4" t="s">
        <v>500</v>
      </c>
      <c r="C161" s="4" t="s">
        <v>501</v>
      </c>
      <c r="D161" s="4" t="s">
        <v>12</v>
      </c>
      <c r="E161" s="4" t="s">
        <v>502</v>
      </c>
      <c r="F161" s="4" t="s">
        <v>503</v>
      </c>
      <c r="G161" s="4">
        <v>215</v>
      </c>
      <c r="H161" s="4" t="s">
        <v>501</v>
      </c>
      <c r="I161" s="4" t="s">
        <v>16</v>
      </c>
      <c r="J161" s="4" t="s">
        <v>120</v>
      </c>
      <c r="K161" s="4" t="s">
        <v>504</v>
      </c>
    </row>
    <row r="162" spans="1:12" ht="14" customHeight="1">
      <c r="A162" s="4">
        <v>132</v>
      </c>
      <c r="B162" s="4" t="s">
        <v>505</v>
      </c>
      <c r="C162" s="4" t="s">
        <v>501</v>
      </c>
      <c r="D162" s="4" t="s">
        <v>12</v>
      </c>
      <c r="E162" s="4" t="s">
        <v>506</v>
      </c>
      <c r="F162" s="4" t="s">
        <v>507</v>
      </c>
      <c r="G162" s="4">
        <v>190</v>
      </c>
      <c r="H162" s="4" t="s">
        <v>501</v>
      </c>
      <c r="I162" s="4" t="s">
        <v>16</v>
      </c>
      <c r="J162" s="4" t="s">
        <v>120</v>
      </c>
      <c r="K162" s="4" t="s">
        <v>504</v>
      </c>
    </row>
    <row r="163" spans="1:12" ht="14" customHeight="1">
      <c r="A163" s="4">
        <v>131</v>
      </c>
      <c r="B163" s="4" t="s">
        <v>508</v>
      </c>
      <c r="C163" s="4" t="s">
        <v>509</v>
      </c>
      <c r="D163" s="4" t="s">
        <v>12</v>
      </c>
      <c r="E163" s="4" t="s">
        <v>510</v>
      </c>
      <c r="F163" s="4" t="s">
        <v>511</v>
      </c>
      <c r="G163" s="4">
        <v>216</v>
      </c>
      <c r="H163" s="4" t="s">
        <v>509</v>
      </c>
      <c r="I163" s="4" t="s">
        <v>16</v>
      </c>
      <c r="J163" s="4" t="s">
        <v>512</v>
      </c>
      <c r="K163" s="4" t="s">
        <v>120</v>
      </c>
      <c r="L163" s="4" t="s">
        <v>504</v>
      </c>
    </row>
    <row r="164" spans="1:12" ht="14" customHeight="1">
      <c r="A164" s="4">
        <v>130</v>
      </c>
      <c r="B164" s="4" t="s">
        <v>513</v>
      </c>
      <c r="C164" s="4" t="s">
        <v>240</v>
      </c>
      <c r="D164" s="4" t="s">
        <v>12</v>
      </c>
      <c r="E164" s="4" t="s">
        <v>514</v>
      </c>
      <c r="F164" s="4" t="s">
        <v>515</v>
      </c>
      <c r="G164" s="4">
        <v>308</v>
      </c>
      <c r="H164" s="4" t="s">
        <v>243</v>
      </c>
      <c r="I164" s="4" t="s">
        <v>16</v>
      </c>
      <c r="J164" s="4" t="s">
        <v>17</v>
      </c>
    </row>
    <row r="165" spans="1:12" ht="14" customHeight="1">
      <c r="A165" s="4">
        <v>129</v>
      </c>
      <c r="B165" s="4" t="s">
        <v>516</v>
      </c>
      <c r="C165" s="4" t="s">
        <v>240</v>
      </c>
      <c r="D165" s="4" t="s">
        <v>12</v>
      </c>
      <c r="E165" s="4" t="s">
        <v>517</v>
      </c>
      <c r="F165" s="4" t="s">
        <v>518</v>
      </c>
      <c r="G165" s="4">
        <v>287</v>
      </c>
      <c r="H165" s="4" t="s">
        <v>243</v>
      </c>
      <c r="I165" s="4" t="s">
        <v>16</v>
      </c>
      <c r="J165" s="4" t="s">
        <v>17</v>
      </c>
    </row>
    <row r="166" spans="1:12" ht="14" customHeight="1">
      <c r="A166" s="4">
        <v>128</v>
      </c>
      <c r="B166" s="4" t="s">
        <v>519</v>
      </c>
      <c r="C166" s="4" t="s">
        <v>184</v>
      </c>
      <c r="D166" s="4" t="s">
        <v>12</v>
      </c>
      <c r="E166" s="4" t="s">
        <v>520</v>
      </c>
      <c r="F166" s="4" t="e">
        <v>#VALUE!</v>
      </c>
      <c r="G166" s="4" t="e">
        <v>#VALUE!</v>
      </c>
      <c r="H166" s="4" t="s">
        <v>184</v>
      </c>
      <c r="I166" s="4" t="s">
        <v>16</v>
      </c>
    </row>
    <row r="167" spans="1:12" ht="14" customHeight="1">
      <c r="A167" s="4">
        <v>127</v>
      </c>
      <c r="B167" s="4" t="s">
        <v>521</v>
      </c>
      <c r="C167" s="4" t="s">
        <v>73</v>
      </c>
      <c r="D167" s="4" t="s">
        <v>12</v>
      </c>
      <c r="E167" s="4" t="s">
        <v>522</v>
      </c>
      <c r="F167" s="4" t="e">
        <v>#VALUE!</v>
      </c>
      <c r="G167" s="4" t="e">
        <v>#VALUE!</v>
      </c>
      <c r="H167" s="4" t="s">
        <v>73</v>
      </c>
      <c r="I167" s="4" t="s">
        <v>16</v>
      </c>
    </row>
    <row r="168" spans="1:12" ht="14" customHeight="1">
      <c r="A168" s="4">
        <v>126</v>
      </c>
      <c r="B168" s="4" t="s">
        <v>523</v>
      </c>
      <c r="C168" s="4" t="s">
        <v>524</v>
      </c>
      <c r="D168" s="4" t="s">
        <v>12</v>
      </c>
      <c r="E168" s="4" t="s">
        <v>525</v>
      </c>
      <c r="F168" s="4" t="s">
        <v>526</v>
      </c>
      <c r="G168" s="4">
        <v>289</v>
      </c>
      <c r="H168" s="4" t="s">
        <v>527</v>
      </c>
      <c r="I168" s="4" t="s">
        <v>16</v>
      </c>
      <c r="J168" s="4" t="s">
        <v>528</v>
      </c>
      <c r="K168" s="4" t="s">
        <v>529</v>
      </c>
      <c r="L168" s="4" t="s">
        <v>17</v>
      </c>
    </row>
    <row r="169" spans="1:12" ht="14" customHeight="1">
      <c r="A169" s="4">
        <v>125</v>
      </c>
      <c r="B169" s="4" t="s">
        <v>530</v>
      </c>
      <c r="C169" s="4" t="s">
        <v>135</v>
      </c>
      <c r="D169" s="4" t="s">
        <v>131</v>
      </c>
      <c r="E169" s="4" t="s">
        <v>531</v>
      </c>
      <c r="F169" s="4" t="s">
        <v>532</v>
      </c>
      <c r="G169" s="4">
        <v>167</v>
      </c>
      <c r="H169" s="4" t="s">
        <v>138</v>
      </c>
      <c r="I169" s="4" t="s">
        <v>16</v>
      </c>
      <c r="J169" s="4" t="s">
        <v>17</v>
      </c>
    </row>
    <row r="170" spans="1:12" ht="14" customHeight="1">
      <c r="A170" s="4">
        <v>124</v>
      </c>
      <c r="B170" s="4" t="s">
        <v>533</v>
      </c>
      <c r="C170" s="4" t="s">
        <v>103</v>
      </c>
      <c r="D170" s="4" t="s">
        <v>131</v>
      </c>
      <c r="E170" s="4" t="s">
        <v>534</v>
      </c>
      <c r="F170" s="4" t="e">
        <v>#VALUE!</v>
      </c>
      <c r="G170" s="4" t="e">
        <v>#VALUE!</v>
      </c>
      <c r="H170" s="4" t="s">
        <v>103</v>
      </c>
      <c r="I170" s="4" t="s">
        <v>16</v>
      </c>
    </row>
    <row r="171" spans="1:12" ht="14" customHeight="1">
      <c r="A171" s="4">
        <v>123</v>
      </c>
      <c r="B171" s="4" t="s">
        <v>535</v>
      </c>
      <c r="C171" s="4" t="s">
        <v>103</v>
      </c>
      <c r="D171" s="4" t="s">
        <v>131</v>
      </c>
      <c r="E171" s="4" t="s">
        <v>536</v>
      </c>
      <c r="F171" s="4" t="e">
        <v>#VALUE!</v>
      </c>
      <c r="G171" s="4" t="e">
        <v>#VALUE!</v>
      </c>
      <c r="H171" s="4" t="s">
        <v>103</v>
      </c>
      <c r="I171" s="4" t="s">
        <v>16</v>
      </c>
    </row>
    <row r="172" spans="1:12" ht="14" customHeight="1">
      <c r="A172" s="4">
        <v>122</v>
      </c>
      <c r="B172" s="4" t="s">
        <v>537</v>
      </c>
      <c r="C172" s="4" t="s">
        <v>402</v>
      </c>
      <c r="D172" s="4" t="s">
        <v>131</v>
      </c>
      <c r="E172" s="4" t="s">
        <v>538</v>
      </c>
      <c r="F172" s="4" t="e">
        <v>#VALUE!</v>
      </c>
      <c r="G172" s="4" t="e">
        <v>#VALUE!</v>
      </c>
      <c r="H172" s="4" t="s">
        <v>402</v>
      </c>
      <c r="I172" s="4" t="s">
        <v>16</v>
      </c>
    </row>
    <row r="173" spans="1:12" ht="14" customHeight="1">
      <c r="A173" s="4">
        <v>121</v>
      </c>
      <c r="B173" s="4" t="s">
        <v>539</v>
      </c>
      <c r="C173" s="4" t="s">
        <v>103</v>
      </c>
      <c r="D173" s="4" t="s">
        <v>131</v>
      </c>
      <c r="E173" s="4" t="s">
        <v>540</v>
      </c>
      <c r="F173" s="4" t="s">
        <v>541</v>
      </c>
      <c r="G173" s="4">
        <v>291</v>
      </c>
      <c r="H173" s="4" t="s">
        <v>103</v>
      </c>
      <c r="I173" s="4" t="s">
        <v>16</v>
      </c>
    </row>
    <row r="174" spans="1:12" ht="14" customHeight="1">
      <c r="A174" s="4">
        <v>120</v>
      </c>
      <c r="B174" s="4" t="s">
        <v>542</v>
      </c>
      <c r="C174" s="4" t="s">
        <v>543</v>
      </c>
      <c r="D174" s="4" t="s">
        <v>131</v>
      </c>
      <c r="E174" s="4" t="s">
        <v>544</v>
      </c>
      <c r="F174" s="4" t="e">
        <v>#VALUE!</v>
      </c>
      <c r="G174" s="4" t="e">
        <v>#VALUE!</v>
      </c>
      <c r="H174" s="4" t="s">
        <v>545</v>
      </c>
      <c r="I174" s="4" t="s">
        <v>16</v>
      </c>
      <c r="J174" s="4" t="s">
        <v>546</v>
      </c>
    </row>
    <row r="175" spans="1:12" ht="14" customHeight="1">
      <c r="A175" s="4">
        <v>119</v>
      </c>
      <c r="B175" s="4" t="s">
        <v>547</v>
      </c>
      <c r="C175" s="4" t="s">
        <v>11</v>
      </c>
      <c r="D175" s="4" t="s">
        <v>202</v>
      </c>
      <c r="E175" s="4" t="s">
        <v>548</v>
      </c>
      <c r="F175" s="4" t="s">
        <v>549</v>
      </c>
      <c r="G175" s="4">
        <v>315</v>
      </c>
      <c r="H175" s="4" t="s">
        <v>15</v>
      </c>
      <c r="I175" s="4" t="s">
        <v>16</v>
      </c>
      <c r="J175" s="4" t="s">
        <v>17</v>
      </c>
    </row>
    <row r="176" spans="1:12" ht="14" customHeight="1">
      <c r="A176" s="4">
        <v>118</v>
      </c>
      <c r="B176" s="4" t="s">
        <v>550</v>
      </c>
      <c r="C176" s="4" t="s">
        <v>551</v>
      </c>
      <c r="D176" s="4" t="s">
        <v>202</v>
      </c>
      <c r="E176" s="4" t="s">
        <v>552</v>
      </c>
      <c r="F176" s="4" t="s">
        <v>553</v>
      </c>
      <c r="G176" s="4">
        <v>335</v>
      </c>
      <c r="H176" s="4" t="s">
        <v>551</v>
      </c>
      <c r="I176" s="4" t="s">
        <v>16</v>
      </c>
      <c r="J176" s="4" t="s">
        <v>554</v>
      </c>
    </row>
    <row r="177" spans="1:12" ht="14" customHeight="1">
      <c r="A177" s="4">
        <v>117</v>
      </c>
      <c r="B177" s="4" t="s">
        <v>555</v>
      </c>
      <c r="C177" s="4" t="s">
        <v>556</v>
      </c>
      <c r="D177" s="4" t="s">
        <v>220</v>
      </c>
      <c r="E177" s="4" t="s">
        <v>557</v>
      </c>
      <c r="F177" s="4" t="e">
        <v>#VALUE!</v>
      </c>
      <c r="G177" s="4" t="e">
        <v>#VALUE!</v>
      </c>
      <c r="H177" s="4" t="s">
        <v>556</v>
      </c>
      <c r="I177" s="4" t="s">
        <v>16</v>
      </c>
      <c r="J177" s="4" t="s">
        <v>558</v>
      </c>
    </row>
    <row r="178" spans="1:12" ht="14" customHeight="1">
      <c r="A178" s="4">
        <v>116</v>
      </c>
      <c r="B178" s="4" t="s">
        <v>559</v>
      </c>
      <c r="C178" s="4" t="s">
        <v>560</v>
      </c>
      <c r="D178" s="4" t="s">
        <v>220</v>
      </c>
      <c r="E178" s="4" t="s">
        <v>561</v>
      </c>
      <c r="F178" s="4" t="e">
        <v>#VALUE!</v>
      </c>
      <c r="G178" s="4" t="e">
        <v>#VALUE!</v>
      </c>
      <c r="H178" s="4" t="s">
        <v>560</v>
      </c>
      <c r="I178" s="4" t="s">
        <v>16</v>
      </c>
      <c r="J178" s="4" t="s">
        <v>562</v>
      </c>
      <c r="K178" s="4" t="s">
        <v>563</v>
      </c>
      <c r="L178" s="4" t="s">
        <v>564</v>
      </c>
    </row>
    <row r="179" spans="1:12" ht="14" customHeight="1">
      <c r="A179" s="4">
        <v>115</v>
      </c>
      <c r="B179" s="4" t="s">
        <v>565</v>
      </c>
      <c r="C179" s="4" t="s">
        <v>224</v>
      </c>
      <c r="D179" s="4" t="s">
        <v>220</v>
      </c>
      <c r="E179" s="4" t="s">
        <v>566</v>
      </c>
      <c r="F179" s="4" t="e">
        <v>#VALUE!</v>
      </c>
      <c r="G179" s="4" t="e">
        <v>#VALUE!</v>
      </c>
      <c r="H179" s="4" t="s">
        <v>224</v>
      </c>
      <c r="I179" s="4" t="s">
        <v>16</v>
      </c>
    </row>
    <row r="180" spans="1:12" ht="14" customHeight="1">
      <c r="A180" s="4">
        <v>114</v>
      </c>
      <c r="B180" s="4" t="s">
        <v>567</v>
      </c>
      <c r="C180" s="4" t="s">
        <v>224</v>
      </c>
      <c r="D180" s="4" t="s">
        <v>23</v>
      </c>
      <c r="E180" s="4" t="s">
        <v>568</v>
      </c>
      <c r="F180" s="4" t="s">
        <v>569</v>
      </c>
      <c r="G180" s="4">
        <v>232</v>
      </c>
      <c r="H180" s="4" t="s">
        <v>224</v>
      </c>
      <c r="I180" s="4" t="s">
        <v>16</v>
      </c>
    </row>
    <row r="181" spans="1:12" ht="14" customHeight="1">
      <c r="A181" s="4">
        <v>113</v>
      </c>
      <c r="B181" s="4" t="s">
        <v>570</v>
      </c>
      <c r="C181" s="4" t="s">
        <v>73</v>
      </c>
      <c r="D181" s="4" t="s">
        <v>23</v>
      </c>
      <c r="E181" s="4" t="s">
        <v>249</v>
      </c>
      <c r="F181" s="4" t="e">
        <v>#VALUE!</v>
      </c>
      <c r="G181" s="4" t="e">
        <v>#VALUE!</v>
      </c>
      <c r="H181" s="4" t="s">
        <v>73</v>
      </c>
      <c r="I181" s="4" t="s">
        <v>16</v>
      </c>
    </row>
    <row r="182" spans="1:12" ht="14" customHeight="1">
      <c r="A182" s="4">
        <v>112</v>
      </c>
      <c r="B182" s="4" t="s">
        <v>571</v>
      </c>
      <c r="C182" s="4" t="s">
        <v>572</v>
      </c>
      <c r="D182" s="4" t="s">
        <v>23</v>
      </c>
      <c r="E182" s="4" t="s">
        <v>573</v>
      </c>
      <c r="F182" s="4" t="s">
        <v>574</v>
      </c>
      <c r="G182" s="4">
        <v>268</v>
      </c>
      <c r="H182" s="4" t="s">
        <v>572</v>
      </c>
      <c r="I182" s="4" t="s">
        <v>16</v>
      </c>
      <c r="J182" s="4" t="s">
        <v>528</v>
      </c>
      <c r="K182" s="4" t="s">
        <v>575</v>
      </c>
      <c r="L182" s="4" t="s">
        <v>17</v>
      </c>
    </row>
    <row r="183" spans="1:12" ht="14" customHeight="1">
      <c r="A183" s="4">
        <v>111</v>
      </c>
      <c r="B183" s="4" t="s">
        <v>576</v>
      </c>
      <c r="C183" s="4" t="s">
        <v>577</v>
      </c>
      <c r="D183" s="4" t="s">
        <v>23</v>
      </c>
      <c r="E183" s="4" t="s">
        <v>578</v>
      </c>
      <c r="F183" s="4" t="s">
        <v>579</v>
      </c>
      <c r="G183" s="4">
        <v>205</v>
      </c>
      <c r="H183" s="4" t="s">
        <v>577</v>
      </c>
      <c r="I183" s="4" t="s">
        <v>16</v>
      </c>
      <c r="J183" s="4" t="s">
        <v>528</v>
      </c>
      <c r="K183" s="4" t="s">
        <v>17</v>
      </c>
    </row>
    <row r="184" spans="1:12" ht="14" customHeight="1">
      <c r="A184" s="4">
        <v>110</v>
      </c>
      <c r="B184" s="4" t="s">
        <v>580</v>
      </c>
      <c r="C184" s="4" t="s">
        <v>402</v>
      </c>
      <c r="D184" s="4" t="s">
        <v>23</v>
      </c>
      <c r="E184" s="4" t="s">
        <v>581</v>
      </c>
      <c r="F184" s="4" t="s">
        <v>582</v>
      </c>
      <c r="G184" s="4">
        <v>154</v>
      </c>
      <c r="H184" s="4" t="s">
        <v>402</v>
      </c>
      <c r="I184" s="4" t="s">
        <v>16</v>
      </c>
    </row>
    <row r="185" spans="1:12" ht="14" customHeight="1">
      <c r="A185" s="4">
        <v>109</v>
      </c>
      <c r="B185" s="4" t="s">
        <v>583</v>
      </c>
      <c r="C185" s="4" t="s">
        <v>577</v>
      </c>
      <c r="D185" s="4" t="s">
        <v>23</v>
      </c>
      <c r="E185" s="4" t="s">
        <v>584</v>
      </c>
      <c r="F185" s="4" t="s">
        <v>585</v>
      </c>
      <c r="G185" s="4">
        <v>164</v>
      </c>
      <c r="H185" s="4" t="s">
        <v>577</v>
      </c>
      <c r="I185" s="4" t="s">
        <v>16</v>
      </c>
      <c r="J185" s="4" t="s">
        <v>528</v>
      </c>
      <c r="K185" s="4" t="s">
        <v>17</v>
      </c>
    </row>
    <row r="186" spans="1:12" ht="14" customHeight="1">
      <c r="A186" s="4">
        <v>108</v>
      </c>
      <c r="B186" s="4" t="s">
        <v>586</v>
      </c>
      <c r="C186" s="4" t="s">
        <v>587</v>
      </c>
      <c r="D186" s="4" t="s">
        <v>23</v>
      </c>
      <c r="E186" s="4" t="s">
        <v>588</v>
      </c>
      <c r="F186" s="4" t="s">
        <v>589</v>
      </c>
      <c r="G186" s="4">
        <v>156</v>
      </c>
      <c r="H186" s="4" t="s">
        <v>587</v>
      </c>
      <c r="I186" s="4" t="s">
        <v>16</v>
      </c>
      <c r="J186" s="4" t="s">
        <v>17</v>
      </c>
    </row>
    <row r="187" spans="1:12" ht="14" customHeight="1">
      <c r="A187" s="4">
        <v>107</v>
      </c>
      <c r="B187" s="4" t="s">
        <v>590</v>
      </c>
      <c r="C187" s="4" t="s">
        <v>591</v>
      </c>
      <c r="D187" s="4" t="s">
        <v>23</v>
      </c>
      <c r="E187" s="4" t="s">
        <v>592</v>
      </c>
      <c r="F187" s="4" t="s">
        <v>593</v>
      </c>
      <c r="G187" s="4">
        <v>179</v>
      </c>
      <c r="H187" s="4" t="s">
        <v>591</v>
      </c>
      <c r="I187" s="4" t="s">
        <v>16</v>
      </c>
      <c r="J187" s="4" t="s">
        <v>17</v>
      </c>
    </row>
    <row r="188" spans="1:12" ht="14" customHeight="1">
      <c r="A188" s="4">
        <v>106</v>
      </c>
      <c r="B188" s="4" t="s">
        <v>594</v>
      </c>
      <c r="C188" s="4" t="s">
        <v>595</v>
      </c>
      <c r="D188" s="4" t="s">
        <v>23</v>
      </c>
      <c r="E188" s="4" t="s">
        <v>596</v>
      </c>
      <c r="F188" s="4" t="s">
        <v>593</v>
      </c>
      <c r="G188" s="4">
        <v>109</v>
      </c>
      <c r="H188" s="4" t="s">
        <v>595</v>
      </c>
      <c r="I188" s="4" t="s">
        <v>16</v>
      </c>
      <c r="J188" s="4" t="s">
        <v>17</v>
      </c>
    </row>
    <row r="189" spans="1:12" ht="14" customHeight="1">
      <c r="A189" s="4">
        <v>105</v>
      </c>
      <c r="B189" s="4" t="s">
        <v>597</v>
      </c>
      <c r="C189" s="4" t="s">
        <v>577</v>
      </c>
      <c r="D189" s="4" t="s">
        <v>23</v>
      </c>
      <c r="E189" s="4" t="s">
        <v>598</v>
      </c>
      <c r="F189" s="4" t="s">
        <v>599</v>
      </c>
      <c r="G189" s="4">
        <v>174</v>
      </c>
      <c r="H189" s="4" t="s">
        <v>577</v>
      </c>
      <c r="I189" s="4" t="s">
        <v>16</v>
      </c>
      <c r="J189" s="4" t="s">
        <v>528</v>
      </c>
      <c r="K189" s="4" t="s">
        <v>17</v>
      </c>
    </row>
    <row r="190" spans="1:12" ht="14" customHeight="1">
      <c r="A190" s="4">
        <v>104</v>
      </c>
      <c r="B190" s="4" t="s">
        <v>600</v>
      </c>
      <c r="C190" s="4" t="s">
        <v>601</v>
      </c>
      <c r="D190" s="4" t="s">
        <v>23</v>
      </c>
      <c r="E190" s="4" t="s">
        <v>602</v>
      </c>
      <c r="F190" s="4" t="s">
        <v>603</v>
      </c>
      <c r="G190" s="4">
        <v>246</v>
      </c>
      <c r="H190" s="4" t="s">
        <v>601</v>
      </c>
      <c r="I190" s="4" t="s">
        <v>16</v>
      </c>
      <c r="J190" s="4" t="s">
        <v>604</v>
      </c>
      <c r="K190" s="4" t="s">
        <v>17</v>
      </c>
    </row>
    <row r="191" spans="1:12" ht="14" customHeight="1">
      <c r="A191" s="4">
        <v>103</v>
      </c>
      <c r="B191" s="4" t="s">
        <v>605</v>
      </c>
      <c r="C191" s="4" t="s">
        <v>35</v>
      </c>
      <c r="D191" s="4" t="s">
        <v>252</v>
      </c>
      <c r="E191" s="4" t="s">
        <v>606</v>
      </c>
      <c r="F191" s="4" t="e">
        <v>#VALUE!</v>
      </c>
      <c r="G191" s="4" t="e">
        <v>#VALUE!</v>
      </c>
      <c r="H191" s="4" t="s">
        <v>38</v>
      </c>
      <c r="I191" s="4" t="s">
        <v>16</v>
      </c>
      <c r="J191" s="4" t="s">
        <v>39</v>
      </c>
      <c r="K191" s="4" t="s">
        <v>17</v>
      </c>
    </row>
    <row r="192" spans="1:12" ht="14" customHeight="1">
      <c r="A192" s="4">
        <v>102</v>
      </c>
      <c r="B192" s="4" t="s">
        <v>607</v>
      </c>
      <c r="C192" s="4" t="s">
        <v>608</v>
      </c>
      <c r="D192" s="4" t="s">
        <v>252</v>
      </c>
      <c r="E192" s="4" t="s">
        <v>609</v>
      </c>
      <c r="F192" s="4" t="s">
        <v>610</v>
      </c>
      <c r="G192" s="4">
        <v>209</v>
      </c>
      <c r="H192" s="4" t="s">
        <v>611</v>
      </c>
      <c r="I192" s="4" t="s">
        <v>16</v>
      </c>
      <c r="J192" s="4" t="s">
        <v>17</v>
      </c>
    </row>
    <row r="193" spans="1:14" ht="14" customHeight="1">
      <c r="A193" s="4">
        <v>101</v>
      </c>
      <c r="B193" s="4" t="s">
        <v>612</v>
      </c>
      <c r="C193" s="4" t="s">
        <v>187</v>
      </c>
      <c r="D193" s="4" t="s">
        <v>252</v>
      </c>
      <c r="E193" s="4" t="s">
        <v>613</v>
      </c>
      <c r="F193" s="4" t="e">
        <v>#VALUE!</v>
      </c>
      <c r="G193" s="4" t="e">
        <v>#VALUE!</v>
      </c>
      <c r="H193" s="4" t="s">
        <v>187</v>
      </c>
      <c r="I193" s="4" t="s">
        <v>16</v>
      </c>
    </row>
    <row r="194" spans="1:14" ht="14" customHeight="1">
      <c r="A194" s="4">
        <v>100</v>
      </c>
      <c r="B194" s="4" t="s">
        <v>614</v>
      </c>
      <c r="C194" s="4" t="s">
        <v>73</v>
      </c>
      <c r="D194" s="4" t="s">
        <v>45</v>
      </c>
      <c r="E194" s="4" t="s">
        <v>615</v>
      </c>
      <c r="F194" s="4" t="e">
        <v>#VALUE!</v>
      </c>
      <c r="G194" s="4" t="e">
        <v>#VALUE!</v>
      </c>
      <c r="H194" s="4" t="s">
        <v>73</v>
      </c>
      <c r="I194" s="4" t="s">
        <v>16</v>
      </c>
    </row>
    <row r="195" spans="1:14" ht="14" customHeight="1">
      <c r="A195" s="4">
        <v>99</v>
      </c>
      <c r="B195" s="4" t="s">
        <v>616</v>
      </c>
      <c r="C195" s="4" t="s">
        <v>617</v>
      </c>
      <c r="D195" s="4" t="s">
        <v>45</v>
      </c>
      <c r="E195" s="4" t="s">
        <v>618</v>
      </c>
      <c r="F195" s="4" t="s">
        <v>619</v>
      </c>
      <c r="G195" s="4">
        <v>149</v>
      </c>
      <c r="H195" s="4" t="s">
        <v>617</v>
      </c>
      <c r="I195" s="4" t="s">
        <v>16</v>
      </c>
    </row>
    <row r="196" spans="1:14" ht="14" customHeight="1">
      <c r="A196" s="4">
        <v>98</v>
      </c>
      <c r="B196" s="4" t="s">
        <v>620</v>
      </c>
      <c r="C196" s="4" t="s">
        <v>621</v>
      </c>
      <c r="D196" s="4" t="s">
        <v>45</v>
      </c>
      <c r="E196" s="4" t="s">
        <v>622</v>
      </c>
      <c r="F196" s="4" t="e">
        <v>#VALUE!</v>
      </c>
      <c r="G196" s="4" t="e">
        <v>#VALUE!</v>
      </c>
      <c r="H196" s="4" t="s">
        <v>623</v>
      </c>
      <c r="I196" s="4" t="s">
        <v>16</v>
      </c>
      <c r="J196" s="4" t="s">
        <v>17</v>
      </c>
    </row>
    <row r="197" spans="1:14" ht="14" customHeight="1">
      <c r="A197" s="4">
        <v>97</v>
      </c>
      <c r="B197" s="4" t="s">
        <v>624</v>
      </c>
      <c r="C197" s="4" t="s">
        <v>237</v>
      </c>
      <c r="D197" s="4" t="s">
        <v>53</v>
      </c>
      <c r="E197" s="4" t="s">
        <v>625</v>
      </c>
      <c r="F197" s="4" t="s">
        <v>626</v>
      </c>
      <c r="G197" s="4">
        <v>233</v>
      </c>
      <c r="H197" s="4" t="s">
        <v>237</v>
      </c>
      <c r="I197" s="4" t="s">
        <v>16</v>
      </c>
    </row>
    <row r="198" spans="1:14" ht="14" customHeight="1">
      <c r="A198" s="4">
        <v>96</v>
      </c>
      <c r="B198" s="4" t="s">
        <v>627</v>
      </c>
      <c r="C198" s="4" t="s">
        <v>628</v>
      </c>
      <c r="D198" s="4" t="s">
        <v>53</v>
      </c>
      <c r="E198" s="4" t="s">
        <v>629</v>
      </c>
      <c r="F198" s="4" t="e">
        <v>#VALUE!</v>
      </c>
      <c r="G198" s="4" t="e">
        <v>#VALUE!</v>
      </c>
      <c r="H198" s="4" t="s">
        <v>630</v>
      </c>
      <c r="I198" s="4" t="s">
        <v>16</v>
      </c>
      <c r="J198" s="4" t="s">
        <v>17</v>
      </c>
      <c r="K198" s="4" t="s">
        <v>631</v>
      </c>
    </row>
    <row r="199" spans="1:14" ht="14" customHeight="1">
      <c r="A199" s="4">
        <v>95</v>
      </c>
      <c r="B199" s="4" t="s">
        <v>632</v>
      </c>
      <c r="C199" s="4" t="s">
        <v>237</v>
      </c>
      <c r="D199" s="4" t="s">
        <v>53</v>
      </c>
      <c r="E199" s="4" t="s">
        <v>633</v>
      </c>
      <c r="F199" s="4" t="e">
        <v>#VALUE!</v>
      </c>
      <c r="G199" s="4" t="e">
        <v>#VALUE!</v>
      </c>
      <c r="H199" s="4" t="s">
        <v>237</v>
      </c>
      <c r="I199" s="4" t="s">
        <v>16</v>
      </c>
    </row>
    <row r="200" spans="1:14" ht="14" customHeight="1">
      <c r="A200" s="4">
        <v>94</v>
      </c>
      <c r="B200" s="4" t="s">
        <v>634</v>
      </c>
      <c r="C200" s="4" t="s">
        <v>635</v>
      </c>
      <c r="D200" s="4" t="s">
        <v>53</v>
      </c>
      <c r="E200" s="4" t="s">
        <v>636</v>
      </c>
      <c r="F200" s="4" t="e">
        <v>#VALUE!</v>
      </c>
      <c r="G200" s="4" t="e">
        <v>#VALUE!</v>
      </c>
      <c r="H200" s="4" t="s">
        <v>635</v>
      </c>
      <c r="I200" s="4" t="s">
        <v>16</v>
      </c>
    </row>
    <row r="201" spans="1:14" ht="14" customHeight="1">
      <c r="A201" s="4">
        <v>93</v>
      </c>
      <c r="B201" s="4" t="s">
        <v>637</v>
      </c>
      <c r="C201" s="4" t="s">
        <v>237</v>
      </c>
      <c r="D201" s="4" t="s">
        <v>53</v>
      </c>
      <c r="E201" s="4" t="s">
        <v>638</v>
      </c>
      <c r="F201" s="4" t="e">
        <v>#VALUE!</v>
      </c>
      <c r="G201" s="4" t="e">
        <v>#VALUE!</v>
      </c>
      <c r="H201" s="4" t="s">
        <v>237</v>
      </c>
      <c r="I201" s="4" t="s">
        <v>16</v>
      </c>
    </row>
    <row r="202" spans="1:14" ht="14" customHeight="1">
      <c r="A202" s="4">
        <v>92</v>
      </c>
      <c r="B202" s="4" t="s">
        <v>639</v>
      </c>
      <c r="C202" s="4" t="s">
        <v>640</v>
      </c>
      <c r="D202" s="4" t="s">
        <v>53</v>
      </c>
      <c r="E202" s="4" t="s">
        <v>641</v>
      </c>
      <c r="F202" s="4" t="e">
        <v>#VALUE!</v>
      </c>
      <c r="G202" s="4" t="e">
        <v>#VALUE!</v>
      </c>
      <c r="H202" s="4" t="s">
        <v>640</v>
      </c>
      <c r="I202" s="4" t="s">
        <v>16</v>
      </c>
    </row>
    <row r="203" spans="1:14" ht="14" customHeight="1">
      <c r="A203" s="4">
        <v>91</v>
      </c>
      <c r="B203" s="4" t="s">
        <v>642</v>
      </c>
      <c r="C203" s="4" t="s">
        <v>237</v>
      </c>
      <c r="D203" s="4" t="s">
        <v>53</v>
      </c>
      <c r="E203" s="4" t="s">
        <v>643</v>
      </c>
      <c r="F203" s="4" t="e">
        <v>#VALUE!</v>
      </c>
      <c r="G203" s="4" t="e">
        <v>#VALUE!</v>
      </c>
      <c r="H203" s="4" t="s">
        <v>237</v>
      </c>
      <c r="I203" s="4" t="s">
        <v>16</v>
      </c>
    </row>
    <row r="204" spans="1:14" ht="14" customHeight="1">
      <c r="A204" s="4">
        <v>90</v>
      </c>
      <c r="B204" s="4" t="s">
        <v>644</v>
      </c>
      <c r="C204" s="4" t="s">
        <v>617</v>
      </c>
      <c r="D204" s="4" t="s">
        <v>53</v>
      </c>
      <c r="E204" s="4" t="s">
        <v>645</v>
      </c>
      <c r="F204" s="4" t="e">
        <v>#VALUE!</v>
      </c>
      <c r="G204" s="4" t="e">
        <v>#VALUE!</v>
      </c>
      <c r="H204" s="4" t="s">
        <v>617</v>
      </c>
      <c r="I204" s="4" t="s">
        <v>16</v>
      </c>
    </row>
    <row r="205" spans="1:14" ht="14" customHeight="1">
      <c r="A205" s="4">
        <v>89</v>
      </c>
      <c r="B205" s="4" t="s">
        <v>646</v>
      </c>
      <c r="C205" s="4" t="s">
        <v>647</v>
      </c>
      <c r="D205" s="4" t="s">
        <v>53</v>
      </c>
      <c r="E205" s="4" t="s">
        <v>648</v>
      </c>
      <c r="F205" s="4" t="e">
        <v>#VALUE!</v>
      </c>
      <c r="G205" s="4" t="e">
        <v>#VALUE!</v>
      </c>
      <c r="H205" s="4" t="s">
        <v>647</v>
      </c>
      <c r="I205" s="4" t="s">
        <v>16</v>
      </c>
    </row>
    <row r="206" spans="1:14" ht="14" customHeight="1">
      <c r="A206" s="4">
        <v>88</v>
      </c>
      <c r="B206" s="4" t="s">
        <v>649</v>
      </c>
      <c r="C206" s="4" t="s">
        <v>219</v>
      </c>
      <c r="D206" s="4" t="s">
        <v>53</v>
      </c>
      <c r="E206" s="4" t="s">
        <v>650</v>
      </c>
      <c r="F206" s="4" t="s">
        <v>651</v>
      </c>
      <c r="G206" s="4">
        <v>264</v>
      </c>
      <c r="H206" s="4" t="s">
        <v>219</v>
      </c>
      <c r="I206" s="4" t="s">
        <v>16</v>
      </c>
    </row>
    <row r="207" spans="1:14" ht="14" customHeight="1">
      <c r="A207" s="4">
        <v>87</v>
      </c>
      <c r="B207" s="4" t="s">
        <v>652</v>
      </c>
      <c r="C207" s="4" t="s">
        <v>240</v>
      </c>
      <c r="D207" s="4" t="s">
        <v>53</v>
      </c>
      <c r="E207" s="4" t="s">
        <v>653</v>
      </c>
      <c r="F207" s="4" t="s">
        <v>654</v>
      </c>
      <c r="G207" s="4">
        <v>245</v>
      </c>
      <c r="H207" s="4" t="s">
        <v>243</v>
      </c>
      <c r="I207" s="4" t="s">
        <v>16</v>
      </c>
      <c r="J207" s="4" t="s">
        <v>17</v>
      </c>
    </row>
    <row r="208" spans="1:14" ht="14" customHeight="1">
      <c r="A208" s="4">
        <v>86</v>
      </c>
      <c r="B208" s="4" t="s">
        <v>655</v>
      </c>
      <c r="C208" s="4" t="s">
        <v>656</v>
      </c>
      <c r="D208" s="4" t="s">
        <v>62</v>
      </c>
      <c r="E208" s="4" t="s">
        <v>657</v>
      </c>
      <c r="F208" s="4" t="e">
        <v>#VALUE!</v>
      </c>
      <c r="G208" s="4" t="e">
        <v>#VALUE!</v>
      </c>
      <c r="H208" s="4" t="s">
        <v>656</v>
      </c>
      <c r="I208" s="4" t="s">
        <v>16</v>
      </c>
      <c r="J208" s="4" t="s">
        <v>658</v>
      </c>
      <c r="K208" s="4" t="s">
        <v>659</v>
      </c>
      <c r="L208" s="4" t="s">
        <v>563</v>
      </c>
      <c r="M208" s="4" t="s">
        <v>660</v>
      </c>
      <c r="N208" s="4" t="s">
        <v>661</v>
      </c>
    </row>
    <row r="209" spans="1:11" ht="14" customHeight="1">
      <c r="A209" s="4">
        <v>85</v>
      </c>
      <c r="B209" s="4" t="s">
        <v>662</v>
      </c>
      <c r="C209" s="4" t="s">
        <v>237</v>
      </c>
      <c r="D209" s="4" t="s">
        <v>62</v>
      </c>
      <c r="E209" s="4" t="s">
        <v>663</v>
      </c>
      <c r="F209" s="4" t="e">
        <v>#VALUE!</v>
      </c>
      <c r="G209" s="4" t="e">
        <v>#VALUE!</v>
      </c>
      <c r="H209" s="4" t="s">
        <v>237</v>
      </c>
      <c r="I209" s="4" t="s">
        <v>16</v>
      </c>
    </row>
    <row r="210" spans="1:11" ht="14" customHeight="1">
      <c r="A210" s="4">
        <v>84</v>
      </c>
      <c r="B210" s="4" t="s">
        <v>664</v>
      </c>
      <c r="C210" s="4" t="s">
        <v>35</v>
      </c>
      <c r="D210" s="4" t="s">
        <v>62</v>
      </c>
      <c r="E210" s="4" t="s">
        <v>665</v>
      </c>
      <c r="F210" s="4" t="s">
        <v>666</v>
      </c>
      <c r="G210" s="4">
        <v>151</v>
      </c>
      <c r="H210" s="4" t="s">
        <v>38</v>
      </c>
      <c r="I210" s="4" t="s">
        <v>16</v>
      </c>
      <c r="J210" s="4" t="s">
        <v>39</v>
      </c>
      <c r="K210" s="4" t="s">
        <v>17</v>
      </c>
    </row>
    <row r="211" spans="1:11" ht="14" customHeight="1">
      <c r="A211" s="4">
        <v>83</v>
      </c>
      <c r="B211" s="4" t="s">
        <v>667</v>
      </c>
      <c r="C211" s="4" t="s">
        <v>35</v>
      </c>
      <c r="D211" s="4" t="s">
        <v>62</v>
      </c>
      <c r="E211" s="4" t="s">
        <v>668</v>
      </c>
      <c r="F211" s="4" t="e">
        <v>#VALUE!</v>
      </c>
      <c r="G211" s="4" t="e">
        <v>#VALUE!</v>
      </c>
      <c r="H211" s="4" t="s">
        <v>38</v>
      </c>
      <c r="I211" s="4" t="s">
        <v>16</v>
      </c>
      <c r="J211" s="4" t="s">
        <v>39</v>
      </c>
      <c r="K211" s="4" t="s">
        <v>17</v>
      </c>
    </row>
    <row r="212" spans="1:11" ht="14" customHeight="1">
      <c r="A212" s="4">
        <v>82</v>
      </c>
      <c r="B212" s="4" t="s">
        <v>669</v>
      </c>
      <c r="C212" s="4" t="s">
        <v>35</v>
      </c>
      <c r="D212" s="4" t="s">
        <v>62</v>
      </c>
      <c r="E212" s="4" t="s">
        <v>665</v>
      </c>
      <c r="F212" s="4" t="s">
        <v>666</v>
      </c>
      <c r="G212" s="4">
        <v>151</v>
      </c>
      <c r="H212" s="4" t="s">
        <v>38</v>
      </c>
      <c r="I212" s="4" t="s">
        <v>16</v>
      </c>
      <c r="J212" s="4" t="s">
        <v>39</v>
      </c>
      <c r="K212" s="4" t="s">
        <v>17</v>
      </c>
    </row>
    <row r="213" spans="1:11" ht="14" customHeight="1">
      <c r="A213" s="4">
        <v>81</v>
      </c>
      <c r="B213" s="4" t="s">
        <v>670</v>
      </c>
      <c r="C213" s="4" t="s">
        <v>237</v>
      </c>
      <c r="D213" s="4" t="s">
        <v>62</v>
      </c>
      <c r="E213" s="4" t="s">
        <v>671</v>
      </c>
      <c r="F213" s="4" t="e">
        <v>#VALUE!</v>
      </c>
      <c r="G213" s="4" t="e">
        <v>#VALUE!</v>
      </c>
      <c r="H213" s="4" t="s">
        <v>237</v>
      </c>
      <c r="I213" s="4" t="s">
        <v>16</v>
      </c>
    </row>
    <row r="214" spans="1:11" ht="14" customHeight="1">
      <c r="A214" s="4">
        <v>80</v>
      </c>
      <c r="B214" s="4" t="s">
        <v>672</v>
      </c>
      <c r="C214" s="4" t="s">
        <v>237</v>
      </c>
      <c r="D214" s="4" t="s">
        <v>62</v>
      </c>
      <c r="E214" s="4" t="s">
        <v>673</v>
      </c>
      <c r="F214" s="4" t="e">
        <v>#VALUE!</v>
      </c>
      <c r="G214" s="4" t="e">
        <v>#VALUE!</v>
      </c>
      <c r="H214" s="4" t="s">
        <v>237</v>
      </c>
      <c r="I214" s="4" t="s">
        <v>16</v>
      </c>
    </row>
    <row r="215" spans="1:11" ht="14" customHeight="1">
      <c r="A215" s="4">
        <v>79</v>
      </c>
      <c r="B215" s="4" t="s">
        <v>674</v>
      </c>
      <c r="C215" s="4" t="s">
        <v>617</v>
      </c>
      <c r="D215" s="4" t="s">
        <v>62</v>
      </c>
      <c r="E215" s="4" t="s">
        <v>675</v>
      </c>
      <c r="F215" s="4" t="s">
        <v>676</v>
      </c>
      <c r="G215" s="4">
        <v>106</v>
      </c>
      <c r="H215" s="4" t="s">
        <v>617</v>
      </c>
      <c r="I215" s="4" t="s">
        <v>16</v>
      </c>
    </row>
    <row r="216" spans="1:11" ht="14" customHeight="1">
      <c r="A216" s="4">
        <v>78</v>
      </c>
      <c r="B216" s="4" t="s">
        <v>677</v>
      </c>
      <c r="C216" s="4" t="s">
        <v>237</v>
      </c>
      <c r="D216" s="4" t="s">
        <v>62</v>
      </c>
      <c r="E216" s="4" t="s">
        <v>678</v>
      </c>
      <c r="F216" s="4" t="e">
        <v>#VALUE!</v>
      </c>
      <c r="G216" s="4" t="e">
        <v>#VALUE!</v>
      </c>
      <c r="H216" s="4" t="s">
        <v>237</v>
      </c>
      <c r="I216" s="4" t="s">
        <v>16</v>
      </c>
    </row>
    <row r="217" spans="1:11" ht="14" customHeight="1">
      <c r="A217" s="4">
        <v>77</v>
      </c>
      <c r="B217" s="4" t="s">
        <v>679</v>
      </c>
      <c r="C217" s="4" t="s">
        <v>237</v>
      </c>
      <c r="D217" s="4" t="s">
        <v>62</v>
      </c>
      <c r="E217" s="4" t="s">
        <v>680</v>
      </c>
      <c r="F217" s="4" t="e">
        <v>#VALUE!</v>
      </c>
      <c r="G217" s="4" t="e">
        <v>#VALUE!</v>
      </c>
      <c r="H217" s="4" t="s">
        <v>237</v>
      </c>
      <c r="I217" s="4" t="s">
        <v>16</v>
      </c>
    </row>
    <row r="218" spans="1:11" ht="14" customHeight="1">
      <c r="A218" s="4">
        <v>76</v>
      </c>
      <c r="B218" s="4" t="s">
        <v>681</v>
      </c>
      <c r="C218" s="4" t="s">
        <v>35</v>
      </c>
      <c r="D218" s="4" t="s">
        <v>62</v>
      </c>
      <c r="E218" s="4" t="s">
        <v>682</v>
      </c>
      <c r="F218" s="4" t="e">
        <v>#VALUE!</v>
      </c>
      <c r="G218" s="4" t="e">
        <v>#VALUE!</v>
      </c>
      <c r="H218" s="4" t="s">
        <v>38</v>
      </c>
      <c r="I218" s="4" t="s">
        <v>16</v>
      </c>
      <c r="J218" s="4" t="s">
        <v>39</v>
      </c>
      <c r="K218" s="4" t="s">
        <v>17</v>
      </c>
    </row>
    <row r="219" spans="1:11" ht="14" customHeight="1">
      <c r="A219" s="4">
        <v>75</v>
      </c>
      <c r="B219" s="4" t="s">
        <v>683</v>
      </c>
      <c r="C219" s="4" t="s">
        <v>635</v>
      </c>
      <c r="D219" s="4" t="s">
        <v>62</v>
      </c>
      <c r="E219" s="4" t="s">
        <v>684</v>
      </c>
      <c r="F219" s="4" t="e">
        <v>#VALUE!</v>
      </c>
      <c r="G219" s="4" t="e">
        <v>#VALUE!</v>
      </c>
      <c r="H219" s="4" t="s">
        <v>635</v>
      </c>
      <c r="I219" s="4" t="s">
        <v>16</v>
      </c>
    </row>
    <row r="220" spans="1:11" ht="14" customHeight="1">
      <c r="A220" s="4">
        <v>74</v>
      </c>
      <c r="B220" s="4" t="s">
        <v>685</v>
      </c>
      <c r="C220" s="4" t="s">
        <v>73</v>
      </c>
      <c r="D220" s="4" t="s">
        <v>67</v>
      </c>
      <c r="E220" s="4" t="s">
        <v>686</v>
      </c>
      <c r="F220" s="4" t="e">
        <v>#VALUE!</v>
      </c>
      <c r="G220" s="4" t="e">
        <v>#VALUE!</v>
      </c>
      <c r="H220" s="4" t="s">
        <v>73</v>
      </c>
      <c r="I220" s="4" t="s">
        <v>16</v>
      </c>
    </row>
    <row r="221" spans="1:11" ht="14" customHeight="1">
      <c r="A221" s="4">
        <v>73</v>
      </c>
      <c r="B221" s="4" t="s">
        <v>687</v>
      </c>
      <c r="C221" s="4" t="s">
        <v>688</v>
      </c>
      <c r="D221" s="4" t="s">
        <v>67</v>
      </c>
      <c r="E221" s="4" t="s">
        <v>689</v>
      </c>
      <c r="F221" s="4" t="e">
        <v>#VALUE!</v>
      </c>
      <c r="G221" s="4" t="e">
        <v>#VALUE!</v>
      </c>
      <c r="H221" s="4" t="s">
        <v>688</v>
      </c>
      <c r="I221" s="4" t="s">
        <v>16</v>
      </c>
    </row>
    <row r="222" spans="1:11" ht="14" customHeight="1">
      <c r="A222" s="4">
        <v>72</v>
      </c>
      <c r="B222" s="4" t="s">
        <v>690</v>
      </c>
      <c r="C222" s="4" t="s">
        <v>688</v>
      </c>
      <c r="D222" s="4" t="s">
        <v>67</v>
      </c>
      <c r="E222" s="4" t="s">
        <v>691</v>
      </c>
      <c r="F222" s="4" t="e">
        <v>#VALUE!</v>
      </c>
      <c r="G222" s="4" t="e">
        <v>#VALUE!</v>
      </c>
      <c r="H222" s="4" t="s">
        <v>688</v>
      </c>
      <c r="I222" s="4" t="s">
        <v>16</v>
      </c>
    </row>
    <row r="223" spans="1:11" ht="14" customHeight="1">
      <c r="A223" s="4">
        <v>71</v>
      </c>
      <c r="B223" s="4" t="s">
        <v>692</v>
      </c>
      <c r="C223" s="4" t="s">
        <v>693</v>
      </c>
      <c r="D223" s="4" t="s">
        <v>67</v>
      </c>
      <c r="E223" s="4" t="e">
        <v>#VALUE!</v>
      </c>
      <c r="F223" s="4" t="e">
        <v>#VALUE!</v>
      </c>
      <c r="G223" s="4" t="e">
        <v>#VALUE!</v>
      </c>
      <c r="H223" s="4" t="s">
        <v>693</v>
      </c>
      <c r="I223" s="4" t="s">
        <v>16</v>
      </c>
    </row>
    <row r="224" spans="1:11" ht="14" customHeight="1">
      <c r="A224" s="4">
        <v>70</v>
      </c>
      <c r="B224" s="4" t="s">
        <v>694</v>
      </c>
      <c r="C224" s="4" t="s">
        <v>695</v>
      </c>
      <c r="D224" s="4" t="s">
        <v>262</v>
      </c>
      <c r="E224" s="4" t="s">
        <v>696</v>
      </c>
      <c r="F224" s="4" t="e">
        <v>#VALUE!</v>
      </c>
      <c r="G224" s="4" t="e">
        <v>#VALUE!</v>
      </c>
      <c r="H224" s="4" t="s">
        <v>697</v>
      </c>
      <c r="I224" s="4" t="s">
        <v>16</v>
      </c>
      <c r="J224" s="4" t="s">
        <v>17</v>
      </c>
      <c r="K224" s="4" t="s">
        <v>86</v>
      </c>
    </row>
    <row r="225" spans="1:11" ht="14" customHeight="1">
      <c r="A225" s="4">
        <v>69</v>
      </c>
      <c r="B225" s="4" t="s">
        <v>698</v>
      </c>
      <c r="C225" s="4" t="s">
        <v>635</v>
      </c>
      <c r="D225" s="4" t="s">
        <v>262</v>
      </c>
      <c r="E225" s="4" t="s">
        <v>699</v>
      </c>
      <c r="F225" s="4" t="e">
        <v>#VALUE!</v>
      </c>
      <c r="G225" s="4" t="e">
        <v>#VALUE!</v>
      </c>
      <c r="H225" s="4" t="s">
        <v>635</v>
      </c>
      <c r="I225" s="4" t="s">
        <v>16</v>
      </c>
    </row>
    <row r="226" spans="1:11" ht="14" customHeight="1">
      <c r="A226" s="4">
        <v>68</v>
      </c>
      <c r="B226" s="4" t="s">
        <v>700</v>
      </c>
      <c r="C226" s="4" t="s">
        <v>432</v>
      </c>
      <c r="D226" s="4" t="s">
        <v>262</v>
      </c>
      <c r="E226" s="4" t="s">
        <v>701</v>
      </c>
      <c r="F226" s="4" t="s">
        <v>702</v>
      </c>
      <c r="G226" s="4">
        <v>278</v>
      </c>
      <c r="H226" s="4" t="s">
        <v>432</v>
      </c>
      <c r="I226" s="4" t="s">
        <v>16</v>
      </c>
    </row>
    <row r="227" spans="1:11" ht="14" customHeight="1">
      <c r="A227" s="4">
        <v>67</v>
      </c>
      <c r="B227" s="4" t="s">
        <v>703</v>
      </c>
      <c r="C227" s="4" t="s">
        <v>704</v>
      </c>
      <c r="D227" s="4" t="s">
        <v>705</v>
      </c>
      <c r="E227" s="4" t="s">
        <v>706</v>
      </c>
      <c r="F227" s="4" t="e">
        <v>#VALUE!</v>
      </c>
      <c r="G227" s="4" t="e">
        <v>#VALUE!</v>
      </c>
      <c r="H227" s="4" t="s">
        <v>704</v>
      </c>
      <c r="I227" s="4" t="s">
        <v>16</v>
      </c>
    </row>
    <row r="228" spans="1:11" ht="14" customHeight="1">
      <c r="A228" s="4">
        <v>66</v>
      </c>
      <c r="B228" s="4" t="s">
        <v>707</v>
      </c>
      <c r="C228" s="4" t="s">
        <v>704</v>
      </c>
      <c r="D228" s="4" t="s">
        <v>705</v>
      </c>
      <c r="E228" s="4" t="s">
        <v>708</v>
      </c>
      <c r="F228" s="4" t="e">
        <v>#VALUE!</v>
      </c>
      <c r="G228" s="4" t="e">
        <v>#VALUE!</v>
      </c>
      <c r="H228" s="4" t="s">
        <v>704</v>
      </c>
      <c r="I228" s="4" t="s">
        <v>16</v>
      </c>
    </row>
    <row r="229" spans="1:11" ht="14" customHeight="1">
      <c r="A229" s="4">
        <v>65</v>
      </c>
      <c r="B229" s="4" t="s">
        <v>709</v>
      </c>
      <c r="C229" s="4" t="s">
        <v>48</v>
      </c>
      <c r="D229" s="4" t="s">
        <v>705</v>
      </c>
      <c r="E229" s="4" t="s">
        <v>710</v>
      </c>
      <c r="F229" s="4" t="e">
        <v>#VALUE!</v>
      </c>
      <c r="G229" s="4" t="e">
        <v>#VALUE!</v>
      </c>
      <c r="H229" s="4" t="s">
        <v>50</v>
      </c>
      <c r="I229" s="4" t="s">
        <v>16</v>
      </c>
      <c r="J229" s="4" t="s">
        <v>17</v>
      </c>
    </row>
    <row r="230" spans="1:11" ht="14" customHeight="1">
      <c r="A230" s="4">
        <v>64</v>
      </c>
      <c r="B230" s="4" t="s">
        <v>711</v>
      </c>
      <c r="C230" s="4" t="s">
        <v>712</v>
      </c>
      <c r="D230" s="4" t="s">
        <v>705</v>
      </c>
      <c r="E230" s="4" t="s">
        <v>713</v>
      </c>
      <c r="F230" s="4" t="e">
        <v>#VALUE!</v>
      </c>
      <c r="G230" s="4" t="e">
        <v>#VALUE!</v>
      </c>
      <c r="H230" s="4" t="s">
        <v>712</v>
      </c>
      <c r="I230" s="4" t="s">
        <v>16</v>
      </c>
    </row>
    <row r="231" spans="1:11" ht="14" customHeight="1">
      <c r="A231" s="4">
        <v>63</v>
      </c>
      <c r="B231" s="4" t="s">
        <v>714</v>
      </c>
      <c r="C231" s="4" t="s">
        <v>73</v>
      </c>
      <c r="D231" s="4" t="s">
        <v>705</v>
      </c>
      <c r="E231" s="4" t="s">
        <v>715</v>
      </c>
      <c r="F231" s="4" t="e">
        <v>#VALUE!</v>
      </c>
      <c r="G231" s="4" t="e">
        <v>#VALUE!</v>
      </c>
      <c r="H231" s="4" t="s">
        <v>73</v>
      </c>
      <c r="I231" s="4" t="s">
        <v>16</v>
      </c>
    </row>
    <row r="232" spans="1:11" ht="14" customHeight="1">
      <c r="A232" s="4">
        <v>62</v>
      </c>
      <c r="B232" s="4" t="s">
        <v>716</v>
      </c>
      <c r="C232" s="4" t="s">
        <v>717</v>
      </c>
      <c r="D232" s="4" t="s">
        <v>705</v>
      </c>
      <c r="E232" s="4" t="s">
        <v>718</v>
      </c>
      <c r="F232" s="4" t="e">
        <v>#VALUE!</v>
      </c>
      <c r="G232" s="4" t="e">
        <v>#VALUE!</v>
      </c>
      <c r="H232" s="4" t="s">
        <v>719</v>
      </c>
      <c r="I232" s="4" t="s">
        <v>16</v>
      </c>
      <c r="J232" s="4" t="s">
        <v>720</v>
      </c>
    </row>
    <row r="233" spans="1:11" ht="14" customHeight="1">
      <c r="A233" s="4">
        <v>61</v>
      </c>
      <c r="B233" s="4" t="s">
        <v>721</v>
      </c>
      <c r="C233" s="4" t="s">
        <v>722</v>
      </c>
      <c r="D233" s="4" t="s">
        <v>705</v>
      </c>
      <c r="E233" s="4" t="s">
        <v>723</v>
      </c>
      <c r="F233" s="4" t="e">
        <v>#VALUE!</v>
      </c>
      <c r="G233" s="4" t="e">
        <v>#VALUE!</v>
      </c>
      <c r="H233" s="4" t="s">
        <v>722</v>
      </c>
      <c r="I233" s="4" t="s">
        <v>16</v>
      </c>
      <c r="J233" s="4" t="s">
        <v>563</v>
      </c>
      <c r="K233" s="4" t="s">
        <v>724</v>
      </c>
    </row>
    <row r="234" spans="1:11" ht="14" customHeight="1">
      <c r="A234" s="4">
        <v>60</v>
      </c>
      <c r="B234" s="4" t="s">
        <v>725</v>
      </c>
      <c r="C234" s="4" t="s">
        <v>726</v>
      </c>
      <c r="D234" s="4" t="s">
        <v>705</v>
      </c>
      <c r="E234" s="4" t="s">
        <v>727</v>
      </c>
      <c r="F234" s="4" t="e">
        <v>#VALUE!</v>
      </c>
      <c r="G234" s="4" t="e">
        <v>#VALUE!</v>
      </c>
      <c r="H234" s="4" t="s">
        <v>726</v>
      </c>
      <c r="I234" s="4" t="s">
        <v>16</v>
      </c>
    </row>
    <row r="235" spans="1:11" ht="14" customHeight="1">
      <c r="A235" s="4">
        <v>59</v>
      </c>
      <c r="B235" s="4" t="s">
        <v>728</v>
      </c>
      <c r="C235" s="4" t="s">
        <v>729</v>
      </c>
      <c r="D235" s="4" t="s">
        <v>705</v>
      </c>
      <c r="E235" s="4" t="s">
        <v>730</v>
      </c>
      <c r="F235" s="4" t="e">
        <v>#VALUE!</v>
      </c>
      <c r="G235" s="4" t="e">
        <v>#VALUE!</v>
      </c>
      <c r="H235" s="4" t="s">
        <v>729</v>
      </c>
      <c r="I235" s="4" t="s">
        <v>16</v>
      </c>
    </row>
    <row r="236" spans="1:11" ht="14" customHeight="1">
      <c r="A236" s="4">
        <v>58</v>
      </c>
      <c r="B236" s="4" t="s">
        <v>731</v>
      </c>
      <c r="C236" s="4" t="s">
        <v>688</v>
      </c>
      <c r="D236" s="4" t="s">
        <v>266</v>
      </c>
      <c r="E236" s="4" t="s">
        <v>732</v>
      </c>
      <c r="F236" s="4" t="e">
        <v>#VALUE!</v>
      </c>
      <c r="G236" s="4" t="e">
        <v>#VALUE!</v>
      </c>
      <c r="H236" s="4" t="s">
        <v>688</v>
      </c>
      <c r="I236" s="4" t="s">
        <v>16</v>
      </c>
    </row>
    <row r="237" spans="1:11" ht="14" customHeight="1">
      <c r="A237" s="4">
        <v>57</v>
      </c>
      <c r="B237" s="4" t="s">
        <v>733</v>
      </c>
      <c r="C237" s="4" t="s">
        <v>734</v>
      </c>
      <c r="D237" s="4" t="s">
        <v>266</v>
      </c>
      <c r="E237" s="4" t="s">
        <v>735</v>
      </c>
      <c r="F237" s="4" t="e">
        <v>#VALUE!</v>
      </c>
      <c r="G237" s="4" t="e">
        <v>#VALUE!</v>
      </c>
      <c r="H237" s="4" t="s">
        <v>734</v>
      </c>
      <c r="I237" s="4" t="s">
        <v>16</v>
      </c>
      <c r="J237" s="4" t="s">
        <v>736</v>
      </c>
    </row>
    <row r="238" spans="1:11" ht="14" customHeight="1">
      <c r="A238" s="4">
        <v>56</v>
      </c>
      <c r="B238" s="4" t="s">
        <v>737</v>
      </c>
      <c r="C238" s="4" t="s">
        <v>734</v>
      </c>
      <c r="D238" s="4" t="s">
        <v>266</v>
      </c>
      <c r="E238" s="4" t="s">
        <v>738</v>
      </c>
      <c r="F238" s="4" t="e">
        <v>#VALUE!</v>
      </c>
      <c r="G238" s="4" t="e">
        <v>#VALUE!</v>
      </c>
      <c r="H238" s="4" t="s">
        <v>734</v>
      </c>
      <c r="I238" s="4" t="s">
        <v>16</v>
      </c>
      <c r="J238" s="4" t="s">
        <v>736</v>
      </c>
    </row>
    <row r="239" spans="1:11" ht="14" customHeight="1">
      <c r="A239" s="4">
        <v>55</v>
      </c>
      <c r="B239" s="4" t="s">
        <v>739</v>
      </c>
      <c r="C239" s="4" t="s">
        <v>73</v>
      </c>
      <c r="D239" s="4" t="s">
        <v>74</v>
      </c>
      <c r="E239" s="4" t="s">
        <v>740</v>
      </c>
      <c r="F239" s="4" t="e">
        <v>#VALUE!</v>
      </c>
      <c r="G239" s="4" t="e">
        <v>#VALUE!</v>
      </c>
      <c r="H239" s="4" t="s">
        <v>73</v>
      </c>
      <c r="I239" s="4" t="s">
        <v>16</v>
      </c>
    </row>
    <row r="240" spans="1:11" ht="14" customHeight="1">
      <c r="A240" s="4">
        <v>54</v>
      </c>
      <c r="B240" s="4" t="s">
        <v>741</v>
      </c>
      <c r="C240" s="4" t="s">
        <v>73</v>
      </c>
      <c r="D240" s="4" t="s">
        <v>74</v>
      </c>
      <c r="E240" s="4" t="s">
        <v>742</v>
      </c>
      <c r="F240" s="4" t="e">
        <v>#VALUE!</v>
      </c>
      <c r="G240" s="4" t="e">
        <v>#VALUE!</v>
      </c>
      <c r="H240" s="4" t="s">
        <v>73</v>
      </c>
      <c r="I240" s="4" t="s">
        <v>16</v>
      </c>
    </row>
    <row r="241" spans="1:13" ht="14" customHeight="1">
      <c r="A241" s="4">
        <v>53</v>
      </c>
      <c r="B241" s="4" t="s">
        <v>743</v>
      </c>
      <c r="C241" s="4" t="s">
        <v>744</v>
      </c>
      <c r="D241" s="4" t="s">
        <v>78</v>
      </c>
      <c r="E241" s="4" t="s">
        <v>745</v>
      </c>
      <c r="F241" s="4" t="e">
        <v>#VALUE!</v>
      </c>
      <c r="G241" s="4" t="e">
        <v>#VALUE!</v>
      </c>
      <c r="H241" s="4" t="s">
        <v>744</v>
      </c>
      <c r="I241" s="4" t="s">
        <v>16</v>
      </c>
    </row>
    <row r="242" spans="1:13" ht="14" customHeight="1">
      <c r="A242" s="4">
        <v>52</v>
      </c>
      <c r="B242" s="4" t="s">
        <v>746</v>
      </c>
      <c r="C242" s="4" t="s">
        <v>73</v>
      </c>
      <c r="D242" s="4" t="s">
        <v>78</v>
      </c>
      <c r="E242" s="4" t="s">
        <v>747</v>
      </c>
      <c r="F242" s="4" t="e">
        <v>#VALUE!</v>
      </c>
      <c r="G242" s="4" t="e">
        <v>#VALUE!</v>
      </c>
      <c r="H242" s="4" t="s">
        <v>73</v>
      </c>
      <c r="I242" s="4" t="s">
        <v>16</v>
      </c>
    </row>
    <row r="243" spans="1:13" ht="14" customHeight="1">
      <c r="A243" s="4">
        <v>51</v>
      </c>
      <c r="B243" s="4" t="s">
        <v>748</v>
      </c>
      <c r="C243" s="4" t="s">
        <v>440</v>
      </c>
      <c r="D243" s="4" t="s">
        <v>78</v>
      </c>
      <c r="E243" s="4" t="s">
        <v>749</v>
      </c>
      <c r="F243" s="4" t="e">
        <v>#VALUE!</v>
      </c>
      <c r="G243" s="4" t="e">
        <v>#VALUE!</v>
      </c>
      <c r="H243" s="4" t="s">
        <v>440</v>
      </c>
      <c r="I243" s="4" t="s">
        <v>16</v>
      </c>
      <c r="J243" s="4" t="s">
        <v>441</v>
      </c>
    </row>
    <row r="244" spans="1:13" ht="14" customHeight="1">
      <c r="A244" s="4">
        <v>50</v>
      </c>
      <c r="B244" s="4" t="s">
        <v>750</v>
      </c>
      <c r="C244" s="4" t="s">
        <v>751</v>
      </c>
      <c r="D244" s="4" t="s">
        <v>78</v>
      </c>
      <c r="E244" s="4" t="s">
        <v>752</v>
      </c>
      <c r="F244" s="4" t="e">
        <v>#VALUE!</v>
      </c>
      <c r="G244" s="4" t="e">
        <v>#VALUE!</v>
      </c>
      <c r="H244" s="4" t="s">
        <v>751</v>
      </c>
      <c r="I244" s="4" t="s">
        <v>16</v>
      </c>
    </row>
    <row r="245" spans="1:13" ht="14" customHeight="1">
      <c r="A245" s="4">
        <v>49</v>
      </c>
      <c r="B245" s="4" t="s">
        <v>753</v>
      </c>
      <c r="C245" s="4" t="s">
        <v>754</v>
      </c>
      <c r="D245" s="4" t="s">
        <v>78</v>
      </c>
      <c r="E245" s="4" t="s">
        <v>755</v>
      </c>
      <c r="F245" s="4" t="e">
        <v>#VALUE!</v>
      </c>
      <c r="G245" s="4" t="e">
        <v>#VALUE!</v>
      </c>
      <c r="H245" s="4" t="s">
        <v>754</v>
      </c>
      <c r="I245" s="4" t="s">
        <v>16</v>
      </c>
    </row>
    <row r="246" spans="1:13" ht="14" customHeight="1">
      <c r="A246" s="4">
        <v>48</v>
      </c>
      <c r="B246" s="4" t="s">
        <v>756</v>
      </c>
      <c r="C246" s="4" t="s">
        <v>757</v>
      </c>
      <c r="D246" s="4" t="s">
        <v>78</v>
      </c>
      <c r="E246" s="4" t="s">
        <v>758</v>
      </c>
      <c r="F246" s="4" t="e">
        <v>#VALUE!</v>
      </c>
      <c r="G246" s="4" t="e">
        <v>#VALUE!</v>
      </c>
      <c r="H246" s="4" t="s">
        <v>759</v>
      </c>
      <c r="I246" s="4" t="s">
        <v>16</v>
      </c>
      <c r="J246" s="4" t="s">
        <v>295</v>
      </c>
      <c r="K246" s="4" t="s">
        <v>86</v>
      </c>
    </row>
    <row r="247" spans="1:13" ht="14" customHeight="1">
      <c r="A247" s="4">
        <v>47</v>
      </c>
      <c r="B247" s="4" t="s">
        <v>760</v>
      </c>
      <c r="C247" s="4" t="s">
        <v>73</v>
      </c>
      <c r="D247" s="4" t="s">
        <v>78</v>
      </c>
      <c r="E247" s="4" t="s">
        <v>761</v>
      </c>
      <c r="F247" s="4" t="e">
        <v>#VALUE!</v>
      </c>
      <c r="G247" s="4" t="e">
        <v>#VALUE!</v>
      </c>
      <c r="H247" s="4" t="s">
        <v>73</v>
      </c>
      <c r="I247" s="4" t="s">
        <v>16</v>
      </c>
    </row>
    <row r="248" spans="1:13" ht="14" customHeight="1">
      <c r="A248" s="4">
        <v>46</v>
      </c>
      <c r="B248" s="4" t="s">
        <v>762</v>
      </c>
      <c r="C248" s="4" t="s">
        <v>73</v>
      </c>
      <c r="D248" s="4" t="s">
        <v>78</v>
      </c>
      <c r="E248" s="4" t="s">
        <v>763</v>
      </c>
      <c r="F248" s="4" t="e">
        <v>#VALUE!</v>
      </c>
      <c r="G248" s="4" t="e">
        <v>#VALUE!</v>
      </c>
      <c r="H248" s="4" t="s">
        <v>73</v>
      </c>
      <c r="I248" s="4" t="s">
        <v>16</v>
      </c>
    </row>
    <row r="249" spans="1:13" ht="14" customHeight="1">
      <c r="A249" s="4">
        <v>45</v>
      </c>
      <c r="B249" s="4" t="s">
        <v>764</v>
      </c>
      <c r="C249" s="4" t="s">
        <v>765</v>
      </c>
      <c r="D249" s="4" t="s">
        <v>83</v>
      </c>
      <c r="E249" s="4" t="s">
        <v>766</v>
      </c>
      <c r="F249" s="4" t="e">
        <v>#VALUE!</v>
      </c>
      <c r="G249" s="4" t="e">
        <v>#VALUE!</v>
      </c>
      <c r="H249" s="4" t="s">
        <v>765</v>
      </c>
      <c r="I249" s="4" t="s">
        <v>16</v>
      </c>
    </row>
    <row r="250" spans="1:13" ht="14" customHeight="1">
      <c r="A250" s="4">
        <v>44</v>
      </c>
      <c r="B250" s="4" t="s">
        <v>767</v>
      </c>
      <c r="C250" s="4" t="s">
        <v>270</v>
      </c>
      <c r="D250" s="4" t="s">
        <v>83</v>
      </c>
      <c r="E250" s="4" t="s">
        <v>768</v>
      </c>
      <c r="F250" s="4" t="e">
        <v>#VALUE!</v>
      </c>
      <c r="G250" s="4" t="e">
        <v>#VALUE!</v>
      </c>
      <c r="H250" s="4" t="s">
        <v>270</v>
      </c>
      <c r="I250" s="4" t="s">
        <v>16</v>
      </c>
    </row>
    <row r="251" spans="1:13" ht="14" customHeight="1">
      <c r="A251" s="4">
        <v>43</v>
      </c>
      <c r="B251" s="4" t="s">
        <v>769</v>
      </c>
      <c r="C251" s="4" t="s">
        <v>770</v>
      </c>
      <c r="D251" s="4" t="s">
        <v>83</v>
      </c>
      <c r="E251" s="4" t="s">
        <v>771</v>
      </c>
      <c r="F251" s="4" t="e">
        <v>#VALUE!</v>
      </c>
      <c r="G251" s="4" t="e">
        <v>#VALUE!</v>
      </c>
      <c r="H251" s="4" t="s">
        <v>772</v>
      </c>
      <c r="I251" s="4" t="s">
        <v>16</v>
      </c>
      <c r="J251" s="4" t="s">
        <v>17</v>
      </c>
    </row>
    <row r="252" spans="1:13" ht="14" customHeight="1">
      <c r="A252" s="4">
        <v>42</v>
      </c>
      <c r="B252" s="4" t="s">
        <v>773</v>
      </c>
      <c r="C252" s="4" t="s">
        <v>73</v>
      </c>
      <c r="D252" s="4" t="s">
        <v>83</v>
      </c>
      <c r="E252" s="4" t="s">
        <v>774</v>
      </c>
      <c r="F252" s="4" t="e">
        <v>#VALUE!</v>
      </c>
      <c r="G252" s="4" t="e">
        <v>#VALUE!</v>
      </c>
      <c r="H252" s="4" t="s">
        <v>73</v>
      </c>
      <c r="I252" s="4" t="s">
        <v>16</v>
      </c>
    </row>
    <row r="253" spans="1:13" ht="14" customHeight="1">
      <c r="A253" s="4">
        <v>41</v>
      </c>
      <c r="B253" s="4" t="s">
        <v>775</v>
      </c>
      <c r="C253" s="4" t="s">
        <v>82</v>
      </c>
      <c r="D253" s="4" t="s">
        <v>83</v>
      </c>
      <c r="E253" s="4" t="s">
        <v>776</v>
      </c>
      <c r="F253" s="4" t="e">
        <v>#VALUE!</v>
      </c>
      <c r="G253" s="4" t="e">
        <v>#VALUE!</v>
      </c>
      <c r="H253" s="4" t="s">
        <v>85</v>
      </c>
      <c r="I253" s="4" t="s">
        <v>16</v>
      </c>
      <c r="J253" s="4" t="s">
        <v>86</v>
      </c>
    </row>
    <row r="254" spans="1:13" ht="14" customHeight="1">
      <c r="A254" s="4">
        <v>40</v>
      </c>
      <c r="B254" s="4" t="s">
        <v>777</v>
      </c>
      <c r="C254" s="4" t="s">
        <v>778</v>
      </c>
      <c r="D254" s="4" t="s">
        <v>83</v>
      </c>
      <c r="E254" s="4" t="s">
        <v>779</v>
      </c>
      <c r="F254" s="4" t="e">
        <v>#VALUE!</v>
      </c>
      <c r="G254" s="4" t="e">
        <v>#VALUE!</v>
      </c>
      <c r="H254" s="4" t="s">
        <v>780</v>
      </c>
      <c r="I254" s="4" t="s">
        <v>16</v>
      </c>
      <c r="J254" s="4" t="s">
        <v>563</v>
      </c>
      <c r="K254" s="4" t="s">
        <v>781</v>
      </c>
      <c r="L254" s="4" t="s">
        <v>71</v>
      </c>
      <c r="M254" s="4" t="s">
        <v>782</v>
      </c>
    </row>
    <row r="255" spans="1:13" ht="14" customHeight="1">
      <c r="A255" s="4">
        <v>39</v>
      </c>
      <c r="B255" s="4" t="s">
        <v>783</v>
      </c>
      <c r="C255" s="4" t="s">
        <v>446</v>
      </c>
      <c r="D255" s="4" t="s">
        <v>83</v>
      </c>
      <c r="E255" s="4" t="s">
        <v>784</v>
      </c>
      <c r="F255" s="4" t="e">
        <v>#VALUE!</v>
      </c>
      <c r="G255" s="4" t="e">
        <v>#VALUE!</v>
      </c>
      <c r="H255" s="4" t="s">
        <v>448</v>
      </c>
      <c r="I255" s="4" t="s">
        <v>16</v>
      </c>
      <c r="J255" s="4" t="s">
        <v>17</v>
      </c>
    </row>
    <row r="256" spans="1:13" ht="14" customHeight="1">
      <c r="A256" s="4">
        <v>38</v>
      </c>
      <c r="B256" s="4" t="s">
        <v>785</v>
      </c>
      <c r="C256" s="4" t="s">
        <v>82</v>
      </c>
      <c r="D256" s="4" t="s">
        <v>83</v>
      </c>
      <c r="E256" s="4" t="s">
        <v>786</v>
      </c>
      <c r="F256" s="4" t="e">
        <v>#VALUE!</v>
      </c>
      <c r="G256" s="4" t="e">
        <v>#VALUE!</v>
      </c>
      <c r="H256" s="4" t="s">
        <v>85</v>
      </c>
      <c r="I256" s="4" t="s">
        <v>16</v>
      </c>
      <c r="J256" s="4" t="s">
        <v>86</v>
      </c>
    </row>
    <row r="257" spans="1:11" ht="14" customHeight="1">
      <c r="A257" s="4">
        <v>37</v>
      </c>
      <c r="B257" s="4" t="s">
        <v>787</v>
      </c>
      <c r="C257" s="4" t="s">
        <v>82</v>
      </c>
      <c r="D257" s="4" t="s">
        <v>83</v>
      </c>
      <c r="E257" s="4" t="s">
        <v>788</v>
      </c>
      <c r="F257" s="4" t="e">
        <v>#VALUE!</v>
      </c>
      <c r="G257" s="4" t="e">
        <v>#VALUE!</v>
      </c>
      <c r="H257" s="4" t="s">
        <v>85</v>
      </c>
      <c r="I257" s="4" t="s">
        <v>16</v>
      </c>
      <c r="J257" s="4" t="s">
        <v>86</v>
      </c>
    </row>
    <row r="258" spans="1:11" ht="14" customHeight="1">
      <c r="A258" s="4">
        <v>36</v>
      </c>
      <c r="B258" s="4" t="s">
        <v>789</v>
      </c>
      <c r="C258" s="4" t="s">
        <v>88</v>
      </c>
      <c r="D258" s="4" t="s">
        <v>89</v>
      </c>
      <c r="E258" s="4" t="s">
        <v>90</v>
      </c>
      <c r="F258" s="4" t="e">
        <v>#VALUE!</v>
      </c>
      <c r="G258" s="4" t="e">
        <v>#VALUE!</v>
      </c>
      <c r="H258" s="4" t="s">
        <v>91</v>
      </c>
      <c r="I258" s="4" t="s">
        <v>16</v>
      </c>
      <c r="J258" s="4" t="s">
        <v>17</v>
      </c>
      <c r="K258" s="4" t="s">
        <v>86</v>
      </c>
    </row>
    <row r="259" spans="1:11" ht="14" customHeight="1">
      <c r="A259" s="4">
        <v>35</v>
      </c>
      <c r="B259" s="4" t="s">
        <v>790</v>
      </c>
      <c r="C259" s="4" t="s">
        <v>73</v>
      </c>
      <c r="D259" s="4" t="s">
        <v>89</v>
      </c>
      <c r="E259" s="4" t="s">
        <v>93</v>
      </c>
      <c r="F259" s="4" t="e">
        <v>#VALUE!</v>
      </c>
      <c r="G259" s="4" t="e">
        <v>#VALUE!</v>
      </c>
      <c r="H259" s="4" t="s">
        <v>73</v>
      </c>
      <c r="I259" s="4" t="s">
        <v>16</v>
      </c>
    </row>
    <row r="260" spans="1:11" ht="14" customHeight="1">
      <c r="A260" s="4">
        <v>34</v>
      </c>
      <c r="B260" s="4" t="s">
        <v>791</v>
      </c>
      <c r="C260" s="4" t="s">
        <v>792</v>
      </c>
      <c r="D260" s="4" t="s">
        <v>89</v>
      </c>
      <c r="E260" s="4" t="s">
        <v>793</v>
      </c>
      <c r="F260" s="4" t="e">
        <v>#VALUE!</v>
      </c>
      <c r="G260" s="4" t="e">
        <v>#VALUE!</v>
      </c>
      <c r="H260" s="4" t="s">
        <v>792</v>
      </c>
      <c r="I260" s="4" t="s">
        <v>16</v>
      </c>
      <c r="J260" s="4" t="s">
        <v>441</v>
      </c>
    </row>
    <row r="261" spans="1:11" ht="14" customHeight="1">
      <c r="A261" s="4">
        <v>33</v>
      </c>
      <c r="B261" s="4" t="s">
        <v>794</v>
      </c>
      <c r="C261" s="4" t="s">
        <v>310</v>
      </c>
      <c r="D261" s="4" t="s">
        <v>89</v>
      </c>
      <c r="E261" s="4" t="s">
        <v>795</v>
      </c>
      <c r="F261" s="4" t="e">
        <v>#VALUE!</v>
      </c>
      <c r="G261" s="4" t="e">
        <v>#VALUE!</v>
      </c>
      <c r="H261" s="4" t="s">
        <v>310</v>
      </c>
      <c r="I261" s="4" t="s">
        <v>16</v>
      </c>
    </row>
    <row r="262" spans="1:11" ht="14" customHeight="1">
      <c r="A262" s="4">
        <v>32</v>
      </c>
      <c r="B262" s="4" t="s">
        <v>796</v>
      </c>
      <c r="C262" s="4" t="s">
        <v>82</v>
      </c>
      <c r="D262" s="4" t="s">
        <v>89</v>
      </c>
      <c r="E262" s="4" t="s">
        <v>797</v>
      </c>
      <c r="F262" s="4" t="e">
        <v>#VALUE!</v>
      </c>
      <c r="G262" s="4" t="e">
        <v>#VALUE!</v>
      </c>
      <c r="H262" s="4" t="s">
        <v>85</v>
      </c>
      <c r="I262" s="4" t="s">
        <v>16</v>
      </c>
      <c r="J262" s="4" t="s">
        <v>86</v>
      </c>
    </row>
    <row r="263" spans="1:11" ht="14" customHeight="1">
      <c r="A263" s="4">
        <v>31</v>
      </c>
      <c r="B263" s="4" t="s">
        <v>798</v>
      </c>
      <c r="C263" s="4" t="s">
        <v>82</v>
      </c>
      <c r="D263" s="4" t="s">
        <v>89</v>
      </c>
      <c r="E263" s="4" t="s">
        <v>799</v>
      </c>
      <c r="F263" s="4" t="e">
        <v>#VALUE!</v>
      </c>
      <c r="G263" s="4" t="e">
        <v>#VALUE!</v>
      </c>
      <c r="H263" s="4" t="s">
        <v>85</v>
      </c>
      <c r="I263" s="4" t="s">
        <v>16</v>
      </c>
      <c r="J263" s="4" t="s">
        <v>86</v>
      </c>
    </row>
    <row r="264" spans="1:11" ht="14" customHeight="1">
      <c r="A264" s="4">
        <v>30</v>
      </c>
      <c r="B264" s="4" t="s">
        <v>800</v>
      </c>
      <c r="C264" s="4" t="s">
        <v>95</v>
      </c>
      <c r="D264" s="4" t="s">
        <v>89</v>
      </c>
      <c r="E264" s="4" t="s">
        <v>801</v>
      </c>
      <c r="F264" s="4" t="e">
        <v>#VALUE!</v>
      </c>
      <c r="G264" s="4" t="e">
        <v>#VALUE!</v>
      </c>
      <c r="H264" s="4" t="s">
        <v>97</v>
      </c>
      <c r="I264" s="4" t="s">
        <v>16</v>
      </c>
      <c r="J264" s="4" t="s">
        <v>71</v>
      </c>
    </row>
    <row r="265" spans="1:11" ht="14" customHeight="1">
      <c r="A265" s="4">
        <v>29</v>
      </c>
      <c r="B265" s="4" t="s">
        <v>802</v>
      </c>
      <c r="C265" s="4" t="s">
        <v>73</v>
      </c>
      <c r="D265" s="4" t="s">
        <v>89</v>
      </c>
      <c r="E265" s="4" t="s">
        <v>803</v>
      </c>
      <c r="F265" s="4" t="e">
        <v>#VALUE!</v>
      </c>
      <c r="G265" s="4" t="e">
        <v>#VALUE!</v>
      </c>
      <c r="H265" s="4" t="s">
        <v>73</v>
      </c>
      <c r="I265" s="4" t="s">
        <v>16</v>
      </c>
    </row>
    <row r="266" spans="1:11" ht="14" customHeight="1">
      <c r="A266" s="4">
        <v>28</v>
      </c>
      <c r="B266" s="4" t="s">
        <v>804</v>
      </c>
      <c r="C266" s="4" t="s">
        <v>82</v>
      </c>
      <c r="D266" s="4" t="s">
        <v>89</v>
      </c>
      <c r="E266" s="4" t="s">
        <v>805</v>
      </c>
      <c r="F266" s="4" t="e">
        <v>#VALUE!</v>
      </c>
      <c r="G266" s="4" t="e">
        <v>#VALUE!</v>
      </c>
      <c r="H266" s="4" t="s">
        <v>85</v>
      </c>
      <c r="I266" s="4" t="s">
        <v>16</v>
      </c>
      <c r="J266" s="4" t="s">
        <v>86</v>
      </c>
    </row>
    <row r="267" spans="1:11" ht="14" customHeight="1">
      <c r="A267" s="4">
        <v>27</v>
      </c>
      <c r="B267" s="4" t="s">
        <v>806</v>
      </c>
      <c r="C267" s="4" t="s">
        <v>73</v>
      </c>
      <c r="D267" s="4" t="s">
        <v>89</v>
      </c>
      <c r="E267" s="4" t="s">
        <v>807</v>
      </c>
      <c r="F267" s="4" t="e">
        <v>#VALUE!</v>
      </c>
      <c r="G267" s="4" t="e">
        <v>#VALUE!</v>
      </c>
      <c r="H267" s="4" t="s">
        <v>73</v>
      </c>
      <c r="I267" s="4" t="s">
        <v>16</v>
      </c>
    </row>
    <row r="268" spans="1:11" ht="14" customHeight="1">
      <c r="A268" s="4">
        <v>26</v>
      </c>
      <c r="B268" s="4" t="s">
        <v>808</v>
      </c>
      <c r="C268" s="4" t="s">
        <v>82</v>
      </c>
      <c r="D268" s="4" t="s">
        <v>89</v>
      </c>
      <c r="E268" s="4" t="s">
        <v>809</v>
      </c>
      <c r="F268" s="4" t="e">
        <v>#VALUE!</v>
      </c>
      <c r="G268" s="4" t="e">
        <v>#VALUE!</v>
      </c>
      <c r="H268" s="4" t="s">
        <v>85</v>
      </c>
      <c r="I268" s="4" t="s">
        <v>16</v>
      </c>
      <c r="J268" s="4" t="s">
        <v>86</v>
      </c>
    </row>
    <row r="269" spans="1:11" ht="14" customHeight="1">
      <c r="A269" s="4">
        <v>25</v>
      </c>
      <c r="B269" s="4" t="s">
        <v>810</v>
      </c>
      <c r="C269" s="4" t="s">
        <v>443</v>
      </c>
      <c r="D269" s="4" t="s">
        <v>89</v>
      </c>
      <c r="E269" s="4" t="s">
        <v>811</v>
      </c>
      <c r="F269" s="4" t="e">
        <v>#VALUE!</v>
      </c>
      <c r="G269" s="4" t="e">
        <v>#VALUE!</v>
      </c>
      <c r="H269" s="4" t="s">
        <v>443</v>
      </c>
      <c r="I269" s="4" t="s">
        <v>16</v>
      </c>
    </row>
    <row r="270" spans="1:11" ht="14" customHeight="1">
      <c r="A270" s="4">
        <v>24</v>
      </c>
      <c r="B270" s="4" t="s">
        <v>812</v>
      </c>
      <c r="C270" s="4" t="s">
        <v>82</v>
      </c>
      <c r="D270" s="4" t="s">
        <v>89</v>
      </c>
      <c r="E270" s="4" t="s">
        <v>813</v>
      </c>
      <c r="F270" s="4" t="s">
        <v>814</v>
      </c>
      <c r="G270" s="4">
        <v>264</v>
      </c>
      <c r="H270" s="4" t="s">
        <v>85</v>
      </c>
      <c r="I270" s="4" t="s">
        <v>16</v>
      </c>
      <c r="J270" s="4" t="s">
        <v>86</v>
      </c>
    </row>
    <row r="271" spans="1:11" ht="14" customHeight="1">
      <c r="A271" s="4">
        <v>23</v>
      </c>
      <c r="B271" s="4" t="s">
        <v>815</v>
      </c>
      <c r="C271" s="4" t="s">
        <v>73</v>
      </c>
      <c r="D271" s="4" t="s">
        <v>99</v>
      </c>
      <c r="E271" s="4" t="s">
        <v>816</v>
      </c>
      <c r="F271" s="4" t="e">
        <v>#VALUE!</v>
      </c>
      <c r="G271" s="4" t="e">
        <v>#VALUE!</v>
      </c>
      <c r="H271" s="4" t="s">
        <v>73</v>
      </c>
      <c r="I271" s="4" t="s">
        <v>16</v>
      </c>
    </row>
    <row r="272" spans="1:11" ht="14" customHeight="1">
      <c r="A272" s="4">
        <v>22</v>
      </c>
      <c r="B272" s="4" t="s">
        <v>817</v>
      </c>
      <c r="C272" s="4" t="s">
        <v>73</v>
      </c>
      <c r="D272" s="4" t="s">
        <v>99</v>
      </c>
      <c r="E272" s="4" t="s">
        <v>818</v>
      </c>
      <c r="F272" s="4" t="e">
        <v>#VALUE!</v>
      </c>
      <c r="G272" s="4" t="e">
        <v>#VALUE!</v>
      </c>
      <c r="H272" s="4" t="s">
        <v>73</v>
      </c>
      <c r="I272" s="4" t="s">
        <v>16</v>
      </c>
    </row>
    <row r="273" spans="1:11" ht="14" customHeight="1">
      <c r="A273" s="4">
        <v>21</v>
      </c>
      <c r="B273" s="4" t="s">
        <v>819</v>
      </c>
      <c r="C273" s="4" t="s">
        <v>820</v>
      </c>
      <c r="D273" s="4" t="s">
        <v>99</v>
      </c>
      <c r="E273" s="4" t="s">
        <v>821</v>
      </c>
      <c r="F273" s="4" t="e">
        <v>#VALUE!</v>
      </c>
      <c r="G273" s="4" t="e">
        <v>#VALUE!</v>
      </c>
      <c r="H273" s="4" t="s">
        <v>822</v>
      </c>
      <c r="I273" s="4" t="s">
        <v>16</v>
      </c>
      <c r="J273" s="4" t="s">
        <v>17</v>
      </c>
    </row>
    <row r="274" spans="1:11" ht="14" customHeight="1">
      <c r="A274" s="4">
        <v>20</v>
      </c>
      <c r="B274" s="4" t="s">
        <v>823</v>
      </c>
      <c r="C274" s="4" t="s">
        <v>95</v>
      </c>
      <c r="D274" s="4" t="s">
        <v>99</v>
      </c>
      <c r="E274" s="4" t="s">
        <v>824</v>
      </c>
      <c r="F274" s="4" t="e">
        <v>#VALUE!</v>
      </c>
      <c r="G274" s="4" t="e">
        <v>#VALUE!</v>
      </c>
      <c r="H274" s="4" t="s">
        <v>97</v>
      </c>
      <c r="I274" s="4" t="s">
        <v>16</v>
      </c>
      <c r="J274" s="4" t="s">
        <v>71</v>
      </c>
    </row>
    <row r="275" spans="1:11" ht="14" customHeight="1">
      <c r="A275" s="4">
        <v>19</v>
      </c>
      <c r="B275" s="4" t="s">
        <v>825</v>
      </c>
      <c r="C275" s="4" t="s">
        <v>82</v>
      </c>
      <c r="D275" s="4" t="s">
        <v>99</v>
      </c>
      <c r="E275" s="4" t="s">
        <v>826</v>
      </c>
      <c r="F275" s="4" t="e">
        <v>#VALUE!</v>
      </c>
      <c r="G275" s="4" t="e">
        <v>#VALUE!</v>
      </c>
      <c r="H275" s="4" t="s">
        <v>85</v>
      </c>
      <c r="I275" s="4" t="s">
        <v>16</v>
      </c>
      <c r="J275" s="4" t="s">
        <v>86</v>
      </c>
    </row>
    <row r="276" spans="1:11" ht="14" customHeight="1">
      <c r="A276" s="4">
        <v>18</v>
      </c>
      <c r="B276" s="4" t="s">
        <v>827</v>
      </c>
      <c r="C276" s="4" t="s">
        <v>95</v>
      </c>
      <c r="D276" s="4" t="s">
        <v>99</v>
      </c>
      <c r="E276" s="4" t="s">
        <v>828</v>
      </c>
      <c r="F276" s="4" t="e">
        <v>#VALUE!</v>
      </c>
      <c r="G276" s="4" t="e">
        <v>#VALUE!</v>
      </c>
      <c r="H276" s="4" t="s">
        <v>97</v>
      </c>
      <c r="I276" s="4" t="s">
        <v>16</v>
      </c>
      <c r="J276" s="4" t="s">
        <v>71</v>
      </c>
    </row>
    <row r="277" spans="1:11" ht="14" customHeight="1">
      <c r="A277" s="4">
        <v>17</v>
      </c>
      <c r="B277" s="4" t="s">
        <v>829</v>
      </c>
      <c r="C277" s="4" t="s">
        <v>830</v>
      </c>
      <c r="D277" s="4" t="s">
        <v>99</v>
      </c>
      <c r="E277" s="4" t="s">
        <v>831</v>
      </c>
      <c r="F277" s="4" t="e">
        <v>#VALUE!</v>
      </c>
      <c r="G277" s="4" t="e">
        <v>#VALUE!</v>
      </c>
      <c r="H277" s="4" t="s">
        <v>832</v>
      </c>
      <c r="I277" s="4" t="s">
        <v>16</v>
      </c>
      <c r="J277" s="4" t="s">
        <v>17</v>
      </c>
      <c r="K277" s="4" t="s">
        <v>323</v>
      </c>
    </row>
    <row r="278" spans="1:11" ht="14" customHeight="1">
      <c r="A278" s="4">
        <v>16</v>
      </c>
      <c r="B278" s="4" t="s">
        <v>833</v>
      </c>
      <c r="C278" s="4" t="s">
        <v>830</v>
      </c>
      <c r="D278" s="4" t="s">
        <v>99</v>
      </c>
      <c r="E278" s="4" t="s">
        <v>834</v>
      </c>
      <c r="F278" s="4" t="e">
        <v>#VALUE!</v>
      </c>
      <c r="G278" s="4" t="e">
        <v>#VALUE!</v>
      </c>
      <c r="H278" s="4" t="s">
        <v>832</v>
      </c>
      <c r="I278" s="4" t="s">
        <v>16</v>
      </c>
      <c r="J278" s="4" t="s">
        <v>17</v>
      </c>
      <c r="K278" s="4" t="s">
        <v>323</v>
      </c>
    </row>
    <row r="279" spans="1:11" ht="14" customHeight="1">
      <c r="A279" s="4">
        <v>15</v>
      </c>
      <c r="B279" s="4" t="s">
        <v>835</v>
      </c>
      <c r="C279" s="4" t="s">
        <v>73</v>
      </c>
      <c r="D279" s="4" t="s">
        <v>320</v>
      </c>
      <c r="E279" s="4" t="s">
        <v>836</v>
      </c>
      <c r="F279" s="4" t="s">
        <v>837</v>
      </c>
      <c r="G279" s="4">
        <v>258</v>
      </c>
      <c r="H279" s="4" t="s">
        <v>73</v>
      </c>
      <c r="I279" s="4" t="s">
        <v>16</v>
      </c>
    </row>
    <row r="280" spans="1:11" ht="14" customHeight="1">
      <c r="A280" s="4">
        <v>14</v>
      </c>
      <c r="B280" s="4" t="s">
        <v>838</v>
      </c>
      <c r="C280" s="4" t="s">
        <v>319</v>
      </c>
      <c r="D280" s="4" t="s">
        <v>320</v>
      </c>
      <c r="E280" s="4" t="s">
        <v>839</v>
      </c>
      <c r="F280" s="4" t="e">
        <v>#VALUE!</v>
      </c>
      <c r="G280" s="4" t="e">
        <v>#VALUE!</v>
      </c>
      <c r="H280" s="4" t="s">
        <v>322</v>
      </c>
      <c r="I280" s="4" t="s">
        <v>16</v>
      </c>
      <c r="J280" s="4" t="s">
        <v>86</v>
      </c>
      <c r="K280" s="4" t="s">
        <v>323</v>
      </c>
    </row>
    <row r="281" spans="1:11" ht="14" customHeight="1">
      <c r="A281" s="4">
        <v>13</v>
      </c>
      <c r="B281" s="4" t="s">
        <v>840</v>
      </c>
      <c r="C281" s="4" t="s">
        <v>319</v>
      </c>
      <c r="D281" s="4" t="s">
        <v>320</v>
      </c>
      <c r="E281" s="4" t="s">
        <v>841</v>
      </c>
      <c r="F281" s="4" t="e">
        <v>#VALUE!</v>
      </c>
      <c r="G281" s="4" t="e">
        <v>#VALUE!</v>
      </c>
      <c r="H281" s="4" t="s">
        <v>322</v>
      </c>
      <c r="I281" s="4" t="s">
        <v>16</v>
      </c>
      <c r="J281" s="4" t="s">
        <v>86</v>
      </c>
      <c r="K281" s="4" t="s">
        <v>323</v>
      </c>
    </row>
    <row r="282" spans="1:11" ht="14" customHeight="1">
      <c r="A282" s="4">
        <v>12</v>
      </c>
      <c r="B282" s="4" t="s">
        <v>842</v>
      </c>
      <c r="C282" s="4" t="s">
        <v>830</v>
      </c>
      <c r="D282" s="4" t="s">
        <v>320</v>
      </c>
      <c r="E282" s="4" t="s">
        <v>843</v>
      </c>
      <c r="F282" s="4" t="e">
        <v>#VALUE!</v>
      </c>
      <c r="G282" s="4" t="e">
        <v>#VALUE!</v>
      </c>
      <c r="H282" s="4" t="s">
        <v>832</v>
      </c>
      <c r="I282" s="4" t="s">
        <v>16</v>
      </c>
      <c r="J282" s="4" t="s">
        <v>17</v>
      </c>
      <c r="K282" s="4" t="s">
        <v>323</v>
      </c>
    </row>
    <row r="283" spans="1:11" ht="14" customHeight="1">
      <c r="A283" s="4">
        <v>11</v>
      </c>
      <c r="B283" s="4" t="s">
        <v>844</v>
      </c>
      <c r="C283" s="4" t="s">
        <v>830</v>
      </c>
      <c r="D283" s="4" t="s">
        <v>320</v>
      </c>
      <c r="E283" s="4" t="s">
        <v>845</v>
      </c>
      <c r="F283" s="4" t="e">
        <v>#VALUE!</v>
      </c>
      <c r="G283" s="4" t="e">
        <v>#VALUE!</v>
      </c>
      <c r="H283" s="4" t="s">
        <v>832</v>
      </c>
      <c r="I283" s="4" t="s">
        <v>16</v>
      </c>
      <c r="J283" s="4" t="s">
        <v>17</v>
      </c>
      <c r="K283" s="4" t="s">
        <v>323</v>
      </c>
    </row>
    <row r="284" spans="1:11" ht="14" customHeight="1">
      <c r="A284" s="4">
        <v>10</v>
      </c>
      <c r="B284" s="4" t="s">
        <v>846</v>
      </c>
      <c r="C284" s="4" t="s">
        <v>95</v>
      </c>
      <c r="D284" s="4" t="s">
        <v>320</v>
      </c>
      <c r="E284" s="4" t="s">
        <v>847</v>
      </c>
      <c r="F284" s="4" t="e">
        <v>#VALUE!</v>
      </c>
      <c r="G284" s="4" t="e">
        <v>#VALUE!</v>
      </c>
      <c r="H284" s="4" t="s">
        <v>97</v>
      </c>
      <c r="I284" s="4" t="s">
        <v>16</v>
      </c>
      <c r="J284" s="4" t="s">
        <v>71</v>
      </c>
    </row>
    <row r="285" spans="1:11" ht="14" customHeight="1">
      <c r="A285" s="4">
        <v>9</v>
      </c>
      <c r="B285" s="4" t="s">
        <v>848</v>
      </c>
      <c r="C285" s="4" t="s">
        <v>325</v>
      </c>
      <c r="D285" s="4" t="s">
        <v>345</v>
      </c>
      <c r="E285" s="4" t="s">
        <v>849</v>
      </c>
      <c r="F285" s="4" t="e">
        <v>#VALUE!</v>
      </c>
      <c r="G285" s="4" t="e">
        <v>#VALUE!</v>
      </c>
      <c r="H285" s="4" t="s">
        <v>328</v>
      </c>
      <c r="I285" s="4" t="s">
        <v>16</v>
      </c>
      <c r="J285" s="4" t="s">
        <v>71</v>
      </c>
      <c r="K285" s="4" t="s">
        <v>329</v>
      </c>
    </row>
    <row r="286" spans="1:11" ht="14" customHeight="1">
      <c r="A286" s="4">
        <v>8</v>
      </c>
      <c r="B286" s="4" t="s">
        <v>850</v>
      </c>
      <c r="C286" s="4" t="s">
        <v>319</v>
      </c>
      <c r="D286" s="4" t="s">
        <v>345</v>
      </c>
      <c r="E286" s="4" t="s">
        <v>851</v>
      </c>
      <c r="F286" s="4" t="e">
        <v>#VALUE!</v>
      </c>
      <c r="G286" s="4" t="e">
        <v>#VALUE!</v>
      </c>
      <c r="H286" s="4" t="s">
        <v>322</v>
      </c>
      <c r="I286" s="4" t="s">
        <v>16</v>
      </c>
      <c r="J286" s="4" t="s">
        <v>86</v>
      </c>
      <c r="K286" s="4" t="s">
        <v>323</v>
      </c>
    </row>
    <row r="287" spans="1:11" ht="14" customHeight="1">
      <c r="A287" s="4">
        <v>7</v>
      </c>
      <c r="B287" s="4" t="s">
        <v>852</v>
      </c>
      <c r="C287" s="4" t="s">
        <v>73</v>
      </c>
      <c r="D287" s="4" t="s">
        <v>345</v>
      </c>
      <c r="E287" s="4" t="s">
        <v>853</v>
      </c>
      <c r="F287" s="4" t="e">
        <v>#VALUE!</v>
      </c>
      <c r="G287" s="4" t="e">
        <v>#VALUE!</v>
      </c>
      <c r="H287" s="4" t="s">
        <v>73</v>
      </c>
      <c r="I287" s="4" t="s">
        <v>16</v>
      </c>
    </row>
    <row r="288" spans="1:11" ht="14" customHeight="1">
      <c r="A288" s="4">
        <v>6</v>
      </c>
      <c r="B288" s="4" t="s">
        <v>854</v>
      </c>
      <c r="C288" s="4" t="s">
        <v>73</v>
      </c>
      <c r="D288" s="4" t="s">
        <v>345</v>
      </c>
      <c r="E288" s="4" t="s">
        <v>855</v>
      </c>
      <c r="F288" s="4" t="e">
        <v>#VALUE!</v>
      </c>
      <c r="G288" s="4" t="e">
        <v>#VALUE!</v>
      </c>
      <c r="H288" s="4" t="s">
        <v>73</v>
      </c>
      <c r="I288" s="4" t="s">
        <v>16</v>
      </c>
    </row>
    <row r="289" spans="1:11" ht="14" customHeight="1">
      <c r="A289" s="4">
        <v>5</v>
      </c>
      <c r="B289" s="4" t="s">
        <v>856</v>
      </c>
      <c r="C289" s="4" t="s">
        <v>73</v>
      </c>
      <c r="D289" s="4" t="s">
        <v>331</v>
      </c>
      <c r="E289" s="4" t="s">
        <v>857</v>
      </c>
      <c r="F289" s="4" t="e">
        <v>#VALUE!</v>
      </c>
      <c r="G289" s="4" t="e">
        <v>#VALUE!</v>
      </c>
      <c r="H289" s="4" t="s">
        <v>73</v>
      </c>
      <c r="I289" s="4" t="s">
        <v>16</v>
      </c>
    </row>
    <row r="290" spans="1:11" ht="14" customHeight="1">
      <c r="A290" s="4">
        <v>4</v>
      </c>
      <c r="B290" s="4" t="s">
        <v>858</v>
      </c>
      <c r="C290" s="4" t="s">
        <v>73</v>
      </c>
      <c r="D290" s="4" t="s">
        <v>331</v>
      </c>
      <c r="E290" s="4" t="s">
        <v>859</v>
      </c>
      <c r="F290" s="4" t="e">
        <v>#VALUE!</v>
      </c>
      <c r="G290" s="4" t="e">
        <v>#VALUE!</v>
      </c>
      <c r="H290" s="4" t="s">
        <v>73</v>
      </c>
      <c r="I290" s="4" t="s">
        <v>16</v>
      </c>
    </row>
    <row r="291" spans="1:11" ht="14" customHeight="1">
      <c r="A291" s="4">
        <v>3</v>
      </c>
      <c r="B291" s="4" t="s">
        <v>860</v>
      </c>
      <c r="C291" s="4" t="s">
        <v>73</v>
      </c>
      <c r="D291" s="4" t="s">
        <v>331</v>
      </c>
      <c r="E291" s="4" t="s">
        <v>861</v>
      </c>
      <c r="F291" s="4" t="e">
        <v>#VALUE!</v>
      </c>
      <c r="G291" s="4" t="e">
        <v>#VALUE!</v>
      </c>
      <c r="H291" s="4" t="s">
        <v>73</v>
      </c>
      <c r="I291" s="4" t="s">
        <v>16</v>
      </c>
    </row>
    <row r="292" spans="1:11" ht="14" customHeight="1">
      <c r="A292" s="4">
        <v>2</v>
      </c>
      <c r="B292" s="4" t="s">
        <v>862</v>
      </c>
      <c r="C292" s="4" t="s">
        <v>73</v>
      </c>
      <c r="D292" s="4" t="s">
        <v>331</v>
      </c>
      <c r="E292" s="4" t="s">
        <v>863</v>
      </c>
      <c r="F292" s="4" t="e">
        <v>#VALUE!</v>
      </c>
      <c r="G292" s="4" t="e">
        <v>#VALUE!</v>
      </c>
      <c r="H292" s="4" t="s">
        <v>73</v>
      </c>
      <c r="I292" s="4" t="s">
        <v>16</v>
      </c>
    </row>
    <row r="293" spans="1:11" ht="14" customHeight="1">
      <c r="A293" s="4">
        <v>1</v>
      </c>
      <c r="B293" s="4" t="s">
        <v>864</v>
      </c>
      <c r="C293" s="4" t="s">
        <v>73</v>
      </c>
      <c r="D293" s="4" t="s">
        <v>865</v>
      </c>
      <c r="E293" s="4" t="s">
        <v>866</v>
      </c>
      <c r="F293" s="4" t="e">
        <v>#VALUE!</v>
      </c>
      <c r="G293" s="4" t="e">
        <v>#VALUE!</v>
      </c>
      <c r="H293" s="4" t="s">
        <v>73</v>
      </c>
      <c r="I293" s="4" t="s">
        <v>16</v>
      </c>
    </row>
    <row r="294" spans="1:11" ht="14" customHeight="1">
      <c r="A294" s="4" t="s">
        <v>6</v>
      </c>
      <c r="B294" s="4" t="s">
        <v>867</v>
      </c>
      <c r="C294" s="4" t="e">
        <v>#VALUE!</v>
      </c>
      <c r="D294" s="4" t="e">
        <v>#VALUE!</v>
      </c>
      <c r="E294" s="4" t="e">
        <v>#VALUE!</v>
      </c>
      <c r="F294" s="4" t="e">
        <v>#VALUE!</v>
      </c>
      <c r="G294" s="4" t="e">
        <v>#VALUE!</v>
      </c>
      <c r="H294" s="4" t="e">
        <v>#VALUE!</v>
      </c>
      <c r="I294" s="4" t="s">
        <v>16</v>
      </c>
    </row>
    <row r="295" spans="1:11" ht="14" customHeight="1">
      <c r="A295" s="4" t="s">
        <v>8</v>
      </c>
      <c r="B295" s="4" t="s">
        <v>474</v>
      </c>
      <c r="C295" s="4" t="e">
        <v>#VALUE!</v>
      </c>
      <c r="D295" s="4" t="e">
        <v>#VALUE!</v>
      </c>
      <c r="E295" s="4" t="e">
        <v>#VALUE!</v>
      </c>
      <c r="F295" s="4" t="e">
        <v>#VALUE!</v>
      </c>
      <c r="G295" s="4" t="e">
        <v>#VALUE!</v>
      </c>
      <c r="H295" s="4" t="e">
        <v>#VALUE!</v>
      </c>
      <c r="I295" s="4" t="s">
        <v>16</v>
      </c>
    </row>
    <row r="296" spans="1:11" ht="14" customHeight="1">
      <c r="A296" s="4">
        <v>9</v>
      </c>
      <c r="B296" s="4" t="s">
        <v>868</v>
      </c>
      <c r="C296" s="4" t="s">
        <v>73</v>
      </c>
      <c r="D296" s="4" t="s">
        <v>220</v>
      </c>
      <c r="E296" s="4" t="s">
        <v>869</v>
      </c>
      <c r="F296" s="4" t="e">
        <v>#VALUE!</v>
      </c>
      <c r="G296" s="4" t="e">
        <v>#VALUE!</v>
      </c>
      <c r="H296" s="4" t="s">
        <v>73</v>
      </c>
      <c r="I296" s="4" t="s">
        <v>16</v>
      </c>
    </row>
    <row r="297" spans="1:11" ht="14" customHeight="1">
      <c r="A297" s="4">
        <v>8</v>
      </c>
      <c r="B297" s="4" t="s">
        <v>870</v>
      </c>
      <c r="C297" s="4" t="s">
        <v>73</v>
      </c>
      <c r="D297" s="4" t="s">
        <v>220</v>
      </c>
      <c r="E297" s="4" t="s">
        <v>871</v>
      </c>
      <c r="F297" s="4" t="e">
        <v>#VALUE!</v>
      </c>
      <c r="G297" s="4" t="e">
        <v>#VALUE!</v>
      </c>
      <c r="H297" s="4" t="s">
        <v>73</v>
      </c>
      <c r="I297" s="4" t="s">
        <v>16</v>
      </c>
    </row>
    <row r="298" spans="1:11" ht="14" customHeight="1">
      <c r="A298" s="4">
        <v>7</v>
      </c>
      <c r="B298" s="4" t="s">
        <v>872</v>
      </c>
      <c r="C298" s="4" t="s">
        <v>73</v>
      </c>
      <c r="D298" s="4" t="s">
        <v>220</v>
      </c>
      <c r="E298" s="4" t="s">
        <v>873</v>
      </c>
      <c r="F298" s="4" t="e">
        <v>#VALUE!</v>
      </c>
      <c r="G298" s="4" t="e">
        <v>#VALUE!</v>
      </c>
      <c r="H298" s="4" t="s">
        <v>73</v>
      </c>
      <c r="I298" s="4" t="s">
        <v>16</v>
      </c>
    </row>
    <row r="299" spans="1:11" ht="14" customHeight="1">
      <c r="A299" s="4">
        <v>6</v>
      </c>
      <c r="B299" s="4" t="s">
        <v>874</v>
      </c>
      <c r="C299" s="4" t="s">
        <v>73</v>
      </c>
      <c r="D299" s="4" t="s">
        <v>220</v>
      </c>
      <c r="E299" s="4" t="s">
        <v>875</v>
      </c>
      <c r="F299" s="4" t="e">
        <v>#VALUE!</v>
      </c>
      <c r="G299" s="4" t="e">
        <v>#VALUE!</v>
      </c>
      <c r="H299" s="4" t="s">
        <v>73</v>
      </c>
      <c r="I299" s="4" t="s">
        <v>16</v>
      </c>
    </row>
    <row r="300" spans="1:11" ht="14" customHeight="1">
      <c r="A300" s="4">
        <v>5</v>
      </c>
      <c r="B300" s="4" t="s">
        <v>876</v>
      </c>
      <c r="C300" s="4" t="s">
        <v>73</v>
      </c>
      <c r="D300" s="4" t="s">
        <v>23</v>
      </c>
      <c r="E300" s="4" t="s">
        <v>877</v>
      </c>
      <c r="F300" s="4" t="s">
        <v>878</v>
      </c>
      <c r="G300" s="4">
        <v>294</v>
      </c>
      <c r="H300" s="4" t="s">
        <v>73</v>
      </c>
      <c r="I300" s="4" t="s">
        <v>16</v>
      </c>
    </row>
    <row r="301" spans="1:11" ht="14" customHeight="1">
      <c r="A301" s="4">
        <v>4</v>
      </c>
      <c r="B301" s="4" t="s">
        <v>879</v>
      </c>
      <c r="C301" s="4" t="s">
        <v>73</v>
      </c>
      <c r="D301" s="4" t="s">
        <v>23</v>
      </c>
      <c r="E301" s="4" t="s">
        <v>880</v>
      </c>
      <c r="F301" s="4" t="e">
        <v>#VALUE!</v>
      </c>
      <c r="G301" s="4" t="e">
        <v>#VALUE!</v>
      </c>
      <c r="H301" s="4" t="s">
        <v>73</v>
      </c>
      <c r="I301" s="4" t="s">
        <v>16</v>
      </c>
    </row>
    <row r="302" spans="1:11" ht="14" customHeight="1">
      <c r="A302" s="4">
        <v>3</v>
      </c>
      <c r="B302" s="4" t="s">
        <v>881</v>
      </c>
      <c r="C302" s="4" t="s">
        <v>73</v>
      </c>
      <c r="D302" s="4" t="s">
        <v>23</v>
      </c>
      <c r="E302" s="4" t="s">
        <v>882</v>
      </c>
      <c r="F302" s="4" t="e">
        <v>#VALUE!</v>
      </c>
      <c r="G302" s="4" t="e">
        <v>#VALUE!</v>
      </c>
      <c r="H302" s="4" t="s">
        <v>73</v>
      </c>
      <c r="I302" s="4" t="s">
        <v>16</v>
      </c>
    </row>
    <row r="303" spans="1:11" ht="14" customHeight="1">
      <c r="A303" s="4">
        <v>2</v>
      </c>
      <c r="B303" s="4" t="s">
        <v>883</v>
      </c>
      <c r="C303" s="4" t="s">
        <v>884</v>
      </c>
      <c r="D303" s="4" t="s">
        <v>45</v>
      </c>
      <c r="E303" s="4" t="s">
        <v>885</v>
      </c>
      <c r="F303" s="4" t="e">
        <v>#VALUE!</v>
      </c>
      <c r="G303" s="4" t="e">
        <v>#VALUE!</v>
      </c>
      <c r="H303" s="4" t="s">
        <v>886</v>
      </c>
      <c r="I303" s="4" t="s">
        <v>16</v>
      </c>
      <c r="J303" s="4" t="s">
        <v>887</v>
      </c>
      <c r="K303" s="4" t="s">
        <v>39</v>
      </c>
    </row>
    <row r="304" spans="1:11" ht="14" customHeight="1">
      <c r="A304" s="4">
        <v>1</v>
      </c>
      <c r="B304" s="4" t="s">
        <v>888</v>
      </c>
      <c r="C304" s="4" t="s">
        <v>73</v>
      </c>
      <c r="D304" s="4" t="s">
        <v>83</v>
      </c>
      <c r="E304" s="4" t="s">
        <v>889</v>
      </c>
      <c r="F304" s="4" t="s">
        <v>890</v>
      </c>
      <c r="G304" s="4">
        <v>137</v>
      </c>
      <c r="H304" s="4" t="s">
        <v>73</v>
      </c>
      <c r="I304" s="4" t="s">
        <v>16</v>
      </c>
    </row>
    <row r="305" spans="1:9" ht="14" customHeight="1">
      <c r="A305" s="4" t="s">
        <v>8</v>
      </c>
      <c r="B305" s="4" t="s">
        <v>891</v>
      </c>
      <c r="C305" s="4" t="e">
        <v>#VALUE!</v>
      </c>
      <c r="D305" s="4" t="e">
        <v>#VALUE!</v>
      </c>
      <c r="E305" s="4" t="e">
        <v>#VALUE!</v>
      </c>
      <c r="F305" s="4" t="e">
        <v>#VALUE!</v>
      </c>
      <c r="G305" s="4" t="e">
        <v>#VALUE!</v>
      </c>
      <c r="H305" s="4" t="e">
        <v>#VALUE!</v>
      </c>
      <c r="I305" s="4" t="s">
        <v>16</v>
      </c>
    </row>
    <row r="306" spans="1:9" ht="14" customHeight="1">
      <c r="A306" s="4" t="s">
        <v>892</v>
      </c>
      <c r="B306" s="4" t="s">
        <v>893</v>
      </c>
      <c r="C306" s="4" t="s">
        <v>108</v>
      </c>
      <c r="D306" s="4" t="s">
        <v>12</v>
      </c>
      <c r="E306" s="4" t="s">
        <v>894</v>
      </c>
      <c r="F306" s="4" t="e">
        <v>#VALUE!</v>
      </c>
      <c r="G306" s="4" t="e">
        <v>#VALUE!</v>
      </c>
      <c r="H306" s="4" t="s">
        <v>108</v>
      </c>
      <c r="I306" s="4" t="s">
        <v>16</v>
      </c>
    </row>
    <row r="307" spans="1:9" ht="14" customHeight="1">
      <c r="A307" s="4" t="s">
        <v>895</v>
      </c>
      <c r="B307" s="4" t="s">
        <v>896</v>
      </c>
      <c r="C307" s="4" t="s">
        <v>108</v>
      </c>
      <c r="D307" s="4" t="s">
        <v>12</v>
      </c>
      <c r="E307" s="4" t="s">
        <v>897</v>
      </c>
      <c r="F307" s="4" t="e">
        <v>#VALUE!</v>
      </c>
      <c r="G307" s="4" t="e">
        <v>#VALUE!</v>
      </c>
      <c r="H307" s="4" t="s">
        <v>108</v>
      </c>
      <c r="I307" s="4" t="s">
        <v>16</v>
      </c>
    </row>
    <row r="308" spans="1:9" ht="14" customHeight="1">
      <c r="A308" s="4" t="s">
        <v>898</v>
      </c>
      <c r="B308" s="4" t="s">
        <v>899</v>
      </c>
      <c r="C308" s="4" t="s">
        <v>900</v>
      </c>
      <c r="D308" s="4" t="s">
        <v>12</v>
      </c>
      <c r="E308" s="4" t="s">
        <v>901</v>
      </c>
      <c r="F308" s="4" t="e">
        <v>#VALUE!</v>
      </c>
      <c r="G308" s="4" t="e">
        <v>#VALUE!</v>
      </c>
      <c r="H308" s="4" t="s">
        <v>900</v>
      </c>
      <c r="I308" s="4" t="s">
        <v>16</v>
      </c>
    </row>
    <row r="309" spans="1:9" ht="14" customHeight="1">
      <c r="A309" s="4" t="s">
        <v>902</v>
      </c>
      <c r="B309" s="4" t="s">
        <v>903</v>
      </c>
      <c r="C309" s="4" t="s">
        <v>108</v>
      </c>
      <c r="D309" s="4" t="s">
        <v>12</v>
      </c>
      <c r="E309" s="4" t="s">
        <v>904</v>
      </c>
      <c r="F309" s="4" t="e">
        <v>#VALUE!</v>
      </c>
      <c r="G309" s="4" t="e">
        <v>#VALUE!</v>
      </c>
      <c r="H309" s="4" t="s">
        <v>108</v>
      </c>
      <c r="I309" s="4" t="s">
        <v>16</v>
      </c>
    </row>
    <row r="310" spans="1:9" ht="14" customHeight="1">
      <c r="A310" s="4" t="s">
        <v>905</v>
      </c>
      <c r="B310" s="4" t="s">
        <v>906</v>
      </c>
      <c r="C310" s="4" t="s">
        <v>108</v>
      </c>
      <c r="D310" s="4" t="s">
        <v>12</v>
      </c>
      <c r="E310" s="4" t="s">
        <v>907</v>
      </c>
      <c r="F310" s="4" t="s">
        <v>908</v>
      </c>
      <c r="G310" s="4">
        <v>293</v>
      </c>
      <c r="H310" s="4" t="s">
        <v>108</v>
      </c>
      <c r="I310" s="4" t="s">
        <v>16</v>
      </c>
    </row>
    <row r="311" spans="1:9" ht="14" customHeight="1">
      <c r="A311" s="4" t="s">
        <v>909</v>
      </c>
      <c r="B311" s="4" t="s">
        <v>910</v>
      </c>
      <c r="C311" s="4" t="s">
        <v>911</v>
      </c>
      <c r="D311" s="4" t="s">
        <v>12</v>
      </c>
      <c r="E311" s="4" t="s">
        <v>912</v>
      </c>
      <c r="F311" s="4" t="s">
        <v>913</v>
      </c>
      <c r="G311" s="4">
        <v>290</v>
      </c>
      <c r="H311" s="4" t="s">
        <v>911</v>
      </c>
      <c r="I311" s="4" t="s">
        <v>16</v>
      </c>
    </row>
    <row r="312" spans="1:9" ht="14" customHeight="1">
      <c r="A312" s="4" t="s">
        <v>914</v>
      </c>
      <c r="B312" s="4" t="s">
        <v>915</v>
      </c>
      <c r="C312" s="4" t="s">
        <v>108</v>
      </c>
      <c r="D312" s="4" t="s">
        <v>12</v>
      </c>
      <c r="E312" s="4" t="s">
        <v>916</v>
      </c>
      <c r="F312" s="4" t="s">
        <v>917</v>
      </c>
      <c r="G312" s="4">
        <v>328</v>
      </c>
      <c r="H312" s="4" t="s">
        <v>108</v>
      </c>
      <c r="I312" s="4" t="s">
        <v>16</v>
      </c>
    </row>
    <row r="313" spans="1:9" ht="14" customHeight="1">
      <c r="A313" s="4" t="s">
        <v>918</v>
      </c>
      <c r="B313" s="4" t="s">
        <v>919</v>
      </c>
      <c r="C313" s="4" t="s">
        <v>108</v>
      </c>
      <c r="D313" s="4" t="s">
        <v>12</v>
      </c>
      <c r="E313" s="4" t="s">
        <v>920</v>
      </c>
      <c r="F313" s="4" t="e">
        <v>#VALUE!</v>
      </c>
      <c r="G313" s="4" t="e">
        <v>#VALUE!</v>
      </c>
      <c r="H313" s="4" t="s">
        <v>108</v>
      </c>
      <c r="I313" s="4" t="s">
        <v>16</v>
      </c>
    </row>
    <row r="314" spans="1:9" ht="14" customHeight="1">
      <c r="A314" s="4" t="s">
        <v>921</v>
      </c>
      <c r="B314" s="4" t="s">
        <v>922</v>
      </c>
      <c r="C314" s="4" t="s">
        <v>167</v>
      </c>
      <c r="D314" s="4" t="s">
        <v>12</v>
      </c>
      <c r="E314" s="4" t="s">
        <v>923</v>
      </c>
      <c r="F314" s="4" t="e">
        <v>#VALUE!</v>
      </c>
      <c r="G314" s="4" t="e">
        <v>#VALUE!</v>
      </c>
      <c r="H314" s="4" t="s">
        <v>167</v>
      </c>
      <c r="I314" s="4" t="s">
        <v>16</v>
      </c>
    </row>
    <row r="315" spans="1:9" ht="14" customHeight="1">
      <c r="A315" s="4" t="s">
        <v>924</v>
      </c>
      <c r="B315" s="4" t="s">
        <v>925</v>
      </c>
      <c r="C315" s="4" t="s">
        <v>167</v>
      </c>
      <c r="D315" s="4" t="s">
        <v>12</v>
      </c>
      <c r="E315" s="4" t="s">
        <v>926</v>
      </c>
      <c r="F315" s="4" t="e">
        <v>#VALUE!</v>
      </c>
      <c r="G315" s="4" t="e">
        <v>#VALUE!</v>
      </c>
      <c r="H315" s="4" t="s">
        <v>167</v>
      </c>
      <c r="I315" s="4" t="s">
        <v>16</v>
      </c>
    </row>
    <row r="316" spans="1:9" ht="14" customHeight="1">
      <c r="A316" s="4">
        <v>28</v>
      </c>
      <c r="B316" s="4" t="s">
        <v>927</v>
      </c>
      <c r="C316" s="4" t="s">
        <v>184</v>
      </c>
      <c r="D316" s="4" t="s">
        <v>12</v>
      </c>
      <c r="E316" s="4" t="s">
        <v>928</v>
      </c>
      <c r="F316" s="4" t="e">
        <v>#VALUE!</v>
      </c>
      <c r="G316" s="4" t="e">
        <v>#VALUE!</v>
      </c>
      <c r="H316" s="4" t="s">
        <v>184</v>
      </c>
      <c r="I316" s="4" t="s">
        <v>16</v>
      </c>
    </row>
    <row r="317" spans="1:9" ht="14" customHeight="1">
      <c r="A317" s="4" t="s">
        <v>929</v>
      </c>
      <c r="B317" s="4" t="s">
        <v>930</v>
      </c>
      <c r="C317" s="4" t="s">
        <v>233</v>
      </c>
      <c r="D317" s="4" t="s">
        <v>131</v>
      </c>
      <c r="E317" s="4" t="s">
        <v>931</v>
      </c>
      <c r="F317" s="4" t="s">
        <v>932</v>
      </c>
      <c r="G317" s="4">
        <v>118</v>
      </c>
      <c r="H317" s="4" t="s">
        <v>233</v>
      </c>
      <c r="I317" s="4" t="s">
        <v>16</v>
      </c>
    </row>
    <row r="318" spans="1:9" ht="14" customHeight="1">
      <c r="A318" s="4" t="s">
        <v>933</v>
      </c>
      <c r="B318" s="4" t="s">
        <v>934</v>
      </c>
      <c r="C318" s="4" t="s">
        <v>233</v>
      </c>
      <c r="D318" s="4" t="s">
        <v>131</v>
      </c>
      <c r="E318" s="4" t="s">
        <v>935</v>
      </c>
      <c r="F318" s="4" t="s">
        <v>936</v>
      </c>
      <c r="G318" s="4">
        <v>165</v>
      </c>
      <c r="H318" s="4" t="s">
        <v>233</v>
      </c>
      <c r="I318" s="4" t="s">
        <v>16</v>
      </c>
    </row>
    <row r="319" spans="1:9" ht="14" customHeight="1">
      <c r="A319" s="4" t="s">
        <v>937</v>
      </c>
      <c r="B319" s="4" t="s">
        <v>938</v>
      </c>
      <c r="C319" s="4" t="s">
        <v>939</v>
      </c>
      <c r="D319" s="4" t="s">
        <v>131</v>
      </c>
      <c r="E319" s="4" t="s">
        <v>940</v>
      </c>
      <c r="F319" s="4" t="e">
        <v>#VALUE!</v>
      </c>
      <c r="G319" s="4" t="e">
        <v>#VALUE!</v>
      </c>
      <c r="H319" s="4" t="s">
        <v>939</v>
      </c>
      <c r="I319" s="4" t="s">
        <v>16</v>
      </c>
    </row>
    <row r="320" spans="1:9" ht="14" customHeight="1">
      <c r="A320" s="4" t="s">
        <v>941</v>
      </c>
      <c r="B320" s="4" t="s">
        <v>942</v>
      </c>
      <c r="C320" s="4" t="s">
        <v>383</v>
      </c>
      <c r="D320" s="4" t="s">
        <v>131</v>
      </c>
      <c r="E320" s="4" t="s">
        <v>943</v>
      </c>
      <c r="F320" s="4" t="e">
        <v>#VALUE!</v>
      </c>
      <c r="G320" s="4" t="e">
        <v>#VALUE!</v>
      </c>
      <c r="H320" s="4" t="s">
        <v>383</v>
      </c>
      <c r="I320" s="4" t="s">
        <v>16</v>
      </c>
    </row>
    <row r="321" spans="1:10" ht="14" customHeight="1">
      <c r="A321" s="4" t="s">
        <v>944</v>
      </c>
      <c r="B321" s="4" t="s">
        <v>945</v>
      </c>
      <c r="C321" s="4" t="s">
        <v>946</v>
      </c>
      <c r="D321" s="4" t="s">
        <v>131</v>
      </c>
      <c r="E321" s="4" t="s">
        <v>947</v>
      </c>
      <c r="F321" s="4" t="e">
        <v>#VALUE!</v>
      </c>
      <c r="G321" s="4" t="e">
        <v>#VALUE!</v>
      </c>
      <c r="H321" s="4" t="s">
        <v>946</v>
      </c>
      <c r="I321" s="4" t="s">
        <v>16</v>
      </c>
    </row>
    <row r="322" spans="1:10" ht="14" customHeight="1">
      <c r="A322" s="4" t="s">
        <v>948</v>
      </c>
      <c r="B322" s="4" t="s">
        <v>949</v>
      </c>
      <c r="C322" s="4" t="s">
        <v>230</v>
      </c>
      <c r="D322" s="4" t="s">
        <v>220</v>
      </c>
      <c r="E322" s="4" t="s">
        <v>950</v>
      </c>
      <c r="F322" s="4" t="e">
        <v>#VALUE!</v>
      </c>
      <c r="G322" s="4" t="e">
        <v>#VALUE!</v>
      </c>
      <c r="H322" s="4" t="s">
        <v>230</v>
      </c>
      <c r="I322" s="4" t="s">
        <v>16</v>
      </c>
    </row>
    <row r="323" spans="1:10" ht="14" customHeight="1">
      <c r="A323" s="4">
        <v>21</v>
      </c>
      <c r="B323" s="4" t="s">
        <v>951</v>
      </c>
      <c r="C323" s="4" t="s">
        <v>224</v>
      </c>
      <c r="D323" s="4" t="s">
        <v>220</v>
      </c>
      <c r="E323" s="4" t="s">
        <v>952</v>
      </c>
      <c r="F323" s="4" t="s">
        <v>953</v>
      </c>
      <c r="G323" s="4">
        <v>269</v>
      </c>
      <c r="H323" s="4" t="s">
        <v>224</v>
      </c>
      <c r="I323" s="4" t="s">
        <v>16</v>
      </c>
    </row>
    <row r="324" spans="1:10" ht="14" customHeight="1">
      <c r="A324" s="4">
        <v>20</v>
      </c>
      <c r="B324" s="4" t="s">
        <v>954</v>
      </c>
      <c r="C324" s="4" t="s">
        <v>187</v>
      </c>
      <c r="D324" s="4" t="s">
        <v>23</v>
      </c>
      <c r="E324" s="4" t="s">
        <v>955</v>
      </c>
      <c r="F324" s="4" t="e">
        <v>#VALUE!</v>
      </c>
      <c r="G324" s="4" t="e">
        <v>#VALUE!</v>
      </c>
      <c r="H324" s="4" t="s">
        <v>187</v>
      </c>
      <c r="I324" s="4" t="s">
        <v>16</v>
      </c>
    </row>
    <row r="325" spans="1:10" ht="14" customHeight="1">
      <c r="A325" s="4">
        <v>19</v>
      </c>
      <c r="B325" s="4" t="s">
        <v>956</v>
      </c>
      <c r="C325" s="4" t="s">
        <v>73</v>
      </c>
      <c r="D325" s="4" t="s">
        <v>23</v>
      </c>
      <c r="E325" s="4" t="s">
        <v>957</v>
      </c>
      <c r="F325" s="4" t="e">
        <v>#VALUE!</v>
      </c>
      <c r="G325" s="4" t="e">
        <v>#VALUE!</v>
      </c>
      <c r="H325" s="4" t="s">
        <v>73</v>
      </c>
      <c r="I325" s="4" t="s">
        <v>16</v>
      </c>
    </row>
    <row r="326" spans="1:10" ht="14" customHeight="1">
      <c r="A326" s="4">
        <v>18</v>
      </c>
      <c r="B326" s="4" t="s">
        <v>958</v>
      </c>
      <c r="C326" s="4" t="s">
        <v>959</v>
      </c>
      <c r="D326" s="4" t="s">
        <v>45</v>
      </c>
      <c r="E326" s="4" t="s">
        <v>960</v>
      </c>
      <c r="F326" s="4" t="e">
        <v>#VALUE!</v>
      </c>
      <c r="G326" s="4" t="e">
        <v>#VALUE!</v>
      </c>
      <c r="H326" s="4" t="s">
        <v>959</v>
      </c>
      <c r="I326" s="4" t="s">
        <v>16</v>
      </c>
    </row>
    <row r="327" spans="1:10" ht="14" customHeight="1">
      <c r="A327" s="4">
        <v>17</v>
      </c>
      <c r="B327" s="4" t="s">
        <v>961</v>
      </c>
      <c r="C327" s="4" t="s">
        <v>73</v>
      </c>
      <c r="D327" s="4" t="s">
        <v>62</v>
      </c>
      <c r="E327" s="4" t="s">
        <v>962</v>
      </c>
      <c r="F327" s="4" t="e">
        <v>#VALUE!</v>
      </c>
      <c r="G327" s="4" t="e">
        <v>#VALUE!</v>
      </c>
      <c r="H327" s="4" t="s">
        <v>73</v>
      </c>
      <c r="I327" s="4" t="s">
        <v>16</v>
      </c>
    </row>
    <row r="328" spans="1:10" ht="14" customHeight="1">
      <c r="A328" s="4">
        <v>16</v>
      </c>
      <c r="B328" s="4" t="s">
        <v>963</v>
      </c>
      <c r="C328" s="4" t="s">
        <v>964</v>
      </c>
      <c r="D328" s="4" t="s">
        <v>62</v>
      </c>
      <c r="E328" s="4" t="s">
        <v>965</v>
      </c>
      <c r="F328" s="4" t="e">
        <v>#VALUE!</v>
      </c>
      <c r="G328" s="4" t="e">
        <v>#VALUE!</v>
      </c>
      <c r="H328" s="4" t="s">
        <v>964</v>
      </c>
      <c r="I328" s="4" t="s">
        <v>16</v>
      </c>
      <c r="J328" s="4" t="s">
        <v>441</v>
      </c>
    </row>
    <row r="329" spans="1:10" ht="14" customHeight="1">
      <c r="A329" s="4">
        <v>15</v>
      </c>
      <c r="B329" s="4" t="s">
        <v>966</v>
      </c>
      <c r="C329" s="4" t="s">
        <v>964</v>
      </c>
      <c r="D329" s="4" t="s">
        <v>262</v>
      </c>
      <c r="E329" s="4" t="s">
        <v>967</v>
      </c>
      <c r="F329" s="4" t="e">
        <v>#VALUE!</v>
      </c>
      <c r="G329" s="4" t="e">
        <v>#VALUE!</v>
      </c>
      <c r="H329" s="4" t="s">
        <v>964</v>
      </c>
      <c r="I329" s="4" t="s">
        <v>16</v>
      </c>
      <c r="J329" s="4" t="s">
        <v>441</v>
      </c>
    </row>
    <row r="330" spans="1:10" ht="14" customHeight="1">
      <c r="A330" s="4">
        <v>14</v>
      </c>
      <c r="B330" s="4" t="s">
        <v>968</v>
      </c>
      <c r="C330" s="4" t="s">
        <v>310</v>
      </c>
      <c r="D330" s="4" t="s">
        <v>262</v>
      </c>
      <c r="E330" s="4" t="s">
        <v>969</v>
      </c>
      <c r="F330" s="4" t="e">
        <v>#VALUE!</v>
      </c>
      <c r="G330" s="4" t="e">
        <v>#VALUE!</v>
      </c>
      <c r="H330" s="4" t="s">
        <v>310</v>
      </c>
      <c r="I330" s="4" t="s">
        <v>16</v>
      </c>
    </row>
    <row r="331" spans="1:10" ht="14" customHeight="1">
      <c r="A331" s="4">
        <v>13</v>
      </c>
      <c r="B331" s="4" t="s">
        <v>970</v>
      </c>
      <c r="C331" s="4" t="s">
        <v>432</v>
      </c>
      <c r="D331" s="4" t="s">
        <v>262</v>
      </c>
      <c r="E331" s="4" t="s">
        <v>971</v>
      </c>
      <c r="F331" s="4" t="e">
        <v>#VALUE!</v>
      </c>
      <c r="G331" s="4" t="e">
        <v>#VALUE!</v>
      </c>
      <c r="H331" s="4" t="s">
        <v>432</v>
      </c>
      <c r="I331" s="4" t="s">
        <v>16</v>
      </c>
    </row>
    <row r="332" spans="1:10" ht="14" customHeight="1">
      <c r="A332" s="4">
        <v>12</v>
      </c>
      <c r="B332" s="4" t="s">
        <v>972</v>
      </c>
      <c r="C332" s="4" t="s">
        <v>73</v>
      </c>
      <c r="D332" s="4" t="s">
        <v>78</v>
      </c>
      <c r="E332" s="4" t="s">
        <v>973</v>
      </c>
      <c r="F332" s="4" t="e">
        <v>#VALUE!</v>
      </c>
      <c r="G332" s="4" t="e">
        <v>#VALUE!</v>
      </c>
      <c r="H332" s="4" t="s">
        <v>73</v>
      </c>
      <c r="I332" s="4" t="s">
        <v>16</v>
      </c>
    </row>
    <row r="333" spans="1:10" ht="14" customHeight="1">
      <c r="A333" s="4">
        <v>11</v>
      </c>
      <c r="B333" s="4" t="s">
        <v>974</v>
      </c>
      <c r="C333" s="4" t="s">
        <v>975</v>
      </c>
      <c r="D333" s="4" t="s">
        <v>83</v>
      </c>
      <c r="E333" s="4" t="s">
        <v>976</v>
      </c>
      <c r="F333" s="4" t="s">
        <v>977</v>
      </c>
      <c r="G333" s="4">
        <v>208</v>
      </c>
      <c r="H333" s="4" t="s">
        <v>975</v>
      </c>
      <c r="I333" s="4" t="s">
        <v>16</v>
      </c>
      <c r="J333" s="4" t="s">
        <v>978</v>
      </c>
    </row>
    <row r="334" spans="1:10" ht="14" customHeight="1">
      <c r="A334" s="4">
        <v>10</v>
      </c>
      <c r="B334" s="4" t="s">
        <v>979</v>
      </c>
      <c r="C334" s="4" t="s">
        <v>310</v>
      </c>
      <c r="D334" s="4" t="s">
        <v>89</v>
      </c>
      <c r="E334" s="4" t="s">
        <v>980</v>
      </c>
      <c r="F334" s="4" t="e">
        <v>#VALUE!</v>
      </c>
      <c r="G334" s="4" t="e">
        <v>#VALUE!</v>
      </c>
      <c r="H334" s="4" t="s">
        <v>310</v>
      </c>
      <c r="I334" s="4" t="s">
        <v>16</v>
      </c>
    </row>
    <row r="335" spans="1:10" ht="14" customHeight="1">
      <c r="A335" s="4">
        <v>9</v>
      </c>
      <c r="B335" s="4" t="s">
        <v>981</v>
      </c>
      <c r="C335" s="4" t="s">
        <v>73</v>
      </c>
      <c r="D335" s="4" t="s">
        <v>99</v>
      </c>
      <c r="E335" s="4" t="s">
        <v>982</v>
      </c>
      <c r="F335" s="4" t="e">
        <v>#VALUE!</v>
      </c>
      <c r="G335" s="4" t="e">
        <v>#VALUE!</v>
      </c>
      <c r="H335" s="4" t="s">
        <v>73</v>
      </c>
      <c r="I335" s="4" t="s">
        <v>16</v>
      </c>
    </row>
    <row r="336" spans="1:10" ht="14" customHeight="1">
      <c r="A336" s="4">
        <v>8</v>
      </c>
      <c r="B336" s="4" t="s">
        <v>983</v>
      </c>
      <c r="C336" s="4" t="s">
        <v>984</v>
      </c>
      <c r="D336" s="4" t="s">
        <v>99</v>
      </c>
      <c r="E336" s="4" t="s">
        <v>985</v>
      </c>
      <c r="F336" s="4" t="e">
        <v>#VALUE!</v>
      </c>
      <c r="G336" s="4" t="e">
        <v>#VALUE!</v>
      </c>
      <c r="H336" s="4" t="s">
        <v>984</v>
      </c>
      <c r="I336" s="4" t="s">
        <v>16</v>
      </c>
    </row>
    <row r="337" spans="1:10" ht="14" customHeight="1">
      <c r="A337" s="4">
        <v>7</v>
      </c>
      <c r="B337" s="4" t="s">
        <v>986</v>
      </c>
      <c r="C337" s="4" t="s">
        <v>310</v>
      </c>
      <c r="D337" s="4" t="s">
        <v>99</v>
      </c>
      <c r="E337" s="4" t="s">
        <v>987</v>
      </c>
      <c r="F337" s="4" t="e">
        <v>#VALUE!</v>
      </c>
      <c r="G337" s="4" t="e">
        <v>#VALUE!</v>
      </c>
      <c r="H337" s="4" t="s">
        <v>310</v>
      </c>
      <c r="I337" s="4" t="s">
        <v>16</v>
      </c>
    </row>
    <row r="338" spans="1:10" ht="14" customHeight="1">
      <c r="A338" s="4">
        <v>6</v>
      </c>
      <c r="B338" s="4" t="s">
        <v>988</v>
      </c>
      <c r="C338" s="4" t="s">
        <v>989</v>
      </c>
      <c r="D338" s="4" t="s">
        <v>345</v>
      </c>
      <c r="E338" s="4" t="s">
        <v>990</v>
      </c>
      <c r="F338" s="4" t="e">
        <v>#VALUE!</v>
      </c>
      <c r="G338" s="4" t="e">
        <v>#VALUE!</v>
      </c>
      <c r="H338" s="4" t="s">
        <v>989</v>
      </c>
      <c r="I338" s="4" t="s">
        <v>16</v>
      </c>
      <c r="J338" s="4" t="s">
        <v>991</v>
      </c>
    </row>
    <row r="339" spans="1:10" ht="14" customHeight="1">
      <c r="A339" s="4">
        <v>5</v>
      </c>
      <c r="B339" s="4" t="s">
        <v>992</v>
      </c>
      <c r="C339" s="4" t="s">
        <v>314</v>
      </c>
      <c r="D339" s="4" t="s">
        <v>345</v>
      </c>
      <c r="E339" s="4" t="s">
        <v>315</v>
      </c>
      <c r="F339" s="4" t="e">
        <v>#VALUE!</v>
      </c>
      <c r="G339" s="4" t="e">
        <v>#VALUE!</v>
      </c>
      <c r="H339" s="4" t="s">
        <v>314</v>
      </c>
      <c r="I339" s="4" t="s">
        <v>16</v>
      </c>
      <c r="J339" s="4" t="s">
        <v>317</v>
      </c>
    </row>
    <row r="340" spans="1:10" ht="14" customHeight="1">
      <c r="A340" s="4">
        <v>4</v>
      </c>
      <c r="B340" s="4" t="s">
        <v>993</v>
      </c>
      <c r="C340" s="4" t="s">
        <v>73</v>
      </c>
      <c r="D340" s="4" t="s">
        <v>331</v>
      </c>
      <c r="E340" s="4" t="s">
        <v>994</v>
      </c>
      <c r="F340" s="4" t="e">
        <v>#VALUE!</v>
      </c>
      <c r="G340" s="4" t="e">
        <v>#VALUE!</v>
      </c>
      <c r="H340" s="4" t="s">
        <v>73</v>
      </c>
      <c r="I340" s="4" t="s">
        <v>16</v>
      </c>
    </row>
    <row r="341" spans="1:10" ht="14" customHeight="1">
      <c r="A341" s="4">
        <v>3</v>
      </c>
      <c r="B341" s="4" t="s">
        <v>995</v>
      </c>
      <c r="C341" s="4" t="s">
        <v>996</v>
      </c>
      <c r="D341" s="4" t="s">
        <v>331</v>
      </c>
      <c r="E341" s="4" t="s">
        <v>997</v>
      </c>
      <c r="F341" s="4" t="e">
        <v>#VALUE!</v>
      </c>
      <c r="G341" s="4" t="e">
        <v>#VALUE!</v>
      </c>
      <c r="H341" s="4" t="s">
        <v>996</v>
      </c>
      <c r="I341" s="4" t="s">
        <v>16</v>
      </c>
    </row>
    <row r="342" spans="1:10" ht="14" customHeight="1">
      <c r="A342" s="4">
        <v>2</v>
      </c>
      <c r="B342" s="4" t="s">
        <v>998</v>
      </c>
      <c r="C342" s="4" t="s">
        <v>73</v>
      </c>
      <c r="D342" s="4" t="s">
        <v>331</v>
      </c>
      <c r="E342" s="4" t="s">
        <v>999</v>
      </c>
      <c r="F342" s="4" t="e">
        <v>#VALUE!</v>
      </c>
      <c r="G342" s="4" t="e">
        <v>#VALUE!</v>
      </c>
      <c r="H342" s="4" t="s">
        <v>73</v>
      </c>
      <c r="I342" s="4" t="s">
        <v>16</v>
      </c>
    </row>
    <row r="343" spans="1:10" ht="14" customHeight="1">
      <c r="A343" s="4">
        <v>1</v>
      </c>
      <c r="B343" s="4" t="s">
        <v>1000</v>
      </c>
      <c r="C343" s="4" t="s">
        <v>73</v>
      </c>
      <c r="D343" s="4" t="s">
        <v>865</v>
      </c>
      <c r="E343" s="4" t="s">
        <v>1001</v>
      </c>
      <c r="F343" s="4" t="e">
        <v>#VALUE!</v>
      </c>
      <c r="G343" s="4" t="e">
        <v>#VALUE!</v>
      </c>
      <c r="H343" s="4" t="s">
        <v>73</v>
      </c>
      <c r="I343" s="4" t="s">
        <v>16</v>
      </c>
    </row>
    <row r="344" spans="1:10" ht="14" customHeight="1">
      <c r="A344" s="4" t="s">
        <v>6</v>
      </c>
      <c r="B344" s="4" t="s">
        <v>1002</v>
      </c>
      <c r="C344" s="4" t="e">
        <v>#VALUE!</v>
      </c>
      <c r="D344" s="4" t="e">
        <v>#VALUE!</v>
      </c>
      <c r="E344" s="4" t="e">
        <v>#VALUE!</v>
      </c>
      <c r="F344" s="4" t="e">
        <v>#VALUE!</v>
      </c>
      <c r="G344" s="4" t="e">
        <v>#VALUE!</v>
      </c>
      <c r="H344" s="4" t="e">
        <v>#VALUE!</v>
      </c>
      <c r="I344" s="4" t="s">
        <v>16</v>
      </c>
    </row>
    <row r="345" spans="1:10" ht="14" customHeight="1">
      <c r="A345" s="4" t="s">
        <v>8</v>
      </c>
      <c r="B345" s="4" t="s">
        <v>1003</v>
      </c>
      <c r="C345" s="4" t="e">
        <v>#VALUE!</v>
      </c>
      <c r="D345" s="4" t="e">
        <v>#VALUE!</v>
      </c>
      <c r="E345" s="4" t="e">
        <v>#VALUE!</v>
      </c>
      <c r="F345" s="4" t="e">
        <v>#VALUE!</v>
      </c>
      <c r="G345" s="4" t="e">
        <v>#VALUE!</v>
      </c>
      <c r="H345" s="4" t="e">
        <v>#VALUE!</v>
      </c>
      <c r="I345" s="4" t="s">
        <v>16</v>
      </c>
    </row>
    <row r="346" spans="1:10" ht="14" customHeight="1">
      <c r="A346" s="4">
        <v>28</v>
      </c>
      <c r="B346" s="4" t="s">
        <v>1004</v>
      </c>
      <c r="C346" s="4" t="s">
        <v>1005</v>
      </c>
      <c r="D346" s="4" t="s">
        <v>12</v>
      </c>
      <c r="E346" s="4" t="s">
        <v>1006</v>
      </c>
      <c r="F346" s="4" t="e">
        <v>#VALUE!</v>
      </c>
      <c r="G346" s="4" t="e">
        <v>#VALUE!</v>
      </c>
      <c r="H346" s="4" t="s">
        <v>1007</v>
      </c>
      <c r="I346" s="4" t="s">
        <v>16</v>
      </c>
      <c r="J346" s="4" t="s">
        <v>17</v>
      </c>
    </row>
    <row r="347" spans="1:10" ht="14" customHeight="1">
      <c r="A347" s="4">
        <v>27</v>
      </c>
      <c r="B347" s="4" t="s">
        <v>1008</v>
      </c>
      <c r="C347" s="4" t="s">
        <v>73</v>
      </c>
      <c r="D347" s="4" t="s">
        <v>12</v>
      </c>
      <c r="E347" s="4" t="s">
        <v>1009</v>
      </c>
      <c r="F347" s="4" t="e">
        <v>#VALUE!</v>
      </c>
      <c r="G347" s="4" t="e">
        <v>#VALUE!</v>
      </c>
      <c r="H347" s="4" t="s">
        <v>73</v>
      </c>
      <c r="I347" s="4" t="s">
        <v>16</v>
      </c>
    </row>
    <row r="348" spans="1:10" ht="14" customHeight="1">
      <c r="A348" s="4">
        <v>26</v>
      </c>
      <c r="B348" s="4" t="s">
        <v>1010</v>
      </c>
      <c r="C348" s="4" t="s">
        <v>73</v>
      </c>
      <c r="D348" s="4" t="s">
        <v>131</v>
      </c>
      <c r="E348" s="4" t="s">
        <v>1011</v>
      </c>
      <c r="F348" s="4" t="e">
        <v>#VALUE!</v>
      </c>
      <c r="G348" s="4" t="e">
        <v>#VALUE!</v>
      </c>
      <c r="H348" s="4" t="s">
        <v>73</v>
      </c>
      <c r="I348" s="4" t="s">
        <v>16</v>
      </c>
    </row>
    <row r="349" spans="1:10" ht="14" customHeight="1">
      <c r="A349" s="4">
        <v>25</v>
      </c>
      <c r="B349" s="4" t="s">
        <v>1012</v>
      </c>
      <c r="C349" s="4" t="s">
        <v>73</v>
      </c>
      <c r="D349" s="4" t="s">
        <v>131</v>
      </c>
      <c r="E349" s="4" t="s">
        <v>1013</v>
      </c>
      <c r="F349" s="4" t="e">
        <v>#VALUE!</v>
      </c>
      <c r="G349" s="4" t="e">
        <v>#VALUE!</v>
      </c>
      <c r="H349" s="4" t="s">
        <v>73</v>
      </c>
      <c r="I349" s="4" t="s">
        <v>16</v>
      </c>
    </row>
    <row r="350" spans="1:10" ht="14" customHeight="1">
      <c r="A350" s="4">
        <v>24</v>
      </c>
      <c r="B350" s="4" t="s">
        <v>1014</v>
      </c>
      <c r="C350" s="4" t="s">
        <v>73</v>
      </c>
      <c r="D350" s="4" t="s">
        <v>202</v>
      </c>
      <c r="E350" s="4" t="s">
        <v>1015</v>
      </c>
      <c r="F350" s="4" t="e">
        <v>#VALUE!</v>
      </c>
      <c r="G350" s="4" t="e">
        <v>#VALUE!</v>
      </c>
      <c r="H350" s="4" t="s">
        <v>73</v>
      </c>
      <c r="I350" s="4" t="s">
        <v>16</v>
      </c>
    </row>
    <row r="351" spans="1:10" ht="14" customHeight="1">
      <c r="A351" s="4">
        <v>23</v>
      </c>
      <c r="B351" s="4" t="s">
        <v>1016</v>
      </c>
      <c r="C351" s="4" t="s">
        <v>73</v>
      </c>
      <c r="D351" s="4" t="s">
        <v>220</v>
      </c>
      <c r="E351" s="4" t="s">
        <v>1017</v>
      </c>
      <c r="F351" s="4" t="e">
        <v>#VALUE!</v>
      </c>
      <c r="G351" s="4" t="e">
        <v>#VALUE!</v>
      </c>
      <c r="H351" s="4" t="s">
        <v>73</v>
      </c>
      <c r="I351" s="4" t="s">
        <v>16</v>
      </c>
    </row>
    <row r="352" spans="1:10" ht="14" customHeight="1">
      <c r="A352" s="4">
        <v>22</v>
      </c>
      <c r="B352" s="4" t="s">
        <v>1018</v>
      </c>
      <c r="C352" s="4" t="s">
        <v>73</v>
      </c>
      <c r="D352" s="4" t="s">
        <v>23</v>
      </c>
      <c r="E352" s="4" t="s">
        <v>1019</v>
      </c>
      <c r="F352" s="4" t="e">
        <v>#VALUE!</v>
      </c>
      <c r="G352" s="4" t="e">
        <v>#VALUE!</v>
      </c>
      <c r="H352" s="4" t="s">
        <v>73</v>
      </c>
      <c r="I352" s="4" t="s">
        <v>16</v>
      </c>
    </row>
    <row r="353" spans="1:13" ht="14" customHeight="1">
      <c r="A353" s="4">
        <v>21</v>
      </c>
      <c r="B353" s="4" t="s">
        <v>1020</v>
      </c>
      <c r="C353" s="4" t="s">
        <v>73</v>
      </c>
      <c r="D353" s="4" t="s">
        <v>252</v>
      </c>
      <c r="E353" s="4" t="s">
        <v>1021</v>
      </c>
      <c r="F353" s="4" t="e">
        <v>#VALUE!</v>
      </c>
      <c r="G353" s="4" t="e">
        <v>#VALUE!</v>
      </c>
      <c r="H353" s="4" t="s">
        <v>73</v>
      </c>
      <c r="I353" s="4" t="s">
        <v>16</v>
      </c>
    </row>
    <row r="354" spans="1:13" ht="14" customHeight="1">
      <c r="A354" s="4">
        <v>20</v>
      </c>
      <c r="B354" s="4" t="s">
        <v>1022</v>
      </c>
      <c r="C354" s="4" t="s">
        <v>73</v>
      </c>
      <c r="D354" s="4" t="s">
        <v>23</v>
      </c>
      <c r="E354" s="4" t="s">
        <v>1023</v>
      </c>
      <c r="F354" s="4" t="e">
        <v>#VALUE!</v>
      </c>
      <c r="G354" s="4" t="e">
        <v>#VALUE!</v>
      </c>
      <c r="H354" s="4" t="s">
        <v>73</v>
      </c>
      <c r="I354" s="4" t="s">
        <v>16</v>
      </c>
    </row>
    <row r="355" spans="1:13" ht="14" customHeight="1">
      <c r="A355" s="4">
        <v>19</v>
      </c>
      <c r="B355" s="4" t="s">
        <v>1024</v>
      </c>
      <c r="C355" s="4" t="s">
        <v>73</v>
      </c>
      <c r="D355" s="4" t="s">
        <v>252</v>
      </c>
      <c r="E355" s="4" t="s">
        <v>1025</v>
      </c>
      <c r="F355" s="4" t="e">
        <v>#VALUE!</v>
      </c>
      <c r="G355" s="4" t="e">
        <v>#VALUE!</v>
      </c>
      <c r="H355" s="4" t="s">
        <v>73</v>
      </c>
      <c r="I355" s="4" t="s">
        <v>16</v>
      </c>
    </row>
    <row r="356" spans="1:13" ht="14" customHeight="1">
      <c r="A356" s="4">
        <v>18</v>
      </c>
      <c r="B356" s="4" t="s">
        <v>1026</v>
      </c>
      <c r="C356" s="4" t="s">
        <v>73</v>
      </c>
      <c r="D356" s="4" t="s">
        <v>62</v>
      </c>
      <c r="E356" s="4" t="s">
        <v>1027</v>
      </c>
      <c r="F356" s="4" t="e">
        <v>#VALUE!</v>
      </c>
      <c r="G356" s="4" t="e">
        <v>#VALUE!</v>
      </c>
      <c r="H356" s="4" t="s">
        <v>73</v>
      </c>
      <c r="I356" s="4" t="s">
        <v>16</v>
      </c>
    </row>
    <row r="357" spans="1:13" ht="14" customHeight="1">
      <c r="A357" s="4">
        <v>17</v>
      </c>
      <c r="B357" s="4" t="s">
        <v>1028</v>
      </c>
      <c r="C357" s="4" t="s">
        <v>1029</v>
      </c>
      <c r="D357" s="4" t="s">
        <v>62</v>
      </c>
      <c r="E357" s="4" t="s">
        <v>1030</v>
      </c>
      <c r="F357" s="4" t="e">
        <v>#VALUE!</v>
      </c>
      <c r="G357" s="4" t="e">
        <v>#VALUE!</v>
      </c>
      <c r="H357" s="4" t="s">
        <v>1031</v>
      </c>
      <c r="I357" s="4" t="s">
        <v>16</v>
      </c>
      <c r="J357" s="4" t="s">
        <v>70</v>
      </c>
      <c r="K357" s="4" t="s">
        <v>1032</v>
      </c>
      <c r="L357" s="4" t="s">
        <v>17</v>
      </c>
      <c r="M357" s="4" t="s">
        <v>1033</v>
      </c>
    </row>
    <row r="358" spans="1:13" ht="14" customHeight="1">
      <c r="A358" s="4">
        <v>16</v>
      </c>
      <c r="B358" s="4" t="s">
        <v>1034</v>
      </c>
      <c r="C358" s="4" t="s">
        <v>1035</v>
      </c>
      <c r="D358" s="4" t="s">
        <v>62</v>
      </c>
      <c r="E358" s="4" t="s">
        <v>1036</v>
      </c>
      <c r="F358" s="4" t="e">
        <v>#VALUE!</v>
      </c>
      <c r="G358" s="4" t="e">
        <v>#VALUE!</v>
      </c>
      <c r="H358" s="4" t="s">
        <v>1037</v>
      </c>
      <c r="I358" s="4" t="s">
        <v>16</v>
      </c>
      <c r="J358" s="4" t="s">
        <v>17</v>
      </c>
      <c r="K358" s="4" t="s">
        <v>1038</v>
      </c>
      <c r="L358" s="4" t="s">
        <v>1039</v>
      </c>
    </row>
    <row r="359" spans="1:13" ht="14" customHeight="1">
      <c r="A359" s="4">
        <v>15</v>
      </c>
      <c r="B359" s="4" t="s">
        <v>1040</v>
      </c>
      <c r="C359" s="4" t="s">
        <v>432</v>
      </c>
      <c r="D359" s="4" t="s">
        <v>262</v>
      </c>
      <c r="E359" s="4" t="s">
        <v>1041</v>
      </c>
      <c r="F359" s="4" t="e">
        <v>#VALUE!</v>
      </c>
      <c r="G359" s="4" t="e">
        <v>#VALUE!</v>
      </c>
      <c r="H359" s="4" t="s">
        <v>432</v>
      </c>
      <c r="I359" s="4" t="s">
        <v>16</v>
      </c>
    </row>
    <row r="360" spans="1:13" ht="14" customHeight="1">
      <c r="A360" s="4">
        <v>14</v>
      </c>
      <c r="B360" s="4" t="s">
        <v>1042</v>
      </c>
      <c r="C360" s="4" t="s">
        <v>1043</v>
      </c>
      <c r="D360" s="4" t="s">
        <v>262</v>
      </c>
      <c r="E360" s="4" t="s">
        <v>1044</v>
      </c>
      <c r="F360" s="4" t="e">
        <v>#VALUE!</v>
      </c>
      <c r="G360" s="4" t="e">
        <v>#VALUE!</v>
      </c>
      <c r="H360" s="4" t="s">
        <v>1045</v>
      </c>
      <c r="I360" s="4" t="s">
        <v>16</v>
      </c>
      <c r="J360" s="4" t="s">
        <v>17</v>
      </c>
    </row>
    <row r="361" spans="1:13" ht="14" customHeight="1">
      <c r="A361" s="4">
        <v>13</v>
      </c>
      <c r="B361" s="4" t="s">
        <v>1046</v>
      </c>
      <c r="C361" s="4" t="s">
        <v>73</v>
      </c>
      <c r="D361" s="4" t="s">
        <v>262</v>
      </c>
      <c r="E361" s="4" t="s">
        <v>1047</v>
      </c>
      <c r="F361" s="4" t="e">
        <v>#VALUE!</v>
      </c>
      <c r="G361" s="4" t="e">
        <v>#VALUE!</v>
      </c>
      <c r="H361" s="4" t="s">
        <v>73</v>
      </c>
      <c r="I361" s="4" t="s">
        <v>16</v>
      </c>
    </row>
    <row r="362" spans="1:13" ht="14" customHeight="1">
      <c r="A362" s="4">
        <v>12</v>
      </c>
      <c r="B362" s="4" t="s">
        <v>1048</v>
      </c>
      <c r="C362" s="4" t="s">
        <v>95</v>
      </c>
      <c r="D362" s="4" t="s">
        <v>262</v>
      </c>
      <c r="E362" s="4" t="s">
        <v>1049</v>
      </c>
      <c r="F362" s="4" t="e">
        <v>#VALUE!</v>
      </c>
      <c r="G362" s="4" t="e">
        <v>#VALUE!</v>
      </c>
      <c r="H362" s="4" t="s">
        <v>97</v>
      </c>
      <c r="I362" s="4" t="s">
        <v>16</v>
      </c>
      <c r="J362" s="4" t="s">
        <v>71</v>
      </c>
    </row>
    <row r="363" spans="1:13" ht="14" customHeight="1">
      <c r="A363" s="4">
        <v>11</v>
      </c>
      <c r="B363" s="4" t="s">
        <v>1050</v>
      </c>
      <c r="C363" s="4" t="s">
        <v>1035</v>
      </c>
      <c r="D363" s="4" t="s">
        <v>262</v>
      </c>
      <c r="E363" s="4" t="s">
        <v>1051</v>
      </c>
      <c r="F363" s="4" t="e">
        <v>#VALUE!</v>
      </c>
      <c r="G363" s="4" t="e">
        <v>#VALUE!</v>
      </c>
      <c r="H363" s="4" t="s">
        <v>1037</v>
      </c>
      <c r="I363" s="4" t="s">
        <v>16</v>
      </c>
      <c r="J363" s="4" t="s">
        <v>17</v>
      </c>
      <c r="K363" s="4" t="s">
        <v>1038</v>
      </c>
      <c r="L363" s="4" t="s">
        <v>1039</v>
      </c>
    </row>
    <row r="364" spans="1:13" ht="14" customHeight="1">
      <c r="A364" s="4">
        <v>10</v>
      </c>
      <c r="B364" s="4" t="s">
        <v>1052</v>
      </c>
      <c r="C364" s="4" t="s">
        <v>73</v>
      </c>
      <c r="D364" s="4" t="s">
        <v>705</v>
      </c>
      <c r="E364" s="4" t="s">
        <v>1053</v>
      </c>
      <c r="F364" s="4" t="e">
        <v>#VALUE!</v>
      </c>
      <c r="G364" s="4" t="e">
        <v>#VALUE!</v>
      </c>
      <c r="H364" s="4" t="s">
        <v>73</v>
      </c>
      <c r="I364" s="4" t="s">
        <v>16</v>
      </c>
    </row>
    <row r="365" spans="1:13" ht="14" customHeight="1">
      <c r="A365" s="4">
        <v>9</v>
      </c>
      <c r="B365" s="4" t="s">
        <v>1054</v>
      </c>
      <c r="C365" s="4" t="s">
        <v>984</v>
      </c>
      <c r="D365" s="4" t="s">
        <v>266</v>
      </c>
      <c r="E365" s="4" t="s">
        <v>1055</v>
      </c>
      <c r="F365" s="4" t="e">
        <v>#VALUE!</v>
      </c>
      <c r="G365" s="4" t="e">
        <v>#VALUE!</v>
      </c>
      <c r="H365" s="4" t="s">
        <v>984</v>
      </c>
      <c r="I365" s="4" t="s">
        <v>16</v>
      </c>
    </row>
    <row r="366" spans="1:13" ht="14" customHeight="1">
      <c r="A366" s="4">
        <v>8</v>
      </c>
      <c r="B366" s="4" t="s">
        <v>1056</v>
      </c>
      <c r="C366" s="4" t="s">
        <v>73</v>
      </c>
      <c r="D366" s="4" t="s">
        <v>78</v>
      </c>
      <c r="E366" s="4" t="s">
        <v>1057</v>
      </c>
      <c r="F366" s="4" t="s">
        <v>1058</v>
      </c>
      <c r="G366" s="4">
        <v>228</v>
      </c>
      <c r="H366" s="4" t="s">
        <v>73</v>
      </c>
      <c r="I366" s="4" t="s">
        <v>16</v>
      </c>
    </row>
    <row r="367" spans="1:13" ht="14" customHeight="1">
      <c r="A367" s="4">
        <v>7</v>
      </c>
      <c r="B367" s="4" t="s">
        <v>1059</v>
      </c>
      <c r="C367" s="4" t="s">
        <v>73</v>
      </c>
      <c r="D367" s="4" t="s">
        <v>83</v>
      </c>
      <c r="E367" s="4" t="s">
        <v>1060</v>
      </c>
      <c r="F367" s="4" t="e">
        <v>#VALUE!</v>
      </c>
      <c r="G367" s="4" t="e">
        <v>#VALUE!</v>
      </c>
      <c r="H367" s="4" t="s">
        <v>73</v>
      </c>
      <c r="I367" s="4" t="s">
        <v>16</v>
      </c>
    </row>
    <row r="368" spans="1:13" ht="14" customHeight="1">
      <c r="A368" s="4">
        <v>6</v>
      </c>
      <c r="B368" s="4" t="s">
        <v>1061</v>
      </c>
      <c r="C368" s="4" t="s">
        <v>73</v>
      </c>
      <c r="D368" s="4" t="s">
        <v>83</v>
      </c>
      <c r="E368" s="4" t="s">
        <v>1062</v>
      </c>
      <c r="F368" s="4" t="e">
        <v>#VALUE!</v>
      </c>
      <c r="G368" s="4" t="e">
        <v>#VALUE!</v>
      </c>
      <c r="H368" s="4" t="s">
        <v>73</v>
      </c>
      <c r="I368" s="4" t="s">
        <v>16</v>
      </c>
    </row>
    <row r="369" spans="1:12" ht="14" customHeight="1">
      <c r="A369" s="4">
        <v>5</v>
      </c>
      <c r="B369" s="4" t="s">
        <v>1063</v>
      </c>
      <c r="C369" s="4" t="s">
        <v>820</v>
      </c>
      <c r="D369" s="4" t="s">
        <v>99</v>
      </c>
      <c r="E369" s="4" t="s">
        <v>821</v>
      </c>
      <c r="F369" s="4" t="e">
        <v>#VALUE!</v>
      </c>
      <c r="G369" s="4" t="e">
        <v>#VALUE!</v>
      </c>
      <c r="H369" s="4" t="s">
        <v>822</v>
      </c>
      <c r="I369" s="4" t="s">
        <v>16</v>
      </c>
      <c r="J369" s="4" t="s">
        <v>17</v>
      </c>
    </row>
    <row r="370" spans="1:12" ht="14" customHeight="1">
      <c r="A370" s="4">
        <v>4</v>
      </c>
      <c r="B370" s="4" t="s">
        <v>1064</v>
      </c>
      <c r="C370" s="4" t="s">
        <v>73</v>
      </c>
      <c r="D370" s="4" t="s">
        <v>99</v>
      </c>
      <c r="E370" s="4" t="s">
        <v>1065</v>
      </c>
      <c r="F370" s="4" t="e">
        <v>#VALUE!</v>
      </c>
      <c r="G370" s="4" t="e">
        <v>#VALUE!</v>
      </c>
      <c r="H370" s="4" t="s">
        <v>73</v>
      </c>
      <c r="I370" s="4" t="s">
        <v>16</v>
      </c>
    </row>
    <row r="371" spans="1:12" ht="14" customHeight="1">
      <c r="A371" s="4">
        <v>3</v>
      </c>
      <c r="B371" s="4" t="s">
        <v>1066</v>
      </c>
      <c r="C371" s="4" t="s">
        <v>73</v>
      </c>
      <c r="D371" s="4" t="s">
        <v>99</v>
      </c>
      <c r="E371" s="4" t="s">
        <v>1067</v>
      </c>
      <c r="F371" s="4" t="e">
        <v>#VALUE!</v>
      </c>
      <c r="G371" s="4" t="e">
        <v>#VALUE!</v>
      </c>
      <c r="H371" s="4" t="s">
        <v>73</v>
      </c>
      <c r="I371" s="4" t="s">
        <v>16</v>
      </c>
    </row>
    <row r="372" spans="1:12" ht="14" customHeight="1">
      <c r="A372" s="4">
        <v>2</v>
      </c>
      <c r="B372" s="4" t="s">
        <v>1068</v>
      </c>
      <c r="C372" s="4" t="s">
        <v>73</v>
      </c>
      <c r="D372" s="4" t="s">
        <v>345</v>
      </c>
      <c r="E372" s="4" t="s">
        <v>1069</v>
      </c>
      <c r="F372" s="4" t="e">
        <v>#VALUE!</v>
      </c>
      <c r="G372" s="4" t="e">
        <v>#VALUE!</v>
      </c>
      <c r="H372" s="4" t="s">
        <v>73</v>
      </c>
      <c r="I372" s="4" t="s">
        <v>16</v>
      </c>
    </row>
    <row r="373" spans="1:12" ht="14" customHeight="1">
      <c r="A373" s="4">
        <v>1</v>
      </c>
      <c r="B373" s="4" t="s">
        <v>1070</v>
      </c>
      <c r="C373" s="4" t="s">
        <v>73</v>
      </c>
      <c r="D373" s="4" t="s">
        <v>331</v>
      </c>
      <c r="E373" s="4" t="s">
        <v>1071</v>
      </c>
      <c r="F373" s="4" t="e">
        <v>#VALUE!</v>
      </c>
      <c r="G373" s="4" t="e">
        <v>#VALUE!</v>
      </c>
      <c r="H373" s="4" t="s">
        <v>73</v>
      </c>
      <c r="I373" s="4" t="s">
        <v>16</v>
      </c>
    </row>
    <row r="374" spans="1:12" ht="14" customHeight="1">
      <c r="A374" s="4" t="s">
        <v>8</v>
      </c>
      <c r="B374" s="4" t="s">
        <v>1072</v>
      </c>
      <c r="C374" s="4" t="e">
        <v>#VALUE!</v>
      </c>
      <c r="D374" s="4" t="e">
        <v>#VALUE!</v>
      </c>
      <c r="E374" s="4" t="e">
        <v>#VALUE!</v>
      </c>
      <c r="F374" s="4" t="e">
        <v>#VALUE!</v>
      </c>
      <c r="G374" s="4" t="e">
        <v>#VALUE!</v>
      </c>
      <c r="H374" s="4" t="e">
        <v>#VALUE!</v>
      </c>
      <c r="I374" s="4" t="s">
        <v>16</v>
      </c>
    </row>
    <row r="375" spans="1:12" ht="14" customHeight="1">
      <c r="A375" s="4">
        <v>11</v>
      </c>
      <c r="B375" s="4" t="s">
        <v>1073</v>
      </c>
      <c r="C375" s="4" t="s">
        <v>1074</v>
      </c>
      <c r="D375" s="4" t="s">
        <v>202</v>
      </c>
      <c r="E375" s="4" t="s">
        <v>1075</v>
      </c>
      <c r="F375" s="4" t="e">
        <v>#VALUE!</v>
      </c>
      <c r="G375" s="4" t="e">
        <v>#VALUE!</v>
      </c>
      <c r="H375" s="4" t="s">
        <v>1074</v>
      </c>
      <c r="I375" s="4" t="s">
        <v>16</v>
      </c>
    </row>
    <row r="376" spans="1:12" ht="14" customHeight="1">
      <c r="A376" s="4">
        <v>10</v>
      </c>
      <c r="B376" s="4" t="s">
        <v>1076</v>
      </c>
      <c r="C376" s="4" t="s">
        <v>73</v>
      </c>
      <c r="D376" s="4" t="s">
        <v>202</v>
      </c>
      <c r="E376" s="4" t="s">
        <v>1077</v>
      </c>
      <c r="F376" s="4" t="e">
        <v>#VALUE!</v>
      </c>
      <c r="G376" s="4" t="e">
        <v>#VALUE!</v>
      </c>
      <c r="H376" s="4" t="s">
        <v>73</v>
      </c>
      <c r="I376" s="4" t="s">
        <v>16</v>
      </c>
    </row>
    <row r="377" spans="1:12" ht="14" customHeight="1">
      <c r="A377" s="4">
        <v>9</v>
      </c>
      <c r="B377" s="4" t="s">
        <v>1078</v>
      </c>
      <c r="C377" s="4" t="s">
        <v>454</v>
      </c>
      <c r="D377" s="4" t="s">
        <v>202</v>
      </c>
      <c r="E377" s="4" t="s">
        <v>1079</v>
      </c>
      <c r="F377" s="4" t="e">
        <v>#VALUE!</v>
      </c>
      <c r="G377" s="4" t="e">
        <v>#VALUE!</v>
      </c>
      <c r="H377" s="4" t="s">
        <v>454</v>
      </c>
      <c r="I377" s="4" t="s">
        <v>16</v>
      </c>
    </row>
    <row r="378" spans="1:12" ht="14" customHeight="1">
      <c r="A378" s="4">
        <v>8</v>
      </c>
      <c r="B378" s="4" t="s">
        <v>1080</v>
      </c>
      <c r="C378" s="4" t="s">
        <v>1074</v>
      </c>
      <c r="D378" s="4" t="s">
        <v>220</v>
      </c>
      <c r="E378" s="4" t="s">
        <v>1081</v>
      </c>
      <c r="F378" s="4" t="e">
        <v>#VALUE!</v>
      </c>
      <c r="G378" s="4" t="e">
        <v>#VALUE!</v>
      </c>
      <c r="H378" s="4" t="s">
        <v>1074</v>
      </c>
      <c r="I378" s="4" t="s">
        <v>16</v>
      </c>
    </row>
    <row r="379" spans="1:12" ht="14" customHeight="1">
      <c r="A379" s="4">
        <v>7</v>
      </c>
      <c r="B379" s="4" t="s">
        <v>1082</v>
      </c>
      <c r="C379" s="4" t="s">
        <v>73</v>
      </c>
      <c r="D379" s="4" t="s">
        <v>220</v>
      </c>
      <c r="E379" s="4" t="s">
        <v>1083</v>
      </c>
      <c r="F379" s="4" t="e">
        <v>#VALUE!</v>
      </c>
      <c r="G379" s="4" t="e">
        <v>#VALUE!</v>
      </c>
      <c r="H379" s="4" t="s">
        <v>73</v>
      </c>
      <c r="I379" s="4" t="s">
        <v>16</v>
      </c>
    </row>
    <row r="380" spans="1:12" ht="14" customHeight="1">
      <c r="A380" s="4">
        <v>6</v>
      </c>
      <c r="B380" s="4" t="s">
        <v>1084</v>
      </c>
      <c r="C380" s="4" t="s">
        <v>73</v>
      </c>
      <c r="D380" s="4" t="s">
        <v>220</v>
      </c>
      <c r="E380" s="4" t="s">
        <v>1085</v>
      </c>
      <c r="F380" s="4" t="e">
        <v>#VALUE!</v>
      </c>
      <c r="G380" s="4" t="e">
        <v>#VALUE!</v>
      </c>
      <c r="H380" s="4" t="s">
        <v>73</v>
      </c>
      <c r="I380" s="4" t="s">
        <v>16</v>
      </c>
    </row>
    <row r="381" spans="1:12" ht="14" customHeight="1">
      <c r="A381" s="4">
        <v>5</v>
      </c>
      <c r="B381" s="4" t="s">
        <v>1086</v>
      </c>
      <c r="C381" s="4" t="s">
        <v>1087</v>
      </c>
      <c r="D381" s="4" t="s">
        <v>62</v>
      </c>
      <c r="E381" s="4" t="s">
        <v>1088</v>
      </c>
      <c r="F381" s="4" t="e">
        <v>#VALUE!</v>
      </c>
      <c r="G381" s="4" t="e">
        <v>#VALUE!</v>
      </c>
      <c r="H381" s="4" t="s">
        <v>1087</v>
      </c>
      <c r="I381" s="4" t="s">
        <v>16</v>
      </c>
      <c r="J381" s="4" t="s">
        <v>1089</v>
      </c>
      <c r="K381" s="4" t="s">
        <v>563</v>
      </c>
      <c r="L381" s="4" t="s">
        <v>1090</v>
      </c>
    </row>
    <row r="382" spans="1:12" ht="14" customHeight="1">
      <c r="A382" s="4">
        <v>4</v>
      </c>
      <c r="B382" s="4" t="s">
        <v>1091</v>
      </c>
      <c r="C382" s="4" t="s">
        <v>73</v>
      </c>
      <c r="D382" s="4" t="s">
        <v>462</v>
      </c>
      <c r="E382" s="4" t="s">
        <v>1092</v>
      </c>
      <c r="F382" s="4" t="e">
        <v>#VALUE!</v>
      </c>
      <c r="G382" s="4" t="e">
        <v>#VALUE!</v>
      </c>
      <c r="H382" s="4" t="s">
        <v>73</v>
      </c>
      <c r="I382" s="4" t="s">
        <v>16</v>
      </c>
    </row>
    <row r="383" spans="1:12" ht="14" customHeight="1">
      <c r="A383" s="4">
        <v>3</v>
      </c>
      <c r="B383" s="4" t="s">
        <v>1093</v>
      </c>
      <c r="C383" s="4" t="s">
        <v>73</v>
      </c>
      <c r="D383" s="4" t="s">
        <v>705</v>
      </c>
      <c r="E383" s="4" t="s">
        <v>1094</v>
      </c>
      <c r="F383" s="4" t="e">
        <v>#VALUE!</v>
      </c>
      <c r="G383" s="4" t="e">
        <v>#VALUE!</v>
      </c>
      <c r="H383" s="4" t="s">
        <v>73</v>
      </c>
      <c r="I383" s="4" t="s">
        <v>16</v>
      </c>
    </row>
    <row r="384" spans="1:12" ht="14" customHeight="1">
      <c r="A384" s="4">
        <v>2</v>
      </c>
      <c r="B384" s="4" t="s">
        <v>1095</v>
      </c>
      <c r="C384" s="4" t="s">
        <v>82</v>
      </c>
      <c r="D384" s="4" t="s">
        <v>74</v>
      </c>
      <c r="E384" s="4" t="s">
        <v>1096</v>
      </c>
      <c r="F384" s="4" t="e">
        <v>#VALUE!</v>
      </c>
      <c r="G384" s="4" t="e">
        <v>#VALUE!</v>
      </c>
      <c r="H384" s="4" t="s">
        <v>85</v>
      </c>
      <c r="I384" s="4" t="s">
        <v>16</v>
      </c>
      <c r="J384" s="4" t="s">
        <v>86</v>
      </c>
    </row>
    <row r="385" spans="1:10" ht="14" customHeight="1">
      <c r="A385" s="4">
        <v>1</v>
      </c>
      <c r="B385" s="4" t="s">
        <v>1097</v>
      </c>
      <c r="C385" s="4" t="s">
        <v>1098</v>
      </c>
      <c r="D385" s="4" t="s">
        <v>83</v>
      </c>
      <c r="E385" s="4" t="s">
        <v>1099</v>
      </c>
      <c r="F385" s="4" t="e">
        <v>#VALUE!</v>
      </c>
      <c r="G385" s="4" t="e">
        <v>#VALUE!</v>
      </c>
      <c r="H385" s="4" t="s">
        <v>1098</v>
      </c>
      <c r="I385" s="4" t="s">
        <v>16</v>
      </c>
    </row>
    <row r="386" spans="1:10" ht="14" customHeight="1">
      <c r="A386" s="4" t="s">
        <v>6</v>
      </c>
      <c r="B386" s="4" t="s">
        <v>1100</v>
      </c>
      <c r="C386" s="4" t="e">
        <v>#VALUE!</v>
      </c>
      <c r="D386" s="4" t="e">
        <v>#VALUE!</v>
      </c>
      <c r="E386" s="4" t="e">
        <v>#VALUE!</v>
      </c>
      <c r="F386" s="4" t="e">
        <v>#VALUE!</v>
      </c>
      <c r="G386" s="4" t="e">
        <v>#VALUE!</v>
      </c>
      <c r="H386" s="4" t="e">
        <v>#VALUE!</v>
      </c>
      <c r="I386" s="4" t="s">
        <v>16</v>
      </c>
    </row>
    <row r="387" spans="1:10" ht="14" customHeight="1">
      <c r="A387" s="4" t="s">
        <v>8</v>
      </c>
      <c r="B387" s="4" t="s">
        <v>1003</v>
      </c>
      <c r="C387" s="4" t="e">
        <v>#VALUE!</v>
      </c>
      <c r="D387" s="4" t="e">
        <v>#VALUE!</v>
      </c>
      <c r="E387" s="4" t="e">
        <v>#VALUE!</v>
      </c>
      <c r="F387" s="4" t="e">
        <v>#VALUE!</v>
      </c>
      <c r="G387" s="4" t="e">
        <v>#VALUE!</v>
      </c>
      <c r="H387" s="4" t="e">
        <v>#VALUE!</v>
      </c>
      <c r="I387" s="4" t="s">
        <v>16</v>
      </c>
    </row>
    <row r="388" spans="1:10" ht="14" customHeight="1">
      <c r="A388" s="4">
        <v>158</v>
      </c>
      <c r="B388" s="4" t="s">
        <v>1101</v>
      </c>
      <c r="C388" s="4" t="s">
        <v>73</v>
      </c>
      <c r="D388" s="4" t="s">
        <v>12</v>
      </c>
      <c r="E388" s="4" t="s">
        <v>1102</v>
      </c>
      <c r="F388" s="4" t="s">
        <v>1103</v>
      </c>
      <c r="G388" s="4">
        <v>179</v>
      </c>
      <c r="H388" s="4" t="s">
        <v>73</v>
      </c>
      <c r="I388" s="4" t="s">
        <v>16</v>
      </c>
    </row>
    <row r="389" spans="1:10" ht="14" customHeight="1">
      <c r="A389" s="4">
        <v>157</v>
      </c>
      <c r="B389" s="4" t="s">
        <v>1104</v>
      </c>
      <c r="C389" s="4" t="s">
        <v>73</v>
      </c>
      <c r="D389" s="4" t="s">
        <v>12</v>
      </c>
      <c r="E389" s="4" t="s">
        <v>1105</v>
      </c>
      <c r="F389" s="4" t="e">
        <v>#VALUE!</v>
      </c>
      <c r="G389" s="4" t="e">
        <v>#VALUE!</v>
      </c>
      <c r="H389" s="4" t="s">
        <v>73</v>
      </c>
      <c r="I389" s="4" t="s">
        <v>16</v>
      </c>
    </row>
    <row r="390" spans="1:10" ht="14" customHeight="1">
      <c r="A390" s="4">
        <v>156</v>
      </c>
      <c r="B390" s="4" t="s">
        <v>1106</v>
      </c>
      <c r="C390" s="4" t="s">
        <v>167</v>
      </c>
      <c r="D390" s="4" t="s">
        <v>12</v>
      </c>
      <c r="E390" s="4" t="s">
        <v>1107</v>
      </c>
      <c r="F390" s="4" t="e">
        <v>#VALUE!</v>
      </c>
      <c r="G390" s="4" t="e">
        <v>#VALUE!</v>
      </c>
      <c r="H390" s="4" t="s">
        <v>167</v>
      </c>
      <c r="I390" s="4" t="s">
        <v>16</v>
      </c>
    </row>
    <row r="391" spans="1:10" ht="14" customHeight="1">
      <c r="A391" s="4">
        <v>155</v>
      </c>
      <c r="B391" s="4" t="s">
        <v>1108</v>
      </c>
      <c r="C391" s="4" t="s">
        <v>1109</v>
      </c>
      <c r="D391" s="4" t="s">
        <v>12</v>
      </c>
      <c r="E391" s="4" t="s">
        <v>1110</v>
      </c>
      <c r="F391" s="4" t="e">
        <v>#VALUE!</v>
      </c>
      <c r="G391" s="4" t="e">
        <v>#VALUE!</v>
      </c>
      <c r="H391" s="4" t="s">
        <v>1109</v>
      </c>
      <c r="I391" s="4" t="s">
        <v>16</v>
      </c>
    </row>
    <row r="392" spans="1:10" ht="14" customHeight="1">
      <c r="A392" s="4">
        <v>154</v>
      </c>
      <c r="B392" s="4" t="s">
        <v>1111</v>
      </c>
      <c r="C392" s="4" t="s">
        <v>184</v>
      </c>
      <c r="D392" s="4" t="s">
        <v>12</v>
      </c>
      <c r="E392" s="4" t="s">
        <v>1112</v>
      </c>
      <c r="F392" s="4" t="e">
        <v>#VALUE!</v>
      </c>
      <c r="G392" s="4" t="e">
        <v>#VALUE!</v>
      </c>
      <c r="H392" s="4" t="s">
        <v>184</v>
      </c>
      <c r="I392" s="4" t="s">
        <v>16</v>
      </c>
    </row>
    <row r="393" spans="1:10" ht="14" customHeight="1">
      <c r="A393" s="4">
        <v>153</v>
      </c>
      <c r="B393" s="4" t="s">
        <v>1113</v>
      </c>
      <c r="C393" s="4" t="s">
        <v>190</v>
      </c>
      <c r="D393" s="4" t="s">
        <v>12</v>
      </c>
      <c r="E393" s="4" t="s">
        <v>1114</v>
      </c>
      <c r="F393" s="4" t="e">
        <v>#VALUE!</v>
      </c>
      <c r="G393" s="4" t="e">
        <v>#VALUE!</v>
      </c>
      <c r="H393" s="4" t="s">
        <v>190</v>
      </c>
      <c r="I393" s="4" t="s">
        <v>16</v>
      </c>
    </row>
    <row r="394" spans="1:10" ht="14" customHeight="1">
      <c r="A394" s="4">
        <v>152</v>
      </c>
      <c r="B394" s="4" t="s">
        <v>1115</v>
      </c>
      <c r="C394" s="4" t="s">
        <v>1116</v>
      </c>
      <c r="D394" s="4" t="s">
        <v>12</v>
      </c>
      <c r="E394" s="4" t="s">
        <v>1117</v>
      </c>
      <c r="F394" s="4" t="e">
        <v>#VALUE!</v>
      </c>
      <c r="G394" s="4" t="e">
        <v>#VALUE!</v>
      </c>
      <c r="H394" s="4" t="s">
        <v>1116</v>
      </c>
      <c r="I394" s="4" t="s">
        <v>16</v>
      </c>
    </row>
    <row r="395" spans="1:10" ht="14" customHeight="1">
      <c r="A395" s="4">
        <v>151</v>
      </c>
      <c r="B395" s="4" t="s">
        <v>1118</v>
      </c>
      <c r="C395" s="4" t="s">
        <v>207</v>
      </c>
      <c r="D395" s="4" t="s">
        <v>12</v>
      </c>
      <c r="E395" s="4" t="s">
        <v>1119</v>
      </c>
      <c r="F395" s="4" t="e">
        <v>#VALUE!</v>
      </c>
      <c r="G395" s="4" t="e">
        <v>#VALUE!</v>
      </c>
      <c r="H395" s="4" t="s">
        <v>207</v>
      </c>
      <c r="I395" s="4" t="s">
        <v>16</v>
      </c>
      <c r="J395" s="4" t="s">
        <v>209</v>
      </c>
    </row>
    <row r="396" spans="1:10" ht="14" customHeight="1">
      <c r="A396" s="4">
        <v>150</v>
      </c>
      <c r="B396" s="4" t="s">
        <v>1120</v>
      </c>
      <c r="C396" s="4" t="s">
        <v>73</v>
      </c>
      <c r="D396" s="4" t="s">
        <v>131</v>
      </c>
      <c r="E396" s="4" t="s">
        <v>1121</v>
      </c>
      <c r="F396" s="4" t="s">
        <v>1122</v>
      </c>
      <c r="G396" s="4">
        <v>228</v>
      </c>
      <c r="H396" s="4" t="s">
        <v>73</v>
      </c>
      <c r="I396" s="4" t="s">
        <v>16</v>
      </c>
    </row>
    <row r="397" spans="1:10" ht="14" customHeight="1">
      <c r="A397" s="4">
        <v>149</v>
      </c>
      <c r="B397" s="4" t="s">
        <v>1123</v>
      </c>
      <c r="C397" s="4" t="s">
        <v>73</v>
      </c>
      <c r="D397" s="4" t="s">
        <v>131</v>
      </c>
      <c r="E397" s="4" t="s">
        <v>1124</v>
      </c>
      <c r="F397" s="4" t="e">
        <v>#VALUE!</v>
      </c>
      <c r="G397" s="4" t="e">
        <v>#VALUE!</v>
      </c>
      <c r="H397" s="4" t="s">
        <v>73</v>
      </c>
      <c r="I397" s="4" t="s">
        <v>16</v>
      </c>
    </row>
    <row r="398" spans="1:10" ht="14" customHeight="1">
      <c r="A398" s="4">
        <v>148</v>
      </c>
      <c r="B398" s="4" t="s">
        <v>1125</v>
      </c>
      <c r="C398" s="4" t="s">
        <v>1126</v>
      </c>
      <c r="D398" s="4" t="s">
        <v>131</v>
      </c>
      <c r="E398" s="4" t="s">
        <v>17</v>
      </c>
      <c r="F398" s="4" t="s">
        <v>1127</v>
      </c>
      <c r="G398" s="4">
        <v>26</v>
      </c>
      <c r="H398" s="4" t="s">
        <v>1126</v>
      </c>
      <c r="I398" s="4" t="s">
        <v>16</v>
      </c>
    </row>
    <row r="399" spans="1:10" ht="14" customHeight="1">
      <c r="A399" s="4">
        <v>147</v>
      </c>
      <c r="B399" s="4" t="s">
        <v>1128</v>
      </c>
      <c r="C399" s="4" t="s">
        <v>73</v>
      </c>
      <c r="D399" s="4" t="s">
        <v>131</v>
      </c>
      <c r="E399" s="4" t="s">
        <v>1129</v>
      </c>
      <c r="F399" s="4" t="e">
        <v>#VALUE!</v>
      </c>
      <c r="G399" s="4" t="e">
        <v>#VALUE!</v>
      </c>
      <c r="H399" s="4" t="s">
        <v>73</v>
      </c>
      <c r="I399" s="4" t="s">
        <v>16</v>
      </c>
    </row>
    <row r="400" spans="1:10" ht="14" customHeight="1">
      <c r="A400" s="4">
        <v>146</v>
      </c>
      <c r="B400" s="4" t="s">
        <v>1130</v>
      </c>
      <c r="C400" s="4" t="s">
        <v>164</v>
      </c>
      <c r="D400" s="4" t="s">
        <v>131</v>
      </c>
      <c r="E400" s="4" t="s">
        <v>165</v>
      </c>
      <c r="F400" s="4" t="e">
        <v>#VALUE!</v>
      </c>
      <c r="G400" s="4" t="e">
        <v>#VALUE!</v>
      </c>
      <c r="H400" s="4" t="s">
        <v>164</v>
      </c>
      <c r="I400" s="4" t="s">
        <v>16</v>
      </c>
    </row>
    <row r="401" spans="1:10" ht="14" customHeight="1">
      <c r="A401" s="4">
        <v>145</v>
      </c>
      <c r="B401" s="4" t="s">
        <v>1131</v>
      </c>
      <c r="C401" s="4" t="s">
        <v>1132</v>
      </c>
      <c r="D401" s="4" t="s">
        <v>131</v>
      </c>
      <c r="E401" s="4" t="s">
        <v>1133</v>
      </c>
      <c r="F401" s="4" t="e">
        <v>#VALUE!</v>
      </c>
      <c r="G401" s="4" t="e">
        <v>#VALUE!</v>
      </c>
      <c r="H401" s="4" t="s">
        <v>1132</v>
      </c>
      <c r="I401" s="4" t="s">
        <v>16</v>
      </c>
      <c r="J401" s="4" t="s">
        <v>1134</v>
      </c>
    </row>
    <row r="402" spans="1:10" ht="14" customHeight="1">
      <c r="A402" s="4">
        <v>144</v>
      </c>
      <c r="B402" s="4" t="s">
        <v>1135</v>
      </c>
      <c r="C402" s="4" t="s">
        <v>167</v>
      </c>
      <c r="D402" s="4" t="s">
        <v>131</v>
      </c>
      <c r="E402" s="4" t="s">
        <v>168</v>
      </c>
      <c r="F402" s="4" t="e">
        <v>#VALUE!</v>
      </c>
      <c r="G402" s="4" t="e">
        <v>#VALUE!</v>
      </c>
      <c r="H402" s="4" t="s">
        <v>167</v>
      </c>
      <c r="I402" s="4" t="s">
        <v>16</v>
      </c>
    </row>
    <row r="403" spans="1:10" ht="14" customHeight="1">
      <c r="A403" s="4">
        <v>143</v>
      </c>
      <c r="B403" s="4" t="s">
        <v>1136</v>
      </c>
      <c r="C403" s="4" t="s">
        <v>190</v>
      </c>
      <c r="D403" s="4" t="s">
        <v>131</v>
      </c>
      <c r="E403" s="4" t="s">
        <v>191</v>
      </c>
      <c r="F403" s="4" t="e">
        <v>#VALUE!</v>
      </c>
      <c r="G403" s="4" t="e">
        <v>#VALUE!</v>
      </c>
      <c r="H403" s="4" t="s">
        <v>190</v>
      </c>
      <c r="I403" s="4" t="s">
        <v>16</v>
      </c>
    </row>
    <row r="404" spans="1:10" ht="14" customHeight="1">
      <c r="A404" s="4">
        <v>142</v>
      </c>
      <c r="B404" s="4" t="s">
        <v>1137</v>
      </c>
      <c r="C404" s="4" t="s">
        <v>160</v>
      </c>
      <c r="D404" s="4" t="s">
        <v>131</v>
      </c>
      <c r="E404" s="4" t="s">
        <v>161</v>
      </c>
      <c r="F404" s="4" t="e">
        <v>#VALUE!</v>
      </c>
      <c r="G404" s="4" t="e">
        <v>#VALUE!</v>
      </c>
      <c r="H404" s="4" t="s">
        <v>160</v>
      </c>
      <c r="I404" s="4" t="s">
        <v>16</v>
      </c>
    </row>
    <row r="405" spans="1:10" ht="14" customHeight="1">
      <c r="A405" s="4">
        <v>141</v>
      </c>
      <c r="B405" s="4" t="s">
        <v>1138</v>
      </c>
      <c r="C405" s="4" t="s">
        <v>1139</v>
      </c>
      <c r="D405" s="4" t="s">
        <v>131</v>
      </c>
      <c r="E405" s="4" t="s">
        <v>1140</v>
      </c>
      <c r="F405" s="4" t="e">
        <v>#VALUE!</v>
      </c>
      <c r="G405" s="4" t="e">
        <v>#VALUE!</v>
      </c>
      <c r="H405" s="4" t="s">
        <v>1139</v>
      </c>
      <c r="I405" s="4" t="s">
        <v>16</v>
      </c>
    </row>
    <row r="406" spans="1:10" ht="14" customHeight="1">
      <c r="A406" s="4">
        <v>140</v>
      </c>
      <c r="B406" s="4" t="s">
        <v>1141</v>
      </c>
      <c r="C406" s="4" t="s">
        <v>207</v>
      </c>
      <c r="D406" s="4" t="s">
        <v>131</v>
      </c>
      <c r="E406" s="4" t="s">
        <v>1142</v>
      </c>
      <c r="F406" s="4" t="e">
        <v>#VALUE!</v>
      </c>
      <c r="G406" s="4" t="e">
        <v>#VALUE!</v>
      </c>
      <c r="H406" s="4" t="s">
        <v>207</v>
      </c>
      <c r="I406" s="4" t="s">
        <v>16</v>
      </c>
      <c r="J406" s="4" t="s">
        <v>209</v>
      </c>
    </row>
    <row r="407" spans="1:10" ht="14" customHeight="1">
      <c r="A407" s="4">
        <v>139</v>
      </c>
      <c r="B407" s="4" t="s">
        <v>1143</v>
      </c>
      <c r="C407" s="4" t="s">
        <v>1144</v>
      </c>
      <c r="D407" s="4" t="s">
        <v>131</v>
      </c>
      <c r="E407" s="4" t="s">
        <v>1145</v>
      </c>
      <c r="F407" s="4" t="e">
        <v>#VALUE!</v>
      </c>
      <c r="G407" s="4" t="e">
        <v>#VALUE!</v>
      </c>
      <c r="H407" s="4" t="s">
        <v>1144</v>
      </c>
      <c r="I407" s="4" t="s">
        <v>16</v>
      </c>
    </row>
    <row r="408" spans="1:10" ht="14" customHeight="1">
      <c r="A408" s="4">
        <v>138</v>
      </c>
      <c r="B408" s="4" t="s">
        <v>1146</v>
      </c>
      <c r="C408" s="4" t="s">
        <v>58</v>
      </c>
      <c r="D408" s="4" t="s">
        <v>131</v>
      </c>
      <c r="E408" s="4" t="s">
        <v>181</v>
      </c>
      <c r="F408" s="4" t="e">
        <v>#VALUE!</v>
      </c>
      <c r="G408" s="4" t="e">
        <v>#VALUE!</v>
      </c>
      <c r="H408" s="4" t="s">
        <v>58</v>
      </c>
      <c r="I408" s="4" t="s">
        <v>16</v>
      </c>
    </row>
    <row r="409" spans="1:10" ht="14" customHeight="1">
      <c r="A409" s="4">
        <v>137</v>
      </c>
      <c r="B409" s="4" t="s">
        <v>1147</v>
      </c>
      <c r="C409" s="4" t="s">
        <v>233</v>
      </c>
      <c r="D409" s="4" t="s">
        <v>131</v>
      </c>
      <c r="E409" s="4" t="s">
        <v>1148</v>
      </c>
      <c r="F409" s="4" t="e">
        <v>#VALUE!</v>
      </c>
      <c r="G409" s="4" t="e">
        <v>#VALUE!</v>
      </c>
      <c r="H409" s="4" t="s">
        <v>233</v>
      </c>
      <c r="I409" s="4" t="s">
        <v>16</v>
      </c>
    </row>
    <row r="410" spans="1:10" ht="14" customHeight="1">
      <c r="A410" s="4">
        <v>136</v>
      </c>
      <c r="B410" s="4" t="s">
        <v>1149</v>
      </c>
      <c r="C410" s="4" t="s">
        <v>173</v>
      </c>
      <c r="D410" s="4" t="s">
        <v>131</v>
      </c>
      <c r="E410" s="4" t="s">
        <v>1150</v>
      </c>
      <c r="F410" s="4" t="e">
        <v>#VALUE!</v>
      </c>
      <c r="G410" s="4" t="e">
        <v>#VALUE!</v>
      </c>
      <c r="H410" s="4" t="s">
        <v>173</v>
      </c>
      <c r="I410" s="4" t="s">
        <v>16</v>
      </c>
    </row>
    <row r="411" spans="1:10" ht="14" customHeight="1">
      <c r="A411" s="4">
        <v>135</v>
      </c>
      <c r="B411" s="4" t="s">
        <v>1151</v>
      </c>
      <c r="C411" s="4" t="s">
        <v>170</v>
      </c>
      <c r="D411" s="4" t="s">
        <v>131</v>
      </c>
      <c r="E411" s="4" t="s">
        <v>1152</v>
      </c>
      <c r="F411" s="4" t="e">
        <v>#VALUE!</v>
      </c>
      <c r="G411" s="4" t="e">
        <v>#VALUE!</v>
      </c>
      <c r="H411" s="4" t="s">
        <v>170</v>
      </c>
      <c r="I411" s="4" t="s">
        <v>16</v>
      </c>
    </row>
    <row r="412" spans="1:10" ht="14" customHeight="1">
      <c r="A412" s="4">
        <v>134</v>
      </c>
      <c r="B412" s="4" t="s">
        <v>1153</v>
      </c>
      <c r="C412" s="4" t="s">
        <v>153</v>
      </c>
      <c r="D412" s="4" t="s">
        <v>131</v>
      </c>
      <c r="E412" s="4" t="s">
        <v>1154</v>
      </c>
      <c r="F412" s="4" t="e">
        <v>#VALUE!</v>
      </c>
      <c r="G412" s="4" t="e">
        <v>#VALUE!</v>
      </c>
      <c r="H412" s="4" t="s">
        <v>153</v>
      </c>
      <c r="I412" s="4" t="s">
        <v>16</v>
      </c>
      <c r="J412" s="4" t="s">
        <v>155</v>
      </c>
    </row>
    <row r="413" spans="1:10" ht="14" customHeight="1">
      <c r="A413" s="4">
        <v>133</v>
      </c>
      <c r="B413" s="4" t="s">
        <v>1155</v>
      </c>
      <c r="C413" s="4" t="s">
        <v>1156</v>
      </c>
      <c r="D413" s="4" t="s">
        <v>131</v>
      </c>
      <c r="E413" s="4" t="s">
        <v>1157</v>
      </c>
      <c r="F413" s="4" t="e">
        <v>#VALUE!</v>
      </c>
      <c r="G413" s="4" t="e">
        <v>#VALUE!</v>
      </c>
      <c r="H413" s="4" t="s">
        <v>1156</v>
      </c>
      <c r="I413" s="4" t="s">
        <v>16</v>
      </c>
    </row>
    <row r="414" spans="1:10" ht="14" customHeight="1">
      <c r="A414" s="4">
        <v>132</v>
      </c>
      <c r="B414" s="4" t="s">
        <v>1158</v>
      </c>
      <c r="C414" s="4" t="s">
        <v>1159</v>
      </c>
      <c r="D414" s="4" t="s">
        <v>131</v>
      </c>
      <c r="E414" s="4" t="s">
        <v>1160</v>
      </c>
      <c r="F414" s="4" t="e">
        <v>#VALUE!</v>
      </c>
      <c r="G414" s="4" t="e">
        <v>#VALUE!</v>
      </c>
      <c r="H414" s="4" t="s">
        <v>1159</v>
      </c>
      <c r="I414" s="4" t="s">
        <v>16</v>
      </c>
    </row>
    <row r="415" spans="1:10" ht="14" customHeight="1">
      <c r="A415" s="4">
        <v>131</v>
      </c>
      <c r="B415" s="4" t="s">
        <v>1161</v>
      </c>
      <c r="C415" s="4" t="s">
        <v>130</v>
      </c>
      <c r="D415" s="4" t="s">
        <v>131</v>
      </c>
      <c r="E415" s="4" t="s">
        <v>179</v>
      </c>
      <c r="F415" s="4" t="e">
        <v>#VALUE!</v>
      </c>
      <c r="G415" s="4" t="e">
        <v>#VALUE!</v>
      </c>
      <c r="H415" s="4" t="s">
        <v>130</v>
      </c>
      <c r="I415" s="4" t="s">
        <v>16</v>
      </c>
    </row>
    <row r="416" spans="1:10" ht="14" customHeight="1">
      <c r="A416" s="4">
        <v>130</v>
      </c>
      <c r="B416" s="4" t="s">
        <v>1162</v>
      </c>
      <c r="C416" s="4" t="s">
        <v>402</v>
      </c>
      <c r="D416" s="4" t="s">
        <v>131</v>
      </c>
      <c r="E416" s="4" t="s">
        <v>1163</v>
      </c>
      <c r="F416" s="4" t="e">
        <v>#VALUE!</v>
      </c>
      <c r="G416" s="4" t="e">
        <v>#VALUE!</v>
      </c>
      <c r="H416" s="4" t="s">
        <v>402</v>
      </c>
      <c r="I416" s="4" t="s">
        <v>16</v>
      </c>
    </row>
    <row r="417" spans="1:10" ht="14" customHeight="1">
      <c r="A417" s="4">
        <v>129</v>
      </c>
      <c r="B417" s="4" t="s">
        <v>1164</v>
      </c>
      <c r="C417" s="4" t="s">
        <v>176</v>
      </c>
      <c r="D417" s="4" t="s">
        <v>131</v>
      </c>
      <c r="E417" s="4" t="s">
        <v>177</v>
      </c>
      <c r="F417" s="4" t="e">
        <v>#VALUE!</v>
      </c>
      <c r="G417" s="4" t="e">
        <v>#VALUE!</v>
      </c>
      <c r="H417" s="4" t="s">
        <v>176</v>
      </c>
      <c r="I417" s="4" t="s">
        <v>16</v>
      </c>
    </row>
    <row r="418" spans="1:10" ht="14" customHeight="1">
      <c r="A418" s="4">
        <v>128</v>
      </c>
      <c r="B418" s="4" t="s">
        <v>1165</v>
      </c>
      <c r="C418" s="4" t="s">
        <v>1166</v>
      </c>
      <c r="D418" s="4" t="s">
        <v>131</v>
      </c>
      <c r="E418" s="4" t="s">
        <v>1167</v>
      </c>
      <c r="F418" s="4" t="e">
        <v>#VALUE!</v>
      </c>
      <c r="G418" s="4" t="e">
        <v>#VALUE!</v>
      </c>
      <c r="H418" s="4" t="s">
        <v>1166</v>
      </c>
      <c r="I418" s="4" t="s">
        <v>16</v>
      </c>
    </row>
    <row r="419" spans="1:10" ht="14" customHeight="1">
      <c r="A419" s="4">
        <v>127</v>
      </c>
      <c r="B419" s="4" t="s">
        <v>1168</v>
      </c>
      <c r="C419" s="4" t="s">
        <v>187</v>
      </c>
      <c r="D419" s="4" t="s">
        <v>131</v>
      </c>
      <c r="E419" s="4" t="s">
        <v>1169</v>
      </c>
      <c r="F419" s="4" t="e">
        <v>#VALUE!</v>
      </c>
      <c r="G419" s="4" t="e">
        <v>#VALUE!</v>
      </c>
      <c r="H419" s="4" t="s">
        <v>187</v>
      </c>
      <c r="I419" s="4" t="s">
        <v>16</v>
      </c>
    </row>
    <row r="420" spans="1:10" ht="14" customHeight="1">
      <c r="A420" s="4">
        <v>126</v>
      </c>
      <c r="B420" s="4" t="s">
        <v>1170</v>
      </c>
      <c r="C420" s="4" t="s">
        <v>184</v>
      </c>
      <c r="D420" s="4" t="s">
        <v>131</v>
      </c>
      <c r="E420" s="4" t="s">
        <v>1171</v>
      </c>
      <c r="F420" s="4" t="e">
        <v>#VALUE!</v>
      </c>
      <c r="G420" s="4" t="e">
        <v>#VALUE!</v>
      </c>
      <c r="H420" s="4" t="s">
        <v>184</v>
      </c>
      <c r="I420" s="4" t="s">
        <v>16</v>
      </c>
    </row>
    <row r="421" spans="1:10" ht="14" customHeight="1">
      <c r="A421" s="4">
        <v>125</v>
      </c>
      <c r="B421" s="4" t="s">
        <v>1172</v>
      </c>
      <c r="C421" s="4" t="s">
        <v>149</v>
      </c>
      <c r="D421" s="4" t="s">
        <v>131</v>
      </c>
      <c r="E421" s="4" t="s">
        <v>1173</v>
      </c>
      <c r="F421" s="4" t="e">
        <v>#VALUE!</v>
      </c>
      <c r="G421" s="4" t="e">
        <v>#VALUE!</v>
      </c>
      <c r="H421" s="4" t="s">
        <v>149</v>
      </c>
      <c r="I421" s="4" t="s">
        <v>16</v>
      </c>
      <c r="J421" s="4" t="s">
        <v>151</v>
      </c>
    </row>
    <row r="422" spans="1:10" ht="14" customHeight="1">
      <c r="A422" s="4">
        <v>124</v>
      </c>
      <c r="B422" s="4" t="s">
        <v>1174</v>
      </c>
      <c r="C422" s="4" t="s">
        <v>193</v>
      </c>
      <c r="D422" s="4" t="s">
        <v>131</v>
      </c>
      <c r="E422" s="4" t="s">
        <v>194</v>
      </c>
      <c r="F422" s="4" t="e">
        <v>#VALUE!</v>
      </c>
      <c r="G422" s="4" t="e">
        <v>#VALUE!</v>
      </c>
      <c r="H422" s="4" t="s">
        <v>193</v>
      </c>
      <c r="I422" s="4" t="s">
        <v>16</v>
      </c>
    </row>
    <row r="423" spans="1:10" ht="14" customHeight="1">
      <c r="A423" s="4">
        <v>123</v>
      </c>
      <c r="B423" s="4" t="s">
        <v>1175</v>
      </c>
      <c r="C423" s="4" t="s">
        <v>73</v>
      </c>
      <c r="D423" s="4" t="s">
        <v>131</v>
      </c>
      <c r="E423" s="4" t="s">
        <v>1176</v>
      </c>
      <c r="F423" s="4" t="e">
        <v>#VALUE!</v>
      </c>
      <c r="G423" s="4" t="e">
        <v>#VALUE!</v>
      </c>
      <c r="H423" s="4" t="s">
        <v>73</v>
      </c>
      <c r="I423" s="4" t="s">
        <v>16</v>
      </c>
    </row>
    <row r="424" spans="1:10" ht="14" customHeight="1">
      <c r="A424" s="4">
        <v>122</v>
      </c>
      <c r="B424" s="4" t="s">
        <v>1177</v>
      </c>
      <c r="C424" s="4" t="s">
        <v>73</v>
      </c>
      <c r="D424" s="4" t="s">
        <v>131</v>
      </c>
      <c r="E424" s="4" t="s">
        <v>1178</v>
      </c>
      <c r="F424" s="4" t="e">
        <v>#VALUE!</v>
      </c>
      <c r="G424" s="4" t="e">
        <v>#VALUE!</v>
      </c>
      <c r="H424" s="4" t="s">
        <v>73</v>
      </c>
      <c r="I424" s="4" t="s">
        <v>16</v>
      </c>
    </row>
    <row r="425" spans="1:10" ht="14" customHeight="1">
      <c r="A425" s="4">
        <v>121</v>
      </c>
      <c r="B425" s="4" t="s">
        <v>1179</v>
      </c>
      <c r="C425" s="4" t="s">
        <v>73</v>
      </c>
      <c r="D425" s="4" t="s">
        <v>131</v>
      </c>
      <c r="E425" s="4" t="s">
        <v>1180</v>
      </c>
      <c r="F425" s="4" t="e">
        <v>#VALUE!</v>
      </c>
      <c r="G425" s="4" t="e">
        <v>#VALUE!</v>
      </c>
      <c r="H425" s="4" t="s">
        <v>73</v>
      </c>
      <c r="I425" s="4" t="s">
        <v>16</v>
      </c>
    </row>
    <row r="426" spans="1:10" ht="14" customHeight="1">
      <c r="A426" s="4">
        <v>120</v>
      </c>
      <c r="B426" s="4" t="s">
        <v>1181</v>
      </c>
      <c r="C426" s="4" t="s">
        <v>73</v>
      </c>
      <c r="D426" s="4" t="s">
        <v>131</v>
      </c>
      <c r="E426" s="4" t="s">
        <v>1182</v>
      </c>
      <c r="F426" s="4" t="s">
        <v>1183</v>
      </c>
      <c r="G426" s="4">
        <v>192</v>
      </c>
      <c r="H426" s="4" t="s">
        <v>73</v>
      </c>
      <c r="I426" s="4" t="s">
        <v>16</v>
      </c>
    </row>
    <row r="427" spans="1:10" ht="14" customHeight="1">
      <c r="A427" s="4">
        <v>119</v>
      </c>
      <c r="B427" s="4" t="s">
        <v>1184</v>
      </c>
      <c r="C427" s="4" t="s">
        <v>1185</v>
      </c>
      <c r="D427" s="4" t="s">
        <v>131</v>
      </c>
      <c r="E427" s="4" t="s">
        <v>1186</v>
      </c>
      <c r="F427" s="4" t="e">
        <v>#VALUE!</v>
      </c>
      <c r="G427" s="4" t="e">
        <v>#VALUE!</v>
      </c>
      <c r="H427" s="4" t="s">
        <v>1185</v>
      </c>
      <c r="I427" s="4" t="s">
        <v>16</v>
      </c>
    </row>
    <row r="428" spans="1:10" ht="14" customHeight="1">
      <c r="A428" s="4">
        <v>118</v>
      </c>
      <c r="B428" s="4" t="s">
        <v>1187</v>
      </c>
      <c r="C428" s="4" t="s">
        <v>73</v>
      </c>
      <c r="D428" s="4" t="s">
        <v>202</v>
      </c>
      <c r="E428" s="4" t="s">
        <v>1188</v>
      </c>
      <c r="F428" s="4" t="e">
        <v>#VALUE!</v>
      </c>
      <c r="G428" s="4" t="e">
        <v>#VALUE!</v>
      </c>
      <c r="H428" s="4" t="s">
        <v>73</v>
      </c>
      <c r="I428" s="4" t="s">
        <v>16</v>
      </c>
    </row>
    <row r="429" spans="1:10" ht="14" customHeight="1">
      <c r="A429" s="4">
        <v>117</v>
      </c>
      <c r="B429" s="4" t="s">
        <v>1189</v>
      </c>
      <c r="C429" s="4" t="s">
        <v>73</v>
      </c>
      <c r="D429" s="4" t="s">
        <v>202</v>
      </c>
      <c r="E429" s="4" t="s">
        <v>1190</v>
      </c>
      <c r="F429" s="4" t="e">
        <v>#VALUE!</v>
      </c>
      <c r="G429" s="4" t="e">
        <v>#VALUE!</v>
      </c>
      <c r="H429" s="4" t="s">
        <v>73</v>
      </c>
      <c r="I429" s="4" t="s">
        <v>16</v>
      </c>
    </row>
    <row r="430" spans="1:10" ht="14" customHeight="1">
      <c r="A430" s="4">
        <v>116</v>
      </c>
      <c r="B430" s="4" t="s">
        <v>1191</v>
      </c>
      <c r="C430" s="4" t="s">
        <v>73</v>
      </c>
      <c r="D430" s="4" t="s">
        <v>202</v>
      </c>
      <c r="E430" s="4" t="s">
        <v>1192</v>
      </c>
      <c r="F430" s="4" t="s">
        <v>1193</v>
      </c>
      <c r="G430" s="4">
        <v>206</v>
      </c>
      <c r="H430" s="4" t="s">
        <v>73</v>
      </c>
      <c r="I430" s="4" t="s">
        <v>16</v>
      </c>
    </row>
    <row r="431" spans="1:10" ht="14" customHeight="1">
      <c r="A431" s="4">
        <v>115</v>
      </c>
      <c r="B431" s="4" t="s">
        <v>1194</v>
      </c>
      <c r="C431" s="4" t="s">
        <v>73</v>
      </c>
      <c r="D431" s="4" t="s">
        <v>202</v>
      </c>
      <c r="E431" s="4" t="s">
        <v>1195</v>
      </c>
      <c r="F431" s="4" t="e">
        <v>#VALUE!</v>
      </c>
      <c r="G431" s="4" t="e">
        <v>#VALUE!</v>
      </c>
      <c r="H431" s="4" t="s">
        <v>73</v>
      </c>
      <c r="I431" s="4" t="s">
        <v>16</v>
      </c>
    </row>
    <row r="432" spans="1:10" ht="14" customHeight="1">
      <c r="A432" s="4">
        <v>114</v>
      </c>
      <c r="B432" s="4" t="s">
        <v>1196</v>
      </c>
      <c r="C432" s="4" t="s">
        <v>73</v>
      </c>
      <c r="D432" s="4" t="s">
        <v>202</v>
      </c>
      <c r="E432" s="4" t="s">
        <v>1197</v>
      </c>
      <c r="F432" s="4" t="e">
        <v>#VALUE!</v>
      </c>
      <c r="G432" s="4" t="e">
        <v>#VALUE!</v>
      </c>
      <c r="H432" s="4" t="s">
        <v>73</v>
      </c>
      <c r="I432" s="4" t="s">
        <v>16</v>
      </c>
    </row>
    <row r="433" spans="1:10" ht="14" customHeight="1">
      <c r="A433" s="4">
        <v>113</v>
      </c>
      <c r="B433" s="4" t="s">
        <v>1198</v>
      </c>
      <c r="C433" s="4" t="s">
        <v>149</v>
      </c>
      <c r="D433" s="4" t="s">
        <v>202</v>
      </c>
      <c r="E433" s="4" t="s">
        <v>1199</v>
      </c>
      <c r="F433" s="4" t="e">
        <v>#VALUE!</v>
      </c>
      <c r="G433" s="4" t="e">
        <v>#VALUE!</v>
      </c>
      <c r="H433" s="4" t="s">
        <v>149</v>
      </c>
      <c r="I433" s="4" t="s">
        <v>16</v>
      </c>
      <c r="J433" s="4" t="s">
        <v>151</v>
      </c>
    </row>
    <row r="434" spans="1:10" ht="14" customHeight="1">
      <c r="A434" s="4">
        <v>112</v>
      </c>
      <c r="B434" s="4" t="s">
        <v>1200</v>
      </c>
      <c r="C434" s="4" t="s">
        <v>207</v>
      </c>
      <c r="D434" s="4" t="s">
        <v>202</v>
      </c>
      <c r="E434" s="4" t="s">
        <v>1201</v>
      </c>
      <c r="F434" s="4" t="e">
        <v>#VALUE!</v>
      </c>
      <c r="G434" s="4" t="e">
        <v>#VALUE!</v>
      </c>
      <c r="H434" s="4" t="s">
        <v>207</v>
      </c>
      <c r="I434" s="4" t="s">
        <v>16</v>
      </c>
      <c r="J434" s="4" t="s">
        <v>209</v>
      </c>
    </row>
    <row r="435" spans="1:10" ht="14" customHeight="1">
      <c r="A435" s="4">
        <v>111</v>
      </c>
      <c r="B435" s="4" t="s">
        <v>1202</v>
      </c>
      <c r="C435" s="4" t="s">
        <v>215</v>
      </c>
      <c r="D435" s="4" t="s">
        <v>202</v>
      </c>
      <c r="E435" s="4" t="s">
        <v>1203</v>
      </c>
      <c r="F435" s="4" t="e">
        <v>#VALUE!</v>
      </c>
      <c r="G435" s="4" t="e">
        <v>#VALUE!</v>
      </c>
      <c r="H435" s="4" t="s">
        <v>215</v>
      </c>
      <c r="I435" s="4" t="s">
        <v>16</v>
      </c>
      <c r="J435" s="4" t="s">
        <v>217</v>
      </c>
    </row>
    <row r="436" spans="1:10" ht="14" customHeight="1">
      <c r="A436" s="4">
        <v>110</v>
      </c>
      <c r="B436" s="4" t="s">
        <v>1204</v>
      </c>
      <c r="C436" s="4" t="s">
        <v>184</v>
      </c>
      <c r="D436" s="4" t="s">
        <v>202</v>
      </c>
      <c r="E436" s="4" t="s">
        <v>1205</v>
      </c>
      <c r="F436" s="4" t="e">
        <v>#VALUE!</v>
      </c>
      <c r="G436" s="4" t="e">
        <v>#VALUE!</v>
      </c>
      <c r="H436" s="4" t="s">
        <v>184</v>
      </c>
      <c r="I436" s="4" t="s">
        <v>16</v>
      </c>
    </row>
    <row r="437" spans="1:10" ht="14" customHeight="1">
      <c r="A437" s="4">
        <v>109</v>
      </c>
      <c r="B437" s="4" t="s">
        <v>1206</v>
      </c>
      <c r="C437" s="4" t="s">
        <v>160</v>
      </c>
      <c r="D437" s="4" t="s">
        <v>202</v>
      </c>
      <c r="E437" s="4" t="s">
        <v>203</v>
      </c>
      <c r="F437" s="4" t="e">
        <v>#VALUE!</v>
      </c>
      <c r="G437" s="4" t="e">
        <v>#VALUE!</v>
      </c>
      <c r="H437" s="4" t="s">
        <v>160</v>
      </c>
      <c r="I437" s="4" t="s">
        <v>16</v>
      </c>
    </row>
    <row r="438" spans="1:10" ht="14" customHeight="1">
      <c r="A438" s="4">
        <v>108</v>
      </c>
      <c r="B438" s="4" t="s">
        <v>1207</v>
      </c>
      <c r="C438" s="4" t="s">
        <v>190</v>
      </c>
      <c r="D438" s="4" t="s">
        <v>202</v>
      </c>
      <c r="E438" s="4" t="s">
        <v>1208</v>
      </c>
      <c r="F438" s="4" t="e">
        <v>#VALUE!</v>
      </c>
      <c r="G438" s="4" t="e">
        <v>#VALUE!</v>
      </c>
      <c r="H438" s="4" t="s">
        <v>190</v>
      </c>
      <c r="I438" s="4" t="s">
        <v>16</v>
      </c>
    </row>
    <row r="439" spans="1:10" ht="14" customHeight="1">
      <c r="A439" s="4">
        <v>107</v>
      </c>
      <c r="B439" s="4" t="s">
        <v>1209</v>
      </c>
      <c r="C439" s="4" t="s">
        <v>164</v>
      </c>
      <c r="D439" s="4" t="s">
        <v>202</v>
      </c>
      <c r="E439" s="4" t="s">
        <v>1210</v>
      </c>
      <c r="F439" s="4" t="e">
        <v>#VALUE!</v>
      </c>
      <c r="G439" s="4" t="e">
        <v>#VALUE!</v>
      </c>
      <c r="H439" s="4" t="s">
        <v>164</v>
      </c>
      <c r="I439" s="4" t="s">
        <v>16</v>
      </c>
    </row>
    <row r="440" spans="1:10" ht="14" customHeight="1">
      <c r="A440" s="4">
        <v>106</v>
      </c>
      <c r="B440" s="4" t="s">
        <v>1211</v>
      </c>
      <c r="C440" s="4" t="s">
        <v>187</v>
      </c>
      <c r="D440" s="4" t="s">
        <v>202</v>
      </c>
      <c r="E440" s="4" t="s">
        <v>1212</v>
      </c>
      <c r="F440" s="4" t="e">
        <v>#VALUE!</v>
      </c>
      <c r="G440" s="4" t="e">
        <v>#VALUE!</v>
      </c>
      <c r="H440" s="4" t="s">
        <v>187</v>
      </c>
      <c r="I440" s="4" t="s">
        <v>16</v>
      </c>
    </row>
    <row r="441" spans="1:10" ht="14" customHeight="1">
      <c r="A441" s="4">
        <v>105</v>
      </c>
      <c r="B441" s="4" t="s">
        <v>1213</v>
      </c>
      <c r="C441" s="4" t="s">
        <v>219</v>
      </c>
      <c r="D441" s="4" t="s">
        <v>220</v>
      </c>
      <c r="E441" s="4" t="s">
        <v>221</v>
      </c>
      <c r="F441" s="4" t="e">
        <v>#VALUE!</v>
      </c>
      <c r="G441" s="4" t="e">
        <v>#VALUE!</v>
      </c>
      <c r="H441" s="4" t="s">
        <v>219</v>
      </c>
      <c r="I441" s="4" t="s">
        <v>16</v>
      </c>
    </row>
    <row r="442" spans="1:10" ht="14" customHeight="1">
      <c r="A442" s="4">
        <v>104</v>
      </c>
      <c r="B442" s="4" t="s">
        <v>1214</v>
      </c>
      <c r="C442" s="4" t="s">
        <v>224</v>
      </c>
      <c r="D442" s="4" t="s">
        <v>220</v>
      </c>
      <c r="E442" s="4" t="s">
        <v>1215</v>
      </c>
      <c r="F442" s="4" t="e">
        <v>#VALUE!</v>
      </c>
      <c r="G442" s="4" t="e">
        <v>#VALUE!</v>
      </c>
      <c r="H442" s="4" t="s">
        <v>224</v>
      </c>
      <c r="I442" s="4" t="s">
        <v>16</v>
      </c>
    </row>
    <row r="443" spans="1:10" ht="14" customHeight="1">
      <c r="A443" s="4">
        <v>103</v>
      </c>
      <c r="B443" s="4" t="s">
        <v>1216</v>
      </c>
      <c r="C443" s="4" t="s">
        <v>187</v>
      </c>
      <c r="D443" s="4" t="s">
        <v>220</v>
      </c>
      <c r="E443" s="4" t="s">
        <v>1217</v>
      </c>
      <c r="F443" s="4" t="e">
        <v>#VALUE!</v>
      </c>
      <c r="G443" s="4" t="e">
        <v>#VALUE!</v>
      </c>
      <c r="H443" s="4" t="s">
        <v>187</v>
      </c>
      <c r="I443" s="4" t="s">
        <v>16</v>
      </c>
    </row>
    <row r="444" spans="1:10" ht="14" customHeight="1">
      <c r="A444" s="4">
        <v>102</v>
      </c>
      <c r="B444" s="4" t="s">
        <v>1218</v>
      </c>
      <c r="C444" s="4" t="s">
        <v>230</v>
      </c>
      <c r="D444" s="4" t="s">
        <v>220</v>
      </c>
      <c r="E444" s="4" t="s">
        <v>1219</v>
      </c>
      <c r="F444" s="4" t="e">
        <v>#VALUE!</v>
      </c>
      <c r="G444" s="4" t="e">
        <v>#VALUE!</v>
      </c>
      <c r="H444" s="4" t="s">
        <v>230</v>
      </c>
      <c r="I444" s="4" t="s">
        <v>16</v>
      </c>
    </row>
    <row r="445" spans="1:10" ht="14" customHeight="1">
      <c r="A445" s="4">
        <v>101</v>
      </c>
      <c r="B445" s="4" t="s">
        <v>1220</v>
      </c>
      <c r="C445" s="4" t="s">
        <v>233</v>
      </c>
      <c r="D445" s="4" t="s">
        <v>220</v>
      </c>
      <c r="E445" s="4" t="s">
        <v>1221</v>
      </c>
      <c r="F445" s="4" t="e">
        <v>#VALUE!</v>
      </c>
      <c r="G445" s="4" t="e">
        <v>#VALUE!</v>
      </c>
      <c r="H445" s="4" t="s">
        <v>233</v>
      </c>
      <c r="I445" s="4" t="s">
        <v>16</v>
      </c>
    </row>
    <row r="446" spans="1:10" ht="14" customHeight="1">
      <c r="A446" s="4">
        <v>100</v>
      </c>
      <c r="B446" s="4" t="s">
        <v>1222</v>
      </c>
      <c r="C446" s="4" t="s">
        <v>237</v>
      </c>
      <c r="D446" s="4" t="s">
        <v>220</v>
      </c>
      <c r="E446" s="4" t="s">
        <v>1223</v>
      </c>
      <c r="F446" s="4" t="e">
        <v>#VALUE!</v>
      </c>
      <c r="G446" s="4" t="e">
        <v>#VALUE!</v>
      </c>
      <c r="H446" s="4" t="s">
        <v>237</v>
      </c>
      <c r="I446" s="4" t="s">
        <v>16</v>
      </c>
    </row>
    <row r="447" spans="1:10" ht="14" customHeight="1">
      <c r="A447" s="4">
        <v>99</v>
      </c>
      <c r="B447" s="4" t="s">
        <v>1224</v>
      </c>
      <c r="C447" s="4" t="s">
        <v>240</v>
      </c>
      <c r="D447" s="4" t="s">
        <v>220</v>
      </c>
      <c r="E447" s="4" t="s">
        <v>1225</v>
      </c>
      <c r="F447" s="4" t="e">
        <v>#VALUE!</v>
      </c>
      <c r="G447" s="4" t="e">
        <v>#VALUE!</v>
      </c>
      <c r="H447" s="4" t="s">
        <v>243</v>
      </c>
      <c r="I447" s="4" t="s">
        <v>16</v>
      </c>
      <c r="J447" s="4" t="s">
        <v>17</v>
      </c>
    </row>
    <row r="448" spans="1:10" ht="14" customHeight="1">
      <c r="A448" s="4">
        <v>98</v>
      </c>
      <c r="B448" s="4" t="s">
        <v>1226</v>
      </c>
      <c r="C448" s="4" t="s">
        <v>245</v>
      </c>
      <c r="D448" s="4" t="s">
        <v>220</v>
      </c>
      <c r="E448" s="4" t="s">
        <v>1227</v>
      </c>
      <c r="F448" s="4" t="e">
        <v>#VALUE!</v>
      </c>
      <c r="G448" s="4" t="e">
        <v>#VALUE!</v>
      </c>
      <c r="H448" s="4" t="s">
        <v>245</v>
      </c>
      <c r="I448" s="4" t="s">
        <v>16</v>
      </c>
    </row>
    <row r="449" spans="1:9" ht="14" customHeight="1">
      <c r="A449" s="4">
        <v>97</v>
      </c>
      <c r="B449" s="4" t="s">
        <v>1228</v>
      </c>
      <c r="C449" s="4" t="s">
        <v>73</v>
      </c>
      <c r="D449" s="4" t="s">
        <v>220</v>
      </c>
      <c r="E449" s="4" t="s">
        <v>1229</v>
      </c>
      <c r="F449" s="4" t="e">
        <v>#VALUE!</v>
      </c>
      <c r="G449" s="4" t="e">
        <v>#VALUE!</v>
      </c>
      <c r="H449" s="4" t="s">
        <v>73</v>
      </c>
      <c r="I449" s="4" t="s">
        <v>16</v>
      </c>
    </row>
    <row r="450" spans="1:9" ht="14" customHeight="1">
      <c r="A450" s="4">
        <v>96</v>
      </c>
      <c r="B450" s="4" t="s">
        <v>1230</v>
      </c>
      <c r="C450" s="4" t="s">
        <v>73</v>
      </c>
      <c r="D450" s="4" t="s">
        <v>23</v>
      </c>
      <c r="E450" s="4" t="s">
        <v>1231</v>
      </c>
      <c r="F450" s="4" t="e">
        <v>#VALUE!</v>
      </c>
      <c r="G450" s="4" t="e">
        <v>#VALUE!</v>
      </c>
      <c r="H450" s="4" t="s">
        <v>73</v>
      </c>
      <c r="I450" s="4" t="s">
        <v>16</v>
      </c>
    </row>
    <row r="451" spans="1:9" ht="14" customHeight="1">
      <c r="A451" s="4">
        <v>95</v>
      </c>
      <c r="B451" s="4" t="s">
        <v>1232</v>
      </c>
      <c r="C451" s="4" t="s">
        <v>73</v>
      </c>
      <c r="D451" s="4" t="s">
        <v>23</v>
      </c>
      <c r="E451" s="4" t="s">
        <v>1233</v>
      </c>
      <c r="F451" s="4" t="e">
        <v>#VALUE!</v>
      </c>
      <c r="G451" s="4" t="e">
        <v>#VALUE!</v>
      </c>
      <c r="H451" s="4" t="s">
        <v>73</v>
      </c>
      <c r="I451" s="4" t="s">
        <v>16</v>
      </c>
    </row>
    <row r="452" spans="1:9" ht="14" customHeight="1">
      <c r="A452" s="4">
        <v>94</v>
      </c>
      <c r="B452" s="4" t="s">
        <v>879</v>
      </c>
      <c r="C452" s="4" t="s">
        <v>73</v>
      </c>
      <c r="D452" s="4" t="s">
        <v>23</v>
      </c>
      <c r="E452" s="4" t="s">
        <v>880</v>
      </c>
      <c r="F452" s="4" t="e">
        <v>#VALUE!</v>
      </c>
      <c r="G452" s="4" t="e">
        <v>#VALUE!</v>
      </c>
      <c r="H452" s="4" t="s">
        <v>73</v>
      </c>
      <c r="I452" s="4" t="s">
        <v>16</v>
      </c>
    </row>
    <row r="453" spans="1:9" ht="14" customHeight="1">
      <c r="A453" s="4">
        <v>93</v>
      </c>
      <c r="B453" s="4" t="s">
        <v>1234</v>
      </c>
      <c r="C453" s="4" t="s">
        <v>73</v>
      </c>
      <c r="D453" s="4" t="s">
        <v>252</v>
      </c>
      <c r="E453" s="4" t="s">
        <v>1235</v>
      </c>
      <c r="F453" s="4" t="e">
        <v>#VALUE!</v>
      </c>
      <c r="G453" s="4" t="e">
        <v>#VALUE!</v>
      </c>
      <c r="H453" s="4" t="s">
        <v>73</v>
      </c>
      <c r="I453" s="4" t="s">
        <v>16</v>
      </c>
    </row>
    <row r="454" spans="1:9" ht="14" customHeight="1">
      <c r="A454" s="4">
        <v>92</v>
      </c>
      <c r="B454" s="4" t="s">
        <v>1024</v>
      </c>
      <c r="C454" s="4" t="s">
        <v>73</v>
      </c>
      <c r="D454" s="4" t="s">
        <v>252</v>
      </c>
      <c r="E454" s="4" t="s">
        <v>1025</v>
      </c>
      <c r="F454" s="4" t="e">
        <v>#VALUE!</v>
      </c>
      <c r="G454" s="4" t="e">
        <v>#VALUE!</v>
      </c>
      <c r="H454" s="4" t="s">
        <v>73</v>
      </c>
      <c r="I454" s="4" t="s">
        <v>16</v>
      </c>
    </row>
    <row r="455" spans="1:9" ht="14" customHeight="1">
      <c r="A455" s="4">
        <v>91</v>
      </c>
      <c r="B455" s="4" t="s">
        <v>1236</v>
      </c>
      <c r="C455" s="4" t="s">
        <v>73</v>
      </c>
      <c r="D455" s="4" t="s">
        <v>252</v>
      </c>
      <c r="E455" s="4" t="s">
        <v>1237</v>
      </c>
      <c r="F455" s="4" t="e">
        <v>#VALUE!</v>
      </c>
      <c r="G455" s="4" t="e">
        <v>#VALUE!</v>
      </c>
      <c r="H455" s="4" t="s">
        <v>73</v>
      </c>
      <c r="I455" s="4" t="s">
        <v>16</v>
      </c>
    </row>
    <row r="456" spans="1:9" ht="14" customHeight="1">
      <c r="A456" s="4">
        <v>90</v>
      </c>
      <c r="B456" s="4" t="s">
        <v>1238</v>
      </c>
      <c r="C456" s="4" t="s">
        <v>73</v>
      </c>
      <c r="D456" s="4" t="s">
        <v>252</v>
      </c>
      <c r="E456" s="4" t="s">
        <v>1239</v>
      </c>
      <c r="F456" s="4" t="e">
        <v>#VALUE!</v>
      </c>
      <c r="G456" s="4" t="e">
        <v>#VALUE!</v>
      </c>
      <c r="H456" s="4" t="s">
        <v>73</v>
      </c>
      <c r="I456" s="4" t="s">
        <v>16</v>
      </c>
    </row>
    <row r="457" spans="1:9" ht="14" customHeight="1">
      <c r="A457" s="4">
        <v>89</v>
      </c>
      <c r="B457" s="4" t="s">
        <v>1240</v>
      </c>
      <c r="C457" s="4" t="s">
        <v>73</v>
      </c>
      <c r="D457" s="4" t="s">
        <v>252</v>
      </c>
      <c r="E457" s="4" t="s">
        <v>1241</v>
      </c>
      <c r="F457" s="4" t="e">
        <v>#VALUE!</v>
      </c>
      <c r="G457" s="4" t="e">
        <v>#VALUE!</v>
      </c>
      <c r="H457" s="4" t="s">
        <v>73</v>
      </c>
      <c r="I457" s="4" t="s">
        <v>16</v>
      </c>
    </row>
    <row r="458" spans="1:9" ht="14" customHeight="1">
      <c r="A458" s="4">
        <v>88</v>
      </c>
      <c r="B458" s="4" t="s">
        <v>1242</v>
      </c>
      <c r="C458" s="4" t="s">
        <v>73</v>
      </c>
      <c r="D458" s="4" t="s">
        <v>252</v>
      </c>
      <c r="E458" s="4" t="s">
        <v>1243</v>
      </c>
      <c r="F458" s="4" t="e">
        <v>#VALUE!</v>
      </c>
      <c r="G458" s="4" t="e">
        <v>#VALUE!</v>
      </c>
      <c r="H458" s="4" t="s">
        <v>73</v>
      </c>
      <c r="I458" s="4" t="s">
        <v>16</v>
      </c>
    </row>
    <row r="459" spans="1:9" ht="14" customHeight="1">
      <c r="A459" s="4">
        <v>87</v>
      </c>
      <c r="B459" s="4" t="s">
        <v>1244</v>
      </c>
      <c r="C459" s="4" t="s">
        <v>1245</v>
      </c>
      <c r="D459" s="4" t="s">
        <v>252</v>
      </c>
      <c r="E459" s="4" t="s">
        <v>1246</v>
      </c>
      <c r="F459" s="4" t="e">
        <v>#VALUE!</v>
      </c>
      <c r="G459" s="4" t="e">
        <v>#VALUE!</v>
      </c>
      <c r="H459" s="4" t="s">
        <v>1245</v>
      </c>
      <c r="I459" s="4" t="s">
        <v>16</v>
      </c>
    </row>
    <row r="460" spans="1:9" ht="14" customHeight="1">
      <c r="A460" s="4">
        <v>86</v>
      </c>
      <c r="B460" s="4" t="s">
        <v>1247</v>
      </c>
      <c r="C460" s="4" t="s">
        <v>73</v>
      </c>
      <c r="D460" s="4" t="s">
        <v>252</v>
      </c>
      <c r="E460" s="4" t="s">
        <v>1248</v>
      </c>
      <c r="F460" s="4" t="e">
        <v>#VALUE!</v>
      </c>
      <c r="G460" s="4" t="e">
        <v>#VALUE!</v>
      </c>
      <c r="H460" s="4" t="s">
        <v>73</v>
      </c>
      <c r="I460" s="4" t="s">
        <v>16</v>
      </c>
    </row>
    <row r="461" spans="1:9" ht="14" customHeight="1">
      <c r="A461" s="4">
        <v>85</v>
      </c>
      <c r="B461" s="4" t="s">
        <v>1249</v>
      </c>
      <c r="C461" s="4" t="s">
        <v>73</v>
      </c>
      <c r="D461" s="4" t="s">
        <v>45</v>
      </c>
      <c r="E461" s="4" t="s">
        <v>1250</v>
      </c>
      <c r="F461" s="4" t="e">
        <v>#VALUE!</v>
      </c>
      <c r="G461" s="4" t="e">
        <v>#VALUE!</v>
      </c>
      <c r="H461" s="4" t="s">
        <v>73</v>
      </c>
      <c r="I461" s="4" t="s">
        <v>16</v>
      </c>
    </row>
    <row r="462" spans="1:9" ht="14" customHeight="1">
      <c r="A462" s="4">
        <v>84</v>
      </c>
      <c r="B462" s="4" t="s">
        <v>1251</v>
      </c>
      <c r="C462" s="4" t="s">
        <v>73</v>
      </c>
      <c r="D462" s="4" t="s">
        <v>45</v>
      </c>
      <c r="E462" s="4" t="s">
        <v>1252</v>
      </c>
      <c r="F462" s="4" t="e">
        <v>#VALUE!</v>
      </c>
      <c r="G462" s="4" t="e">
        <v>#VALUE!</v>
      </c>
      <c r="H462" s="4" t="s">
        <v>73</v>
      </c>
      <c r="I462" s="4" t="s">
        <v>16</v>
      </c>
    </row>
    <row r="463" spans="1:9" ht="14" customHeight="1">
      <c r="A463" s="4">
        <v>83</v>
      </c>
      <c r="B463" s="4" t="s">
        <v>1253</v>
      </c>
      <c r="C463" s="4" t="s">
        <v>73</v>
      </c>
      <c r="D463" s="4" t="s">
        <v>45</v>
      </c>
      <c r="E463" s="4" t="s">
        <v>1254</v>
      </c>
      <c r="F463" s="4" t="e">
        <v>#VALUE!</v>
      </c>
      <c r="G463" s="4" t="e">
        <v>#VALUE!</v>
      </c>
      <c r="H463" s="4" t="s">
        <v>73</v>
      </c>
      <c r="I463" s="4" t="s">
        <v>16</v>
      </c>
    </row>
    <row r="464" spans="1:9" ht="14" customHeight="1">
      <c r="A464" s="4">
        <v>82</v>
      </c>
      <c r="B464" s="4" t="s">
        <v>1255</v>
      </c>
      <c r="C464" s="4" t="s">
        <v>73</v>
      </c>
      <c r="D464" s="4" t="s">
        <v>45</v>
      </c>
      <c r="E464" s="4" t="s">
        <v>1256</v>
      </c>
      <c r="F464" s="4" t="e">
        <v>#VALUE!</v>
      </c>
      <c r="G464" s="4" t="e">
        <v>#VALUE!</v>
      </c>
      <c r="H464" s="4" t="s">
        <v>73</v>
      </c>
      <c r="I464" s="4" t="s">
        <v>16</v>
      </c>
    </row>
    <row r="465" spans="1:9" ht="14" customHeight="1">
      <c r="A465" s="4">
        <v>81</v>
      </c>
      <c r="B465" s="4" t="s">
        <v>1257</v>
      </c>
      <c r="C465" s="4" t="s">
        <v>73</v>
      </c>
      <c r="D465" s="4" t="s">
        <v>45</v>
      </c>
      <c r="E465" s="4" t="s">
        <v>1258</v>
      </c>
      <c r="F465" s="4" t="e">
        <v>#VALUE!</v>
      </c>
      <c r="G465" s="4" t="e">
        <v>#VALUE!</v>
      </c>
      <c r="H465" s="4" t="s">
        <v>73</v>
      </c>
      <c r="I465" s="4" t="s">
        <v>16</v>
      </c>
    </row>
    <row r="466" spans="1:9" ht="14" customHeight="1">
      <c r="A466" s="4">
        <v>80</v>
      </c>
      <c r="B466" s="4" t="s">
        <v>1259</v>
      </c>
      <c r="C466" s="4" t="s">
        <v>73</v>
      </c>
      <c r="D466" s="4" t="s">
        <v>45</v>
      </c>
      <c r="E466" s="4" t="s">
        <v>1260</v>
      </c>
      <c r="F466" s="4" t="e">
        <v>#VALUE!</v>
      </c>
      <c r="G466" s="4" t="e">
        <v>#VALUE!</v>
      </c>
      <c r="H466" s="4" t="s">
        <v>73</v>
      </c>
      <c r="I466" s="4" t="s">
        <v>16</v>
      </c>
    </row>
    <row r="467" spans="1:9" ht="14" customHeight="1">
      <c r="A467" s="4">
        <v>79</v>
      </c>
      <c r="B467" s="4" t="s">
        <v>1261</v>
      </c>
      <c r="C467" s="4" t="s">
        <v>73</v>
      </c>
      <c r="D467" s="4" t="s">
        <v>53</v>
      </c>
      <c r="E467" s="4" t="s">
        <v>1262</v>
      </c>
      <c r="F467" s="4" t="e">
        <v>#VALUE!</v>
      </c>
      <c r="G467" s="4" t="e">
        <v>#VALUE!</v>
      </c>
      <c r="H467" s="4" t="s">
        <v>73</v>
      </c>
      <c r="I467" s="4" t="s">
        <v>16</v>
      </c>
    </row>
    <row r="468" spans="1:9" ht="14" customHeight="1">
      <c r="A468" s="4">
        <v>78</v>
      </c>
      <c r="B468" s="4" t="s">
        <v>1263</v>
      </c>
      <c r="C468" s="4" t="s">
        <v>73</v>
      </c>
      <c r="D468" s="4" t="s">
        <v>53</v>
      </c>
      <c r="E468" s="4" t="s">
        <v>1264</v>
      </c>
      <c r="F468" s="4" t="e">
        <v>#VALUE!</v>
      </c>
      <c r="G468" s="4" t="e">
        <v>#VALUE!</v>
      </c>
      <c r="H468" s="4" t="s">
        <v>73</v>
      </c>
      <c r="I468" s="4" t="s">
        <v>16</v>
      </c>
    </row>
    <row r="469" spans="1:9" ht="14" customHeight="1">
      <c r="A469" s="4">
        <v>77</v>
      </c>
      <c r="B469" s="4" t="s">
        <v>1265</v>
      </c>
      <c r="C469" s="4" t="s">
        <v>73</v>
      </c>
      <c r="D469" s="4" t="s">
        <v>53</v>
      </c>
      <c r="E469" s="4" t="s">
        <v>1266</v>
      </c>
      <c r="F469" s="4" t="s">
        <v>1267</v>
      </c>
      <c r="G469" s="4">
        <v>237</v>
      </c>
      <c r="H469" s="4" t="s">
        <v>73</v>
      </c>
      <c r="I469" s="4" t="s">
        <v>16</v>
      </c>
    </row>
    <row r="470" spans="1:9" ht="14" customHeight="1">
      <c r="A470" s="4">
        <v>76</v>
      </c>
      <c r="B470" s="4" t="s">
        <v>1268</v>
      </c>
      <c r="C470" s="4" t="s">
        <v>73</v>
      </c>
      <c r="D470" s="4" t="s">
        <v>62</v>
      </c>
      <c r="E470" s="4" t="s">
        <v>1269</v>
      </c>
      <c r="F470" s="4" t="e">
        <v>#VALUE!</v>
      </c>
      <c r="G470" s="4" t="e">
        <v>#VALUE!</v>
      </c>
      <c r="H470" s="4" t="s">
        <v>73</v>
      </c>
      <c r="I470" s="4" t="s">
        <v>16</v>
      </c>
    </row>
    <row r="471" spans="1:9" ht="14" customHeight="1">
      <c r="A471" s="4">
        <v>75</v>
      </c>
      <c r="B471" s="4" t="s">
        <v>1270</v>
      </c>
      <c r="C471" s="4" t="s">
        <v>73</v>
      </c>
      <c r="D471" s="4" t="s">
        <v>62</v>
      </c>
      <c r="E471" s="4" t="s">
        <v>1271</v>
      </c>
      <c r="F471" s="4" t="e">
        <v>#VALUE!</v>
      </c>
      <c r="G471" s="4" t="e">
        <v>#VALUE!</v>
      </c>
      <c r="H471" s="4" t="s">
        <v>73</v>
      </c>
      <c r="I471" s="4" t="s">
        <v>16</v>
      </c>
    </row>
    <row r="472" spans="1:9" ht="14" customHeight="1">
      <c r="A472" s="4">
        <v>74</v>
      </c>
      <c r="B472" s="4" t="s">
        <v>1272</v>
      </c>
      <c r="C472" s="4" t="s">
        <v>73</v>
      </c>
      <c r="D472" s="4" t="s">
        <v>62</v>
      </c>
      <c r="E472" s="4" t="s">
        <v>1273</v>
      </c>
      <c r="F472" s="4" t="e">
        <v>#VALUE!</v>
      </c>
      <c r="G472" s="4" t="e">
        <v>#VALUE!</v>
      </c>
      <c r="H472" s="4" t="s">
        <v>73</v>
      </c>
      <c r="I472" s="4" t="s">
        <v>16</v>
      </c>
    </row>
    <row r="473" spans="1:9" ht="14" customHeight="1">
      <c r="A473" s="4">
        <v>73</v>
      </c>
      <c r="B473" s="4" t="s">
        <v>1274</v>
      </c>
      <c r="C473" s="4" t="s">
        <v>73</v>
      </c>
      <c r="D473" s="4" t="s">
        <v>62</v>
      </c>
      <c r="E473" s="4" t="s">
        <v>1275</v>
      </c>
      <c r="F473" s="4" t="e">
        <v>#VALUE!</v>
      </c>
      <c r="G473" s="4" t="e">
        <v>#VALUE!</v>
      </c>
      <c r="H473" s="4" t="s">
        <v>73</v>
      </c>
      <c r="I473" s="4" t="s">
        <v>16</v>
      </c>
    </row>
    <row r="474" spans="1:9" ht="14" customHeight="1">
      <c r="A474" s="4">
        <v>72</v>
      </c>
      <c r="B474" s="4" t="s">
        <v>1276</v>
      </c>
      <c r="C474" s="4" t="s">
        <v>73</v>
      </c>
      <c r="D474" s="4" t="s">
        <v>62</v>
      </c>
      <c r="E474" s="4" t="s">
        <v>1277</v>
      </c>
      <c r="F474" s="4" t="s">
        <v>1278</v>
      </c>
      <c r="G474" s="4">
        <v>149</v>
      </c>
      <c r="H474" s="4" t="s">
        <v>73</v>
      </c>
      <c r="I474" s="4" t="s">
        <v>16</v>
      </c>
    </row>
    <row r="475" spans="1:9" ht="14" customHeight="1">
      <c r="A475" s="4">
        <v>71</v>
      </c>
      <c r="B475" s="4" t="s">
        <v>1279</v>
      </c>
      <c r="C475" s="4" t="s">
        <v>73</v>
      </c>
      <c r="D475" s="4" t="s">
        <v>62</v>
      </c>
      <c r="E475" s="4" t="s">
        <v>1280</v>
      </c>
      <c r="F475" s="4" t="e">
        <v>#VALUE!</v>
      </c>
      <c r="G475" s="4" t="e">
        <v>#VALUE!</v>
      </c>
      <c r="H475" s="4" t="s">
        <v>73</v>
      </c>
      <c r="I475" s="4" t="s">
        <v>16</v>
      </c>
    </row>
    <row r="476" spans="1:9" ht="14" customHeight="1">
      <c r="A476" s="4">
        <v>70</v>
      </c>
      <c r="B476" s="4" t="s">
        <v>1281</v>
      </c>
      <c r="C476" s="4" t="s">
        <v>73</v>
      </c>
      <c r="D476" s="4" t="s">
        <v>62</v>
      </c>
      <c r="E476" s="4" t="s">
        <v>1282</v>
      </c>
      <c r="F476" s="4" t="e">
        <v>#VALUE!</v>
      </c>
      <c r="G476" s="4" t="e">
        <v>#VALUE!</v>
      </c>
      <c r="H476" s="4" t="s">
        <v>73</v>
      </c>
      <c r="I476" s="4" t="s">
        <v>16</v>
      </c>
    </row>
    <row r="477" spans="1:9" ht="14" customHeight="1">
      <c r="A477" s="4">
        <v>69</v>
      </c>
      <c r="B477" s="4" t="s">
        <v>1283</v>
      </c>
      <c r="C477" s="4" t="s">
        <v>73</v>
      </c>
      <c r="D477" s="4" t="s">
        <v>62</v>
      </c>
      <c r="E477" s="4" t="s">
        <v>1284</v>
      </c>
      <c r="F477" s="4" t="e">
        <v>#VALUE!</v>
      </c>
      <c r="G477" s="4" t="e">
        <v>#VALUE!</v>
      </c>
      <c r="H477" s="4" t="s">
        <v>73</v>
      </c>
      <c r="I477" s="4" t="s">
        <v>16</v>
      </c>
    </row>
    <row r="478" spans="1:9" ht="14" customHeight="1">
      <c r="A478" s="4">
        <v>68</v>
      </c>
      <c r="B478" s="4" t="s">
        <v>1285</v>
      </c>
      <c r="C478" s="4" t="s">
        <v>73</v>
      </c>
      <c r="D478" s="4" t="s">
        <v>62</v>
      </c>
      <c r="E478" s="4" t="s">
        <v>1286</v>
      </c>
      <c r="F478" s="4" t="e">
        <v>#VALUE!</v>
      </c>
      <c r="G478" s="4" t="e">
        <v>#VALUE!</v>
      </c>
      <c r="H478" s="4" t="s">
        <v>73</v>
      </c>
      <c r="I478" s="4" t="s">
        <v>16</v>
      </c>
    </row>
    <row r="479" spans="1:9" ht="14" customHeight="1">
      <c r="A479" s="4">
        <v>67</v>
      </c>
      <c r="B479" s="4" t="s">
        <v>1287</v>
      </c>
      <c r="C479" s="4" t="s">
        <v>73</v>
      </c>
      <c r="D479" s="4" t="s">
        <v>62</v>
      </c>
      <c r="E479" s="4" t="s">
        <v>1288</v>
      </c>
      <c r="F479" s="4" t="e">
        <v>#VALUE!</v>
      </c>
      <c r="G479" s="4" t="e">
        <v>#VALUE!</v>
      </c>
      <c r="H479" s="4" t="s">
        <v>73</v>
      </c>
      <c r="I479" s="4" t="s">
        <v>16</v>
      </c>
    </row>
    <row r="480" spans="1:9" ht="14" customHeight="1">
      <c r="A480" s="4">
        <v>66</v>
      </c>
      <c r="B480" s="4" t="s">
        <v>1289</v>
      </c>
      <c r="C480" s="4" t="s">
        <v>73</v>
      </c>
      <c r="D480" s="4" t="s">
        <v>62</v>
      </c>
      <c r="E480" s="4" t="s">
        <v>1290</v>
      </c>
      <c r="F480" s="4" t="e">
        <v>#VALUE!</v>
      </c>
      <c r="G480" s="4" t="e">
        <v>#VALUE!</v>
      </c>
      <c r="H480" s="4" t="s">
        <v>73</v>
      </c>
      <c r="I480" s="4" t="s">
        <v>16</v>
      </c>
    </row>
    <row r="481" spans="1:9" ht="14" customHeight="1">
      <c r="A481" s="4">
        <v>65</v>
      </c>
      <c r="B481" s="4" t="s">
        <v>1291</v>
      </c>
      <c r="C481" s="4" t="s">
        <v>73</v>
      </c>
      <c r="D481" s="4" t="s">
        <v>62</v>
      </c>
      <c r="E481" s="4" t="s">
        <v>1292</v>
      </c>
      <c r="F481" s="4" t="e">
        <v>#VALUE!</v>
      </c>
      <c r="G481" s="4" t="e">
        <v>#VALUE!</v>
      </c>
      <c r="H481" s="4" t="s">
        <v>73</v>
      </c>
      <c r="I481" s="4" t="s">
        <v>16</v>
      </c>
    </row>
    <row r="482" spans="1:9" ht="14" customHeight="1">
      <c r="A482" s="4">
        <v>64</v>
      </c>
      <c r="B482" s="4" t="s">
        <v>1293</v>
      </c>
      <c r="C482" s="4" t="s">
        <v>73</v>
      </c>
      <c r="D482" s="4" t="s">
        <v>62</v>
      </c>
      <c r="E482" s="4" t="s">
        <v>1294</v>
      </c>
      <c r="F482" s="4" t="e">
        <v>#VALUE!</v>
      </c>
      <c r="G482" s="4" t="e">
        <v>#VALUE!</v>
      </c>
      <c r="H482" s="4" t="s">
        <v>73</v>
      </c>
      <c r="I482" s="4" t="s">
        <v>16</v>
      </c>
    </row>
    <row r="483" spans="1:9" ht="14" customHeight="1">
      <c r="A483" s="4">
        <v>63</v>
      </c>
      <c r="B483" s="4" t="s">
        <v>1295</v>
      </c>
      <c r="C483" s="4" t="s">
        <v>73</v>
      </c>
      <c r="D483" s="4" t="s">
        <v>62</v>
      </c>
      <c r="E483" s="4" t="s">
        <v>1296</v>
      </c>
      <c r="F483" s="4" t="e">
        <v>#VALUE!</v>
      </c>
      <c r="G483" s="4" t="e">
        <v>#VALUE!</v>
      </c>
      <c r="H483" s="4" t="s">
        <v>73</v>
      </c>
      <c r="I483" s="4" t="s">
        <v>16</v>
      </c>
    </row>
    <row r="484" spans="1:9" ht="14" customHeight="1">
      <c r="A484" s="4">
        <v>62</v>
      </c>
      <c r="B484" s="4" t="s">
        <v>1297</v>
      </c>
      <c r="C484" s="4" t="s">
        <v>73</v>
      </c>
      <c r="D484" s="4" t="s">
        <v>62</v>
      </c>
      <c r="E484" s="4" t="s">
        <v>1298</v>
      </c>
      <c r="F484" s="4" t="e">
        <v>#VALUE!</v>
      </c>
      <c r="G484" s="4" t="e">
        <v>#VALUE!</v>
      </c>
      <c r="H484" s="4" t="s">
        <v>73</v>
      </c>
      <c r="I484" s="4" t="s">
        <v>16</v>
      </c>
    </row>
    <row r="485" spans="1:9" ht="14" customHeight="1">
      <c r="A485" s="4">
        <v>61</v>
      </c>
      <c r="B485" s="4" t="s">
        <v>1299</v>
      </c>
      <c r="C485" s="4" t="s">
        <v>73</v>
      </c>
      <c r="D485" s="4" t="s">
        <v>62</v>
      </c>
      <c r="E485" s="4" t="s">
        <v>1300</v>
      </c>
      <c r="F485" s="4" t="e">
        <v>#VALUE!</v>
      </c>
      <c r="G485" s="4" t="e">
        <v>#VALUE!</v>
      </c>
      <c r="H485" s="4" t="s">
        <v>73</v>
      </c>
      <c r="I485" s="4" t="s">
        <v>16</v>
      </c>
    </row>
    <row r="486" spans="1:9" ht="14" customHeight="1">
      <c r="A486" s="4">
        <v>60</v>
      </c>
      <c r="B486" s="4" t="s">
        <v>1301</v>
      </c>
      <c r="C486" s="4" t="s">
        <v>73</v>
      </c>
      <c r="D486" s="4" t="s">
        <v>67</v>
      </c>
      <c r="E486" s="4" t="s">
        <v>1302</v>
      </c>
      <c r="F486" s="4" t="e">
        <v>#VALUE!</v>
      </c>
      <c r="G486" s="4" t="e">
        <v>#VALUE!</v>
      </c>
      <c r="H486" s="4" t="s">
        <v>73</v>
      </c>
      <c r="I486" s="4" t="s">
        <v>16</v>
      </c>
    </row>
    <row r="487" spans="1:9" ht="14" customHeight="1">
      <c r="A487" s="4">
        <v>59</v>
      </c>
      <c r="B487" s="4" t="s">
        <v>1303</v>
      </c>
      <c r="C487" s="4" t="s">
        <v>73</v>
      </c>
      <c r="D487" s="4" t="s">
        <v>67</v>
      </c>
      <c r="E487" s="4" t="s">
        <v>1304</v>
      </c>
      <c r="F487" s="4" t="e">
        <v>#VALUE!</v>
      </c>
      <c r="G487" s="4" t="e">
        <v>#VALUE!</v>
      </c>
      <c r="H487" s="4" t="s">
        <v>73</v>
      </c>
      <c r="I487" s="4" t="s">
        <v>16</v>
      </c>
    </row>
    <row r="488" spans="1:9" ht="14" customHeight="1">
      <c r="A488" s="4">
        <v>58</v>
      </c>
      <c r="B488" s="4" t="s">
        <v>1305</v>
      </c>
      <c r="C488" s="4" t="s">
        <v>73</v>
      </c>
      <c r="D488" s="4" t="s">
        <v>67</v>
      </c>
      <c r="E488" s="4" t="s">
        <v>1306</v>
      </c>
      <c r="F488" s="4" t="e">
        <v>#VALUE!</v>
      </c>
      <c r="G488" s="4" t="e">
        <v>#VALUE!</v>
      </c>
      <c r="H488" s="4" t="s">
        <v>73</v>
      </c>
      <c r="I488" s="4" t="s">
        <v>16</v>
      </c>
    </row>
    <row r="489" spans="1:9" ht="14" customHeight="1">
      <c r="A489" s="4">
        <v>57</v>
      </c>
      <c r="B489" s="4" t="s">
        <v>1307</v>
      </c>
      <c r="C489" s="4" t="s">
        <v>73</v>
      </c>
      <c r="D489" s="4" t="s">
        <v>262</v>
      </c>
      <c r="E489" s="4" t="s">
        <v>1308</v>
      </c>
      <c r="F489" s="4" t="e">
        <v>#VALUE!</v>
      </c>
      <c r="G489" s="4" t="e">
        <v>#VALUE!</v>
      </c>
      <c r="H489" s="4" t="s">
        <v>73</v>
      </c>
      <c r="I489" s="4" t="s">
        <v>16</v>
      </c>
    </row>
    <row r="490" spans="1:9" ht="14" customHeight="1">
      <c r="A490" s="4">
        <v>56</v>
      </c>
      <c r="B490" s="4" t="s">
        <v>1309</v>
      </c>
      <c r="C490" s="4" t="s">
        <v>73</v>
      </c>
      <c r="D490" s="4" t="s">
        <v>67</v>
      </c>
      <c r="E490" s="4" t="s">
        <v>1310</v>
      </c>
      <c r="F490" s="4" t="e">
        <v>#VALUE!</v>
      </c>
      <c r="G490" s="4" t="e">
        <v>#VALUE!</v>
      </c>
      <c r="H490" s="4" t="s">
        <v>73</v>
      </c>
      <c r="I490" s="4" t="s">
        <v>16</v>
      </c>
    </row>
    <row r="491" spans="1:9" ht="14" customHeight="1">
      <c r="A491" s="4">
        <v>55</v>
      </c>
      <c r="B491" s="4" t="s">
        <v>1311</v>
      </c>
      <c r="C491" s="4" t="s">
        <v>73</v>
      </c>
      <c r="D491" s="4" t="s">
        <v>262</v>
      </c>
      <c r="E491" s="4" t="s">
        <v>1312</v>
      </c>
      <c r="F491" s="4" t="e">
        <v>#VALUE!</v>
      </c>
      <c r="G491" s="4" t="e">
        <v>#VALUE!</v>
      </c>
      <c r="H491" s="4" t="s">
        <v>73</v>
      </c>
      <c r="I491" s="4" t="s">
        <v>16</v>
      </c>
    </row>
    <row r="492" spans="1:9" ht="14" customHeight="1">
      <c r="A492" s="4">
        <v>54</v>
      </c>
      <c r="B492" s="4" t="s">
        <v>1313</v>
      </c>
      <c r="C492" s="4" t="s">
        <v>73</v>
      </c>
      <c r="D492" s="4" t="s">
        <v>262</v>
      </c>
      <c r="E492" s="4" t="s">
        <v>1314</v>
      </c>
      <c r="F492" s="4" t="e">
        <v>#VALUE!</v>
      </c>
      <c r="G492" s="4" t="e">
        <v>#VALUE!</v>
      </c>
      <c r="H492" s="4" t="s">
        <v>73</v>
      </c>
      <c r="I492" s="4" t="s">
        <v>16</v>
      </c>
    </row>
    <row r="493" spans="1:9" ht="14" customHeight="1">
      <c r="A493" s="4">
        <v>53</v>
      </c>
      <c r="B493" s="4" t="s">
        <v>1315</v>
      </c>
      <c r="C493" s="4" t="s">
        <v>73</v>
      </c>
      <c r="D493" s="4" t="s">
        <v>262</v>
      </c>
      <c r="E493" s="4" t="s">
        <v>1316</v>
      </c>
      <c r="F493" s="4" t="e">
        <v>#VALUE!</v>
      </c>
      <c r="G493" s="4" t="e">
        <v>#VALUE!</v>
      </c>
      <c r="H493" s="4" t="s">
        <v>73</v>
      </c>
      <c r="I493" s="4" t="s">
        <v>16</v>
      </c>
    </row>
    <row r="494" spans="1:9" ht="14" customHeight="1">
      <c r="A494" s="4">
        <v>52</v>
      </c>
      <c r="B494" s="4" t="s">
        <v>1317</v>
      </c>
      <c r="C494" s="4" t="s">
        <v>73</v>
      </c>
      <c r="D494" s="4" t="s">
        <v>705</v>
      </c>
      <c r="E494" s="4" t="s">
        <v>701</v>
      </c>
      <c r="F494" s="4" t="s">
        <v>1318</v>
      </c>
      <c r="G494" s="4">
        <v>123</v>
      </c>
      <c r="H494" s="4" t="s">
        <v>73</v>
      </c>
      <c r="I494" s="4" t="s">
        <v>16</v>
      </c>
    </row>
    <row r="495" spans="1:9" ht="14" customHeight="1">
      <c r="A495" s="4">
        <v>51</v>
      </c>
      <c r="B495" s="4" t="s">
        <v>1319</v>
      </c>
      <c r="C495" s="4" t="s">
        <v>73</v>
      </c>
      <c r="D495" s="4" t="s">
        <v>705</v>
      </c>
      <c r="E495" s="4" t="s">
        <v>1320</v>
      </c>
      <c r="F495" s="4" t="e">
        <v>#VALUE!</v>
      </c>
      <c r="G495" s="4" t="e">
        <v>#VALUE!</v>
      </c>
      <c r="H495" s="4" t="s">
        <v>73</v>
      </c>
      <c r="I495" s="4" t="s">
        <v>16</v>
      </c>
    </row>
    <row r="496" spans="1:9" ht="14" customHeight="1">
      <c r="A496" s="4">
        <v>50</v>
      </c>
      <c r="B496" s="4" t="s">
        <v>1321</v>
      </c>
      <c r="C496" s="4" t="s">
        <v>73</v>
      </c>
      <c r="D496" s="4" t="s">
        <v>266</v>
      </c>
      <c r="E496" s="4" t="s">
        <v>1322</v>
      </c>
      <c r="F496" s="4" t="e">
        <v>#VALUE!</v>
      </c>
      <c r="G496" s="4" t="e">
        <v>#VALUE!</v>
      </c>
      <c r="H496" s="4" t="s">
        <v>73</v>
      </c>
      <c r="I496" s="4" t="s">
        <v>16</v>
      </c>
    </row>
    <row r="497" spans="1:9" ht="14" customHeight="1">
      <c r="A497" s="4">
        <v>49</v>
      </c>
      <c r="B497" s="4" t="s">
        <v>1323</v>
      </c>
      <c r="C497" s="4" t="s">
        <v>73</v>
      </c>
      <c r="D497" s="4" t="s">
        <v>266</v>
      </c>
      <c r="E497" s="4" t="s">
        <v>1324</v>
      </c>
      <c r="F497" s="4" t="e">
        <v>#VALUE!</v>
      </c>
      <c r="G497" s="4" t="e">
        <v>#VALUE!</v>
      </c>
      <c r="H497" s="4" t="s">
        <v>73</v>
      </c>
      <c r="I497" s="4" t="s">
        <v>16</v>
      </c>
    </row>
    <row r="498" spans="1:9" ht="14" customHeight="1">
      <c r="A498" s="4">
        <v>48</v>
      </c>
      <c r="B498" s="4" t="s">
        <v>1325</v>
      </c>
      <c r="C498" s="4" t="s">
        <v>73</v>
      </c>
      <c r="D498" s="4" t="s">
        <v>266</v>
      </c>
      <c r="E498" s="4" t="s">
        <v>1326</v>
      </c>
      <c r="F498" s="4" t="e">
        <v>#VALUE!</v>
      </c>
      <c r="G498" s="4" t="e">
        <v>#VALUE!</v>
      </c>
      <c r="H498" s="4" t="s">
        <v>73</v>
      </c>
      <c r="I498" s="4" t="s">
        <v>16</v>
      </c>
    </row>
    <row r="499" spans="1:9" ht="14" customHeight="1">
      <c r="A499" s="4">
        <v>47</v>
      </c>
      <c r="B499" s="4" t="s">
        <v>1327</v>
      </c>
      <c r="C499" s="4" t="s">
        <v>688</v>
      </c>
      <c r="D499" s="4" t="s">
        <v>266</v>
      </c>
      <c r="E499" s="4" t="s">
        <v>1328</v>
      </c>
      <c r="F499" s="4" t="e">
        <v>#VALUE!</v>
      </c>
      <c r="G499" s="4" t="e">
        <v>#VALUE!</v>
      </c>
      <c r="H499" s="4" t="s">
        <v>688</v>
      </c>
      <c r="I499" s="4" t="s">
        <v>16</v>
      </c>
    </row>
    <row r="500" spans="1:9" ht="14" customHeight="1">
      <c r="A500" s="4">
        <v>46</v>
      </c>
      <c r="B500" s="4" t="s">
        <v>1329</v>
      </c>
      <c r="C500" s="4" t="s">
        <v>73</v>
      </c>
      <c r="D500" s="4" t="s">
        <v>266</v>
      </c>
      <c r="E500" s="4" t="s">
        <v>1330</v>
      </c>
      <c r="F500" s="4" t="e">
        <v>#VALUE!</v>
      </c>
      <c r="G500" s="4" t="e">
        <v>#VALUE!</v>
      </c>
      <c r="H500" s="4" t="s">
        <v>73</v>
      </c>
      <c r="I500" s="4" t="s">
        <v>16</v>
      </c>
    </row>
    <row r="501" spans="1:9" ht="14" customHeight="1">
      <c r="A501" s="4">
        <v>45</v>
      </c>
      <c r="B501" s="4" t="s">
        <v>1331</v>
      </c>
      <c r="C501" s="4" t="s">
        <v>73</v>
      </c>
      <c r="D501" s="4" t="s">
        <v>266</v>
      </c>
      <c r="E501" s="4" t="s">
        <v>1332</v>
      </c>
      <c r="F501" s="4" t="e">
        <v>#VALUE!</v>
      </c>
      <c r="G501" s="4" t="e">
        <v>#VALUE!</v>
      </c>
      <c r="H501" s="4" t="s">
        <v>73</v>
      </c>
      <c r="I501" s="4" t="s">
        <v>16</v>
      </c>
    </row>
    <row r="502" spans="1:9" ht="14" customHeight="1">
      <c r="A502" s="4">
        <v>44</v>
      </c>
      <c r="B502" s="4" t="s">
        <v>1333</v>
      </c>
      <c r="C502" s="4" t="s">
        <v>73</v>
      </c>
      <c r="D502" s="4" t="s">
        <v>266</v>
      </c>
      <c r="E502" s="4" t="s">
        <v>1334</v>
      </c>
      <c r="F502" s="4" t="e">
        <v>#VALUE!</v>
      </c>
      <c r="G502" s="4" t="e">
        <v>#VALUE!</v>
      </c>
      <c r="H502" s="4" t="s">
        <v>73</v>
      </c>
      <c r="I502" s="4" t="s">
        <v>16</v>
      </c>
    </row>
    <row r="503" spans="1:9" ht="14" customHeight="1">
      <c r="A503" s="4">
        <v>43</v>
      </c>
      <c r="B503" s="4" t="s">
        <v>1335</v>
      </c>
      <c r="C503" s="4" t="s">
        <v>73</v>
      </c>
      <c r="D503" s="4" t="s">
        <v>74</v>
      </c>
      <c r="E503" s="4" t="s">
        <v>1336</v>
      </c>
      <c r="F503" s="4" t="e">
        <v>#VALUE!</v>
      </c>
      <c r="G503" s="4" t="e">
        <v>#VALUE!</v>
      </c>
      <c r="H503" s="4" t="s">
        <v>73</v>
      </c>
      <c r="I503" s="4" t="s">
        <v>16</v>
      </c>
    </row>
    <row r="504" spans="1:9" ht="14" customHeight="1">
      <c r="A504" s="4">
        <v>42</v>
      </c>
      <c r="B504" s="4" t="s">
        <v>1337</v>
      </c>
      <c r="C504" s="4" t="s">
        <v>984</v>
      </c>
      <c r="D504" s="4" t="s">
        <v>74</v>
      </c>
      <c r="E504" s="4" t="s">
        <v>1338</v>
      </c>
      <c r="F504" s="4" t="e">
        <v>#VALUE!</v>
      </c>
      <c r="G504" s="4" t="e">
        <v>#VALUE!</v>
      </c>
      <c r="H504" s="4" t="s">
        <v>984</v>
      </c>
      <c r="I504" s="4" t="s">
        <v>16</v>
      </c>
    </row>
    <row r="505" spans="1:9" ht="14" customHeight="1">
      <c r="A505" s="4">
        <v>41</v>
      </c>
      <c r="B505" s="4" t="s">
        <v>1339</v>
      </c>
      <c r="C505" s="4" t="s">
        <v>73</v>
      </c>
      <c r="D505" s="4" t="s">
        <v>74</v>
      </c>
      <c r="E505" s="4" t="s">
        <v>1340</v>
      </c>
      <c r="F505" s="4" t="e">
        <v>#VALUE!</v>
      </c>
      <c r="G505" s="4" t="e">
        <v>#VALUE!</v>
      </c>
      <c r="H505" s="4" t="s">
        <v>73</v>
      </c>
      <c r="I505" s="4" t="s">
        <v>16</v>
      </c>
    </row>
    <row r="506" spans="1:9" ht="14" customHeight="1">
      <c r="A506" s="4">
        <v>40</v>
      </c>
      <c r="B506" s="4" t="s">
        <v>1341</v>
      </c>
      <c r="C506" s="4" t="s">
        <v>73</v>
      </c>
      <c r="D506" s="4" t="s">
        <v>74</v>
      </c>
      <c r="E506" s="4" t="s">
        <v>1342</v>
      </c>
      <c r="F506" s="4" t="e">
        <v>#VALUE!</v>
      </c>
      <c r="G506" s="4" t="e">
        <v>#VALUE!</v>
      </c>
      <c r="H506" s="4" t="s">
        <v>73</v>
      </c>
      <c r="I506" s="4" t="s">
        <v>16</v>
      </c>
    </row>
    <row r="507" spans="1:9" ht="14" customHeight="1">
      <c r="A507" s="4">
        <v>39</v>
      </c>
      <c r="B507" s="4" t="s">
        <v>1343</v>
      </c>
      <c r="C507" s="4" t="s">
        <v>73</v>
      </c>
      <c r="D507" s="4" t="s">
        <v>74</v>
      </c>
      <c r="E507" s="4" t="s">
        <v>1344</v>
      </c>
      <c r="F507" s="4" t="e">
        <v>#VALUE!</v>
      </c>
      <c r="G507" s="4" t="e">
        <v>#VALUE!</v>
      </c>
      <c r="H507" s="4" t="s">
        <v>73</v>
      </c>
      <c r="I507" s="4" t="s">
        <v>16</v>
      </c>
    </row>
    <row r="508" spans="1:9" ht="14" customHeight="1">
      <c r="A508" s="4">
        <v>38</v>
      </c>
      <c r="B508" s="4" t="s">
        <v>1345</v>
      </c>
      <c r="C508" s="4" t="s">
        <v>73</v>
      </c>
      <c r="D508" s="4" t="s">
        <v>78</v>
      </c>
      <c r="E508" s="4" t="s">
        <v>1346</v>
      </c>
      <c r="F508" s="4" t="e">
        <v>#VALUE!</v>
      </c>
      <c r="G508" s="4" t="e">
        <v>#VALUE!</v>
      </c>
      <c r="H508" s="4" t="s">
        <v>73</v>
      </c>
      <c r="I508" s="4" t="s">
        <v>16</v>
      </c>
    </row>
    <row r="509" spans="1:9" ht="14" customHeight="1">
      <c r="A509" s="4">
        <v>37</v>
      </c>
      <c r="B509" s="4" t="s">
        <v>1347</v>
      </c>
      <c r="C509" s="4" t="s">
        <v>73</v>
      </c>
      <c r="D509" s="4" t="s">
        <v>78</v>
      </c>
      <c r="E509" s="4" t="s">
        <v>1348</v>
      </c>
      <c r="F509" s="4" t="e">
        <v>#VALUE!</v>
      </c>
      <c r="G509" s="4" t="e">
        <v>#VALUE!</v>
      </c>
      <c r="H509" s="4" t="s">
        <v>73</v>
      </c>
      <c r="I509" s="4" t="s">
        <v>16</v>
      </c>
    </row>
    <row r="510" spans="1:9" ht="14" customHeight="1">
      <c r="A510" s="4">
        <v>36</v>
      </c>
      <c r="B510" s="4" t="s">
        <v>1349</v>
      </c>
      <c r="C510" s="4" t="s">
        <v>73</v>
      </c>
      <c r="D510" s="4" t="s">
        <v>78</v>
      </c>
      <c r="E510" s="4" t="s">
        <v>1350</v>
      </c>
      <c r="F510" s="4" t="e">
        <v>#VALUE!</v>
      </c>
      <c r="G510" s="4" t="e">
        <v>#VALUE!</v>
      </c>
      <c r="H510" s="4" t="s">
        <v>73</v>
      </c>
      <c r="I510" s="4" t="s">
        <v>16</v>
      </c>
    </row>
    <row r="511" spans="1:9" ht="14" customHeight="1">
      <c r="A511" s="4">
        <v>35</v>
      </c>
      <c r="B511" s="4" t="s">
        <v>1351</v>
      </c>
      <c r="C511" s="4" t="s">
        <v>73</v>
      </c>
      <c r="D511" s="4" t="s">
        <v>83</v>
      </c>
      <c r="E511" s="4" t="s">
        <v>1352</v>
      </c>
      <c r="F511" s="4" t="e">
        <v>#VALUE!</v>
      </c>
      <c r="G511" s="4" t="e">
        <v>#VALUE!</v>
      </c>
      <c r="H511" s="4" t="s">
        <v>73</v>
      </c>
      <c r="I511" s="4" t="s">
        <v>16</v>
      </c>
    </row>
    <row r="512" spans="1:9" ht="14" customHeight="1">
      <c r="A512" s="4">
        <v>34</v>
      </c>
      <c r="B512" s="4" t="s">
        <v>1353</v>
      </c>
      <c r="C512" s="4" t="s">
        <v>73</v>
      </c>
      <c r="D512" s="4" t="s">
        <v>83</v>
      </c>
      <c r="E512" s="4" t="s">
        <v>1354</v>
      </c>
      <c r="F512" s="4" t="e">
        <v>#VALUE!</v>
      </c>
      <c r="G512" s="4" t="e">
        <v>#VALUE!</v>
      </c>
      <c r="H512" s="4" t="s">
        <v>73</v>
      </c>
      <c r="I512" s="4" t="s">
        <v>16</v>
      </c>
    </row>
    <row r="513" spans="1:9" ht="14" customHeight="1">
      <c r="A513" s="4">
        <v>33</v>
      </c>
      <c r="B513" s="4" t="s">
        <v>1355</v>
      </c>
      <c r="C513" s="4" t="s">
        <v>73</v>
      </c>
      <c r="D513" s="4" t="s">
        <v>83</v>
      </c>
      <c r="E513" s="4" t="s">
        <v>1356</v>
      </c>
      <c r="F513" s="4" t="e">
        <v>#VALUE!</v>
      </c>
      <c r="G513" s="4" t="e">
        <v>#VALUE!</v>
      </c>
      <c r="H513" s="4" t="s">
        <v>73</v>
      </c>
      <c r="I513" s="4" t="s">
        <v>16</v>
      </c>
    </row>
    <row r="514" spans="1:9" ht="14" customHeight="1">
      <c r="A514" s="4">
        <v>32</v>
      </c>
      <c r="B514" s="4" t="s">
        <v>1357</v>
      </c>
      <c r="C514" s="4" t="s">
        <v>73</v>
      </c>
      <c r="D514" s="4" t="s">
        <v>83</v>
      </c>
      <c r="E514" s="4" t="s">
        <v>1358</v>
      </c>
      <c r="F514" s="4" t="e">
        <v>#VALUE!</v>
      </c>
      <c r="G514" s="4" t="e">
        <v>#VALUE!</v>
      </c>
      <c r="H514" s="4" t="s">
        <v>73</v>
      </c>
      <c r="I514" s="4" t="s">
        <v>16</v>
      </c>
    </row>
    <row r="515" spans="1:9" ht="14" customHeight="1">
      <c r="A515" s="4">
        <v>31</v>
      </c>
      <c r="B515" s="4" t="s">
        <v>1359</v>
      </c>
      <c r="C515" s="4" t="s">
        <v>73</v>
      </c>
      <c r="D515" s="4" t="s">
        <v>83</v>
      </c>
      <c r="E515" s="4" t="s">
        <v>1360</v>
      </c>
      <c r="F515" s="4" t="e">
        <v>#VALUE!</v>
      </c>
      <c r="G515" s="4" t="e">
        <v>#VALUE!</v>
      </c>
      <c r="H515" s="4" t="s">
        <v>73</v>
      </c>
      <c r="I515" s="4" t="s">
        <v>16</v>
      </c>
    </row>
    <row r="516" spans="1:9" ht="14" customHeight="1">
      <c r="A516" s="4">
        <v>30</v>
      </c>
      <c r="B516" s="4" t="s">
        <v>1361</v>
      </c>
      <c r="C516" s="4" t="s">
        <v>73</v>
      </c>
      <c r="D516" s="4" t="s">
        <v>83</v>
      </c>
      <c r="E516" s="4" t="s">
        <v>1362</v>
      </c>
      <c r="F516" s="4" t="e">
        <v>#VALUE!</v>
      </c>
      <c r="G516" s="4" t="e">
        <v>#VALUE!</v>
      </c>
      <c r="H516" s="4" t="s">
        <v>73</v>
      </c>
      <c r="I516" s="4" t="s">
        <v>16</v>
      </c>
    </row>
    <row r="517" spans="1:9" ht="14" customHeight="1">
      <c r="A517" s="4">
        <v>29</v>
      </c>
      <c r="B517" s="4" t="s">
        <v>1363</v>
      </c>
      <c r="C517" s="4" t="s">
        <v>73</v>
      </c>
      <c r="D517" s="4" t="s">
        <v>83</v>
      </c>
      <c r="E517" s="4" t="s">
        <v>1364</v>
      </c>
      <c r="F517" s="4" t="e">
        <v>#VALUE!</v>
      </c>
      <c r="G517" s="4" t="e">
        <v>#VALUE!</v>
      </c>
      <c r="H517" s="4" t="s">
        <v>73</v>
      </c>
      <c r="I517" s="4" t="s">
        <v>16</v>
      </c>
    </row>
    <row r="518" spans="1:9" ht="14" customHeight="1">
      <c r="A518" s="4">
        <v>28</v>
      </c>
      <c r="B518" s="4" t="s">
        <v>1365</v>
      </c>
      <c r="C518" s="4" t="s">
        <v>73</v>
      </c>
      <c r="D518" s="4" t="s">
        <v>83</v>
      </c>
      <c r="E518" s="4" t="s">
        <v>1366</v>
      </c>
      <c r="F518" s="4" t="e">
        <v>#VALUE!</v>
      </c>
      <c r="G518" s="4" t="e">
        <v>#VALUE!</v>
      </c>
      <c r="H518" s="4" t="s">
        <v>73</v>
      </c>
      <c r="I518" s="4" t="s">
        <v>16</v>
      </c>
    </row>
    <row r="519" spans="1:9" ht="14" customHeight="1">
      <c r="A519" s="4">
        <v>27</v>
      </c>
      <c r="B519" s="4" t="s">
        <v>1367</v>
      </c>
      <c r="C519" s="4" t="s">
        <v>73</v>
      </c>
      <c r="D519" s="4" t="s">
        <v>83</v>
      </c>
      <c r="E519" s="4" t="s">
        <v>1368</v>
      </c>
      <c r="F519" s="4" t="e">
        <v>#VALUE!</v>
      </c>
      <c r="G519" s="4" t="e">
        <v>#VALUE!</v>
      </c>
      <c r="H519" s="4" t="s">
        <v>73</v>
      </c>
      <c r="I519" s="4" t="s">
        <v>16</v>
      </c>
    </row>
    <row r="520" spans="1:9" ht="14" customHeight="1">
      <c r="A520" s="4">
        <v>26</v>
      </c>
      <c r="B520" s="4" t="s">
        <v>1369</v>
      </c>
      <c r="C520" s="4" t="s">
        <v>73</v>
      </c>
      <c r="D520" s="4" t="s">
        <v>83</v>
      </c>
      <c r="E520" s="4" t="s">
        <v>1370</v>
      </c>
      <c r="F520" s="4" t="e">
        <v>#VALUE!</v>
      </c>
      <c r="G520" s="4" t="e">
        <v>#VALUE!</v>
      </c>
      <c r="H520" s="4" t="s">
        <v>73</v>
      </c>
      <c r="I520" s="4" t="s">
        <v>16</v>
      </c>
    </row>
    <row r="521" spans="1:9" ht="14" customHeight="1">
      <c r="A521" s="4">
        <v>25</v>
      </c>
      <c r="B521" s="4" t="s">
        <v>1371</v>
      </c>
      <c r="C521" s="4" t="s">
        <v>73</v>
      </c>
      <c r="D521" s="4" t="s">
        <v>83</v>
      </c>
      <c r="E521" s="4" t="s">
        <v>1372</v>
      </c>
      <c r="F521" s="4" t="e">
        <v>#VALUE!</v>
      </c>
      <c r="G521" s="4" t="e">
        <v>#VALUE!</v>
      </c>
      <c r="H521" s="4" t="s">
        <v>73</v>
      </c>
      <c r="I521" s="4" t="s">
        <v>16</v>
      </c>
    </row>
    <row r="522" spans="1:9" ht="14" customHeight="1">
      <c r="A522" s="4">
        <v>24</v>
      </c>
      <c r="B522" s="4" t="s">
        <v>1373</v>
      </c>
      <c r="C522" s="4" t="s">
        <v>73</v>
      </c>
      <c r="D522" s="4" t="s">
        <v>83</v>
      </c>
      <c r="E522" s="4" t="s">
        <v>1374</v>
      </c>
      <c r="F522" s="4" t="e">
        <v>#VALUE!</v>
      </c>
      <c r="G522" s="4" t="e">
        <v>#VALUE!</v>
      </c>
      <c r="H522" s="4" t="s">
        <v>73</v>
      </c>
      <c r="I522" s="4" t="s">
        <v>16</v>
      </c>
    </row>
    <row r="523" spans="1:9" ht="14" customHeight="1">
      <c r="A523" s="4">
        <v>23</v>
      </c>
      <c r="B523" s="4" t="s">
        <v>1375</v>
      </c>
      <c r="C523" s="4" t="s">
        <v>73</v>
      </c>
      <c r="D523" s="4" t="s">
        <v>83</v>
      </c>
      <c r="E523" s="4" t="s">
        <v>1376</v>
      </c>
      <c r="F523" s="4" t="e">
        <v>#VALUE!</v>
      </c>
      <c r="G523" s="4" t="e">
        <v>#VALUE!</v>
      </c>
      <c r="H523" s="4" t="s">
        <v>73</v>
      </c>
      <c r="I523" s="4" t="s">
        <v>16</v>
      </c>
    </row>
    <row r="524" spans="1:9" ht="14" customHeight="1">
      <c r="A524" s="4">
        <v>22</v>
      </c>
      <c r="B524" s="4" t="s">
        <v>1377</v>
      </c>
      <c r="C524" s="4" t="s">
        <v>73</v>
      </c>
      <c r="D524" s="4" t="s">
        <v>89</v>
      </c>
      <c r="E524" s="4" t="s">
        <v>1378</v>
      </c>
      <c r="F524" s="4" t="e">
        <v>#VALUE!</v>
      </c>
      <c r="G524" s="4" t="e">
        <v>#VALUE!</v>
      </c>
      <c r="H524" s="4" t="s">
        <v>73</v>
      </c>
      <c r="I524" s="4" t="s">
        <v>16</v>
      </c>
    </row>
    <row r="525" spans="1:9" ht="14" customHeight="1">
      <c r="A525" s="4">
        <v>21</v>
      </c>
      <c r="B525" s="4" t="s">
        <v>1379</v>
      </c>
      <c r="C525" s="4" t="s">
        <v>73</v>
      </c>
      <c r="D525" s="4" t="s">
        <v>89</v>
      </c>
      <c r="E525" s="4" t="s">
        <v>1380</v>
      </c>
      <c r="F525" s="4" t="e">
        <v>#VALUE!</v>
      </c>
      <c r="G525" s="4" t="e">
        <v>#VALUE!</v>
      </c>
      <c r="H525" s="4" t="s">
        <v>73</v>
      </c>
      <c r="I525" s="4" t="s">
        <v>16</v>
      </c>
    </row>
    <row r="526" spans="1:9" ht="14" customHeight="1">
      <c r="A526" s="4">
        <v>20</v>
      </c>
      <c r="B526" s="4" t="s">
        <v>1381</v>
      </c>
      <c r="C526" s="4" t="s">
        <v>73</v>
      </c>
      <c r="D526" s="4" t="s">
        <v>89</v>
      </c>
      <c r="E526" s="4" t="s">
        <v>1382</v>
      </c>
      <c r="F526" s="4" t="e">
        <v>#VALUE!</v>
      </c>
      <c r="G526" s="4" t="e">
        <v>#VALUE!</v>
      </c>
      <c r="H526" s="4" t="s">
        <v>73</v>
      </c>
      <c r="I526" s="4" t="s">
        <v>16</v>
      </c>
    </row>
    <row r="527" spans="1:9" ht="14" customHeight="1">
      <c r="A527" s="4">
        <v>19</v>
      </c>
      <c r="B527" s="4" t="s">
        <v>1383</v>
      </c>
      <c r="C527" s="4" t="s">
        <v>73</v>
      </c>
      <c r="D527" s="4" t="s">
        <v>89</v>
      </c>
      <c r="E527" s="4" t="s">
        <v>1384</v>
      </c>
      <c r="F527" s="4" t="e">
        <v>#VALUE!</v>
      </c>
      <c r="G527" s="4" t="e">
        <v>#VALUE!</v>
      </c>
      <c r="H527" s="4" t="s">
        <v>73</v>
      </c>
      <c r="I527" s="4" t="s">
        <v>16</v>
      </c>
    </row>
    <row r="528" spans="1:9" ht="14" customHeight="1">
      <c r="A528" s="4">
        <v>18</v>
      </c>
      <c r="B528" s="4" t="s">
        <v>1385</v>
      </c>
      <c r="C528" s="4" t="s">
        <v>73</v>
      </c>
      <c r="D528" s="4" t="s">
        <v>89</v>
      </c>
      <c r="E528" s="4" t="s">
        <v>1386</v>
      </c>
      <c r="F528" s="4" t="e">
        <v>#VALUE!</v>
      </c>
      <c r="G528" s="4" t="e">
        <v>#VALUE!</v>
      </c>
      <c r="H528" s="4" t="s">
        <v>73</v>
      </c>
      <c r="I528" s="4" t="s">
        <v>16</v>
      </c>
    </row>
    <row r="529" spans="1:9" ht="14" customHeight="1">
      <c r="A529" s="4">
        <v>17</v>
      </c>
      <c r="B529" s="4" t="s">
        <v>1387</v>
      </c>
      <c r="C529" s="4" t="s">
        <v>73</v>
      </c>
      <c r="D529" s="4" t="s">
        <v>89</v>
      </c>
      <c r="E529" s="4" t="s">
        <v>1388</v>
      </c>
      <c r="F529" s="4" t="e">
        <v>#VALUE!</v>
      </c>
      <c r="G529" s="4" t="e">
        <v>#VALUE!</v>
      </c>
      <c r="H529" s="4" t="s">
        <v>73</v>
      </c>
      <c r="I529" s="4" t="s">
        <v>16</v>
      </c>
    </row>
    <row r="530" spans="1:9" ht="14" customHeight="1">
      <c r="A530" s="4">
        <v>16</v>
      </c>
      <c r="B530" s="4" t="s">
        <v>1383</v>
      </c>
      <c r="C530" s="4" t="s">
        <v>73</v>
      </c>
      <c r="D530" s="4" t="s">
        <v>89</v>
      </c>
      <c r="E530" s="4" t="s">
        <v>1384</v>
      </c>
      <c r="F530" s="4" t="e">
        <v>#VALUE!</v>
      </c>
      <c r="G530" s="4" t="e">
        <v>#VALUE!</v>
      </c>
      <c r="H530" s="4" t="s">
        <v>73</v>
      </c>
      <c r="I530" s="4" t="s">
        <v>16</v>
      </c>
    </row>
    <row r="531" spans="1:9" ht="14" customHeight="1">
      <c r="A531" s="4">
        <v>15</v>
      </c>
      <c r="B531" s="4" t="s">
        <v>1389</v>
      </c>
      <c r="C531" s="4" t="s">
        <v>73</v>
      </c>
      <c r="D531" s="4" t="s">
        <v>345</v>
      </c>
      <c r="E531" s="4" t="s">
        <v>1390</v>
      </c>
      <c r="F531" s="4" t="e">
        <v>#VALUE!</v>
      </c>
      <c r="G531" s="4" t="e">
        <v>#VALUE!</v>
      </c>
      <c r="H531" s="4" t="s">
        <v>73</v>
      </c>
      <c r="I531" s="4" t="s">
        <v>16</v>
      </c>
    </row>
    <row r="532" spans="1:9" ht="14" customHeight="1">
      <c r="A532" s="4">
        <v>14</v>
      </c>
      <c r="B532" s="4" t="s">
        <v>1391</v>
      </c>
      <c r="C532" s="4" t="s">
        <v>73</v>
      </c>
      <c r="D532" s="4" t="s">
        <v>345</v>
      </c>
      <c r="E532" s="4" t="s">
        <v>1392</v>
      </c>
      <c r="F532" s="4" t="e">
        <v>#VALUE!</v>
      </c>
      <c r="G532" s="4" t="e">
        <v>#VALUE!</v>
      </c>
      <c r="H532" s="4" t="s">
        <v>73</v>
      </c>
      <c r="I532" s="4" t="s">
        <v>16</v>
      </c>
    </row>
    <row r="533" spans="1:9" ht="14" customHeight="1">
      <c r="A533" s="4">
        <v>13</v>
      </c>
      <c r="B533" s="4" t="s">
        <v>1393</v>
      </c>
      <c r="C533" s="4" t="s">
        <v>73</v>
      </c>
      <c r="D533" s="4" t="s">
        <v>345</v>
      </c>
      <c r="E533" s="4" t="s">
        <v>1394</v>
      </c>
      <c r="F533" s="4" t="e">
        <v>#VALUE!</v>
      </c>
      <c r="G533" s="4" t="e">
        <v>#VALUE!</v>
      </c>
      <c r="H533" s="4" t="s">
        <v>73</v>
      </c>
      <c r="I533" s="4" t="s">
        <v>16</v>
      </c>
    </row>
    <row r="534" spans="1:9" ht="14" customHeight="1">
      <c r="A534" s="4">
        <v>12</v>
      </c>
      <c r="B534" s="4" t="s">
        <v>1395</v>
      </c>
      <c r="C534" s="4" t="s">
        <v>73</v>
      </c>
      <c r="D534" s="4" t="s">
        <v>331</v>
      </c>
      <c r="E534" s="4" t="s">
        <v>1396</v>
      </c>
      <c r="F534" s="4" t="e">
        <v>#VALUE!</v>
      </c>
      <c r="G534" s="4" t="e">
        <v>#VALUE!</v>
      </c>
      <c r="H534" s="4" t="s">
        <v>73</v>
      </c>
      <c r="I534" s="4" t="s">
        <v>16</v>
      </c>
    </row>
    <row r="535" spans="1:9" ht="14" customHeight="1">
      <c r="A535" s="4">
        <v>11</v>
      </c>
      <c r="B535" s="4" t="s">
        <v>1397</v>
      </c>
      <c r="C535" s="4" t="s">
        <v>73</v>
      </c>
      <c r="D535" s="4" t="s">
        <v>331</v>
      </c>
      <c r="E535" s="4" t="s">
        <v>1398</v>
      </c>
      <c r="F535" s="4" t="e">
        <v>#VALUE!</v>
      </c>
      <c r="G535" s="4" t="e">
        <v>#VALUE!</v>
      </c>
      <c r="H535" s="4" t="s">
        <v>73</v>
      </c>
      <c r="I535" s="4" t="s">
        <v>16</v>
      </c>
    </row>
    <row r="536" spans="1:9" ht="14" customHeight="1">
      <c r="A536" s="4">
        <v>10</v>
      </c>
      <c r="B536" s="4" t="s">
        <v>1399</v>
      </c>
      <c r="C536" s="4" t="s">
        <v>73</v>
      </c>
      <c r="D536" s="4" t="s">
        <v>331</v>
      </c>
      <c r="E536" s="4" t="s">
        <v>1400</v>
      </c>
      <c r="F536" s="4" t="e">
        <v>#VALUE!</v>
      </c>
      <c r="G536" s="4" t="e">
        <v>#VALUE!</v>
      </c>
      <c r="H536" s="4" t="s">
        <v>73</v>
      </c>
      <c r="I536" s="4" t="s">
        <v>16</v>
      </c>
    </row>
    <row r="537" spans="1:9" ht="14" customHeight="1">
      <c r="A537" s="4">
        <v>9</v>
      </c>
      <c r="B537" s="4" t="s">
        <v>1401</v>
      </c>
      <c r="C537" s="4" t="s">
        <v>73</v>
      </c>
      <c r="D537" s="4" t="s">
        <v>1402</v>
      </c>
      <c r="E537" s="4" t="s">
        <v>1403</v>
      </c>
      <c r="F537" s="4" t="e">
        <v>#VALUE!</v>
      </c>
      <c r="G537" s="4" t="e">
        <v>#VALUE!</v>
      </c>
      <c r="H537" s="4" t="s">
        <v>73</v>
      </c>
      <c r="I537" s="4" t="s">
        <v>16</v>
      </c>
    </row>
    <row r="538" spans="1:9" ht="14" customHeight="1">
      <c r="A538" s="4">
        <v>8</v>
      </c>
      <c r="B538" s="4" t="s">
        <v>1404</v>
      </c>
      <c r="C538" s="4" t="s">
        <v>984</v>
      </c>
      <c r="D538" s="4" t="s">
        <v>865</v>
      </c>
      <c r="E538" s="4" t="s">
        <v>1405</v>
      </c>
      <c r="F538" s="4" t="e">
        <v>#VALUE!</v>
      </c>
      <c r="G538" s="4" t="e">
        <v>#VALUE!</v>
      </c>
      <c r="H538" s="4" t="s">
        <v>984</v>
      </c>
      <c r="I538" s="4" t="s">
        <v>16</v>
      </c>
    </row>
    <row r="539" spans="1:9" ht="14" customHeight="1">
      <c r="A539" s="4">
        <v>7</v>
      </c>
      <c r="B539" s="4" t="s">
        <v>1406</v>
      </c>
      <c r="C539" s="4" t="s">
        <v>73</v>
      </c>
      <c r="D539" s="4" t="s">
        <v>865</v>
      </c>
      <c r="E539" s="4" t="s">
        <v>1407</v>
      </c>
      <c r="F539" s="4" t="e">
        <v>#VALUE!</v>
      </c>
      <c r="G539" s="4" t="e">
        <v>#VALUE!</v>
      </c>
      <c r="H539" s="4" t="s">
        <v>73</v>
      </c>
      <c r="I539" s="4" t="s">
        <v>16</v>
      </c>
    </row>
    <row r="540" spans="1:9" ht="14" customHeight="1">
      <c r="A540" s="4">
        <v>6</v>
      </c>
      <c r="B540" s="4" t="s">
        <v>1408</v>
      </c>
      <c r="C540" s="4" t="s">
        <v>73</v>
      </c>
      <c r="D540" s="4" t="s">
        <v>865</v>
      </c>
      <c r="E540" s="4" t="s">
        <v>1409</v>
      </c>
      <c r="F540" s="4" t="e">
        <v>#VALUE!</v>
      </c>
      <c r="G540" s="4" t="e">
        <v>#VALUE!</v>
      </c>
      <c r="H540" s="4" t="s">
        <v>73</v>
      </c>
      <c r="I540" s="4" t="s">
        <v>16</v>
      </c>
    </row>
    <row r="541" spans="1:9" ht="14" customHeight="1">
      <c r="A541" s="4">
        <v>5</v>
      </c>
      <c r="B541" s="4" t="s">
        <v>1410</v>
      </c>
      <c r="C541" s="4" t="s">
        <v>73</v>
      </c>
      <c r="D541" s="4" t="s">
        <v>865</v>
      </c>
      <c r="E541" s="4" t="s">
        <v>1411</v>
      </c>
      <c r="F541" s="4" t="s">
        <v>1412</v>
      </c>
      <c r="G541" s="4">
        <v>110</v>
      </c>
      <c r="H541" s="4" t="s">
        <v>73</v>
      </c>
      <c r="I541" s="4" t="s">
        <v>16</v>
      </c>
    </row>
    <row r="542" spans="1:9" ht="14" customHeight="1">
      <c r="A542" s="4">
        <v>4</v>
      </c>
      <c r="B542" s="4" t="s">
        <v>1413</v>
      </c>
      <c r="C542" s="4" t="s">
        <v>73</v>
      </c>
      <c r="D542" s="4" t="s">
        <v>865</v>
      </c>
      <c r="E542" s="4" t="s">
        <v>1414</v>
      </c>
      <c r="F542" s="4" t="e">
        <v>#VALUE!</v>
      </c>
      <c r="G542" s="4" t="e">
        <v>#VALUE!</v>
      </c>
      <c r="H542" s="4" t="s">
        <v>73</v>
      </c>
      <c r="I542" s="4" t="s">
        <v>16</v>
      </c>
    </row>
    <row r="543" spans="1:9" ht="14" customHeight="1">
      <c r="A543" s="4">
        <v>3</v>
      </c>
      <c r="B543" s="4" t="s">
        <v>1415</v>
      </c>
      <c r="C543" s="4" t="s">
        <v>73</v>
      </c>
      <c r="D543" s="4" t="s">
        <v>1416</v>
      </c>
      <c r="E543" s="4" t="s">
        <v>1417</v>
      </c>
      <c r="F543" s="4" t="e">
        <v>#VALUE!</v>
      </c>
      <c r="G543" s="4" t="e">
        <v>#VALUE!</v>
      </c>
      <c r="H543" s="4" t="s">
        <v>73</v>
      </c>
      <c r="I543" s="4" t="s">
        <v>16</v>
      </c>
    </row>
    <row r="544" spans="1:9" ht="14" customHeight="1">
      <c r="A544" s="4">
        <v>2</v>
      </c>
      <c r="B544" s="4" t="s">
        <v>1418</v>
      </c>
      <c r="C544" s="4" t="s">
        <v>73</v>
      </c>
      <c r="D544" s="4" t="s">
        <v>1419</v>
      </c>
      <c r="E544" s="4" t="s">
        <v>1420</v>
      </c>
      <c r="F544" s="4" t="s">
        <v>1421</v>
      </c>
      <c r="G544" s="4">
        <v>125</v>
      </c>
      <c r="H544" s="4" t="s">
        <v>73</v>
      </c>
      <c r="I544" s="4" t="s">
        <v>16</v>
      </c>
    </row>
    <row r="545" spans="1:9" ht="14" customHeight="1">
      <c r="A545" s="4">
        <v>1</v>
      </c>
      <c r="B545" s="4" t="s">
        <v>1422</v>
      </c>
      <c r="C545" s="4" t="s">
        <v>73</v>
      </c>
      <c r="D545" s="4" t="s">
        <v>1423</v>
      </c>
      <c r="E545" s="4" t="s">
        <v>1424</v>
      </c>
      <c r="F545" s="4" t="s">
        <v>1425</v>
      </c>
      <c r="G545" s="4">
        <v>153</v>
      </c>
      <c r="H545" s="4" t="s">
        <v>73</v>
      </c>
      <c r="I545" s="4" t="s">
        <v>16</v>
      </c>
    </row>
    <row r="546" spans="1:9" ht="14" customHeight="1">
      <c r="A546" s="4" t="s">
        <v>8</v>
      </c>
      <c r="B546" s="4" t="s">
        <v>1072</v>
      </c>
      <c r="C546" s="4" t="e">
        <v>#VALUE!</v>
      </c>
      <c r="D546" s="4" t="e">
        <v>#VALUE!</v>
      </c>
      <c r="E546" s="4" t="e">
        <v>#VALUE!</v>
      </c>
      <c r="F546" s="4" t="e">
        <v>#VALUE!</v>
      </c>
      <c r="G546" s="4" t="e">
        <v>#VALUE!</v>
      </c>
      <c r="H546" s="4" t="e">
        <v>#VALUE!</v>
      </c>
      <c r="I546" s="4" t="s">
        <v>16</v>
      </c>
    </row>
    <row r="547" spans="1:9" ht="14" customHeight="1">
      <c r="A547" s="4">
        <v>19</v>
      </c>
      <c r="B547" s="4" t="s">
        <v>1426</v>
      </c>
      <c r="C547" s="4" t="s">
        <v>73</v>
      </c>
      <c r="D547" s="4" t="s">
        <v>220</v>
      </c>
      <c r="E547" s="4" t="s">
        <v>1427</v>
      </c>
      <c r="F547" s="4" t="e">
        <v>#VALUE!</v>
      </c>
      <c r="G547" s="4" t="e">
        <v>#VALUE!</v>
      </c>
      <c r="H547" s="4" t="s">
        <v>73</v>
      </c>
      <c r="I547" s="4" t="s">
        <v>16</v>
      </c>
    </row>
    <row r="548" spans="1:9" ht="14" customHeight="1">
      <c r="A548" s="4">
        <v>18</v>
      </c>
      <c r="B548" s="4" t="s">
        <v>1428</v>
      </c>
      <c r="C548" s="4" t="s">
        <v>73</v>
      </c>
      <c r="D548" s="4" t="s">
        <v>23</v>
      </c>
      <c r="E548" s="4" t="s">
        <v>1429</v>
      </c>
      <c r="F548" s="4" t="e">
        <v>#VALUE!</v>
      </c>
      <c r="G548" s="4" t="e">
        <v>#VALUE!</v>
      </c>
      <c r="H548" s="4" t="s">
        <v>73</v>
      </c>
      <c r="I548" s="4" t="s">
        <v>16</v>
      </c>
    </row>
    <row r="549" spans="1:9" ht="14" customHeight="1">
      <c r="A549" s="4">
        <v>17</v>
      </c>
      <c r="B549" s="4" t="s">
        <v>1430</v>
      </c>
      <c r="C549" s="4" t="s">
        <v>73</v>
      </c>
      <c r="D549" s="4" t="s">
        <v>252</v>
      </c>
      <c r="E549" s="4" t="s">
        <v>1431</v>
      </c>
      <c r="F549" s="4" t="e">
        <v>#VALUE!</v>
      </c>
      <c r="G549" s="4" t="e">
        <v>#VALUE!</v>
      </c>
      <c r="H549" s="4" t="s">
        <v>73</v>
      </c>
      <c r="I549" s="4" t="s">
        <v>16</v>
      </c>
    </row>
    <row r="550" spans="1:9" ht="14" customHeight="1">
      <c r="A550" s="4">
        <v>16</v>
      </c>
      <c r="B550" s="4" t="s">
        <v>1432</v>
      </c>
      <c r="C550" s="4" t="s">
        <v>73</v>
      </c>
      <c r="D550" s="4" t="s">
        <v>252</v>
      </c>
      <c r="E550" s="4" t="s">
        <v>1433</v>
      </c>
      <c r="F550" s="4" t="e">
        <v>#VALUE!</v>
      </c>
      <c r="G550" s="4" t="e">
        <v>#VALUE!</v>
      </c>
      <c r="H550" s="4" t="s">
        <v>73</v>
      </c>
      <c r="I550" s="4" t="s">
        <v>16</v>
      </c>
    </row>
    <row r="551" spans="1:9" ht="14" customHeight="1">
      <c r="A551" s="4">
        <v>15</v>
      </c>
      <c r="B551" s="4" t="s">
        <v>1434</v>
      </c>
      <c r="C551" s="4" t="s">
        <v>73</v>
      </c>
      <c r="D551" s="4" t="s">
        <v>45</v>
      </c>
      <c r="E551" s="4" t="s">
        <v>1435</v>
      </c>
      <c r="F551" s="4" t="e">
        <v>#VALUE!</v>
      </c>
      <c r="G551" s="4" t="e">
        <v>#VALUE!</v>
      </c>
      <c r="H551" s="4" t="s">
        <v>73</v>
      </c>
      <c r="I551" s="4" t="s">
        <v>16</v>
      </c>
    </row>
    <row r="552" spans="1:9" ht="14" customHeight="1">
      <c r="A552" s="4">
        <v>14</v>
      </c>
      <c r="B552" s="4" t="s">
        <v>1436</v>
      </c>
      <c r="C552" s="4" t="s">
        <v>73</v>
      </c>
      <c r="D552" s="4" t="s">
        <v>45</v>
      </c>
      <c r="E552" s="4" t="s">
        <v>1437</v>
      </c>
      <c r="F552" s="4" t="e">
        <v>#VALUE!</v>
      </c>
      <c r="G552" s="4" t="e">
        <v>#VALUE!</v>
      </c>
      <c r="H552" s="4" t="s">
        <v>73</v>
      </c>
      <c r="I552" s="4" t="s">
        <v>16</v>
      </c>
    </row>
    <row r="553" spans="1:9" ht="14" customHeight="1">
      <c r="A553" s="4">
        <v>13</v>
      </c>
      <c r="B553" s="4" t="s">
        <v>1438</v>
      </c>
      <c r="C553" s="4" t="s">
        <v>73</v>
      </c>
      <c r="D553" s="4" t="s">
        <v>62</v>
      </c>
      <c r="E553" s="4" t="s">
        <v>1439</v>
      </c>
      <c r="F553" s="4" t="e">
        <v>#VALUE!</v>
      </c>
      <c r="G553" s="4" t="e">
        <v>#VALUE!</v>
      </c>
      <c r="H553" s="4" t="s">
        <v>73</v>
      </c>
      <c r="I553" s="4" t="s">
        <v>16</v>
      </c>
    </row>
    <row r="554" spans="1:9" ht="14" customHeight="1">
      <c r="A554" s="4">
        <v>12</v>
      </c>
      <c r="B554" s="4" t="s">
        <v>1440</v>
      </c>
      <c r="C554" s="4" t="s">
        <v>73</v>
      </c>
      <c r="D554" s="4" t="s">
        <v>62</v>
      </c>
      <c r="E554" s="4" t="s">
        <v>1441</v>
      </c>
      <c r="F554" s="4" t="e">
        <v>#VALUE!</v>
      </c>
      <c r="G554" s="4" t="e">
        <v>#VALUE!</v>
      </c>
      <c r="H554" s="4" t="s">
        <v>73</v>
      </c>
      <c r="I554" s="4" t="s">
        <v>16</v>
      </c>
    </row>
    <row r="555" spans="1:9" ht="14" customHeight="1">
      <c r="A555" s="4">
        <v>11</v>
      </c>
      <c r="B555" s="4" t="s">
        <v>1442</v>
      </c>
      <c r="C555" s="4" t="s">
        <v>73</v>
      </c>
      <c r="D555" s="4" t="s">
        <v>67</v>
      </c>
      <c r="E555" s="4" t="s">
        <v>1443</v>
      </c>
      <c r="F555" s="4" t="e">
        <v>#VALUE!</v>
      </c>
      <c r="G555" s="4" t="e">
        <v>#VALUE!</v>
      </c>
      <c r="H555" s="4" t="s">
        <v>73</v>
      </c>
      <c r="I555" s="4" t="s">
        <v>16</v>
      </c>
    </row>
    <row r="556" spans="1:9" ht="14" customHeight="1">
      <c r="A556" s="4">
        <v>10</v>
      </c>
      <c r="B556" s="4" t="s">
        <v>1444</v>
      </c>
      <c r="C556" s="4" t="s">
        <v>73</v>
      </c>
      <c r="D556" s="4" t="s">
        <v>705</v>
      </c>
      <c r="E556" s="4" t="s">
        <v>1445</v>
      </c>
      <c r="F556" s="4" t="e">
        <v>#VALUE!</v>
      </c>
      <c r="G556" s="4" t="e">
        <v>#VALUE!</v>
      </c>
      <c r="H556" s="4" t="s">
        <v>73</v>
      </c>
      <c r="I556" s="4" t="s">
        <v>16</v>
      </c>
    </row>
    <row r="557" spans="1:9" ht="14" customHeight="1">
      <c r="A557" s="4">
        <v>9</v>
      </c>
      <c r="B557" s="4" t="s">
        <v>1446</v>
      </c>
      <c r="C557" s="4" t="s">
        <v>73</v>
      </c>
      <c r="D557" s="4" t="s">
        <v>705</v>
      </c>
      <c r="E557" s="4" t="s">
        <v>1447</v>
      </c>
      <c r="F557" s="4" t="e">
        <v>#VALUE!</v>
      </c>
      <c r="G557" s="4" t="e">
        <v>#VALUE!</v>
      </c>
      <c r="H557" s="4" t="s">
        <v>73</v>
      </c>
      <c r="I557" s="4" t="s">
        <v>16</v>
      </c>
    </row>
    <row r="558" spans="1:9" ht="14" customHeight="1">
      <c r="A558" s="4">
        <v>8</v>
      </c>
      <c r="B558" s="4" t="s">
        <v>1448</v>
      </c>
      <c r="C558" s="4" t="s">
        <v>73</v>
      </c>
      <c r="D558" s="4" t="s">
        <v>705</v>
      </c>
      <c r="E558" s="4" t="s">
        <v>1449</v>
      </c>
      <c r="F558" s="4" t="e">
        <v>#VALUE!</v>
      </c>
      <c r="G558" s="4" t="e">
        <v>#VALUE!</v>
      </c>
      <c r="H558" s="4" t="s">
        <v>73</v>
      </c>
      <c r="I558" s="4" t="s">
        <v>16</v>
      </c>
    </row>
    <row r="559" spans="1:9" ht="14" customHeight="1">
      <c r="A559" s="4">
        <v>7</v>
      </c>
      <c r="B559" s="4" t="s">
        <v>1450</v>
      </c>
      <c r="C559" s="4" t="s">
        <v>1451</v>
      </c>
      <c r="D559" s="4" t="s">
        <v>266</v>
      </c>
      <c r="E559" s="4" t="s">
        <v>1452</v>
      </c>
      <c r="F559" s="4" t="e">
        <v>#VALUE!</v>
      </c>
      <c r="G559" s="4" t="e">
        <v>#VALUE!</v>
      </c>
      <c r="H559" s="4" t="s">
        <v>1451</v>
      </c>
      <c r="I559" s="4" t="s">
        <v>16</v>
      </c>
    </row>
    <row r="560" spans="1:9" ht="14" customHeight="1">
      <c r="A560" s="4">
        <v>6</v>
      </c>
      <c r="B560" s="4" t="s">
        <v>1453</v>
      </c>
      <c r="C560" s="4" t="s">
        <v>688</v>
      </c>
      <c r="D560" s="4" t="s">
        <v>266</v>
      </c>
      <c r="E560" s="4" t="s">
        <v>1454</v>
      </c>
      <c r="F560" s="4" t="e">
        <v>#VALUE!</v>
      </c>
      <c r="G560" s="4" t="e">
        <v>#VALUE!</v>
      </c>
      <c r="H560" s="4" t="s">
        <v>688</v>
      </c>
      <c r="I560" s="4" t="s">
        <v>16</v>
      </c>
    </row>
    <row r="561" spans="1:9" ht="14" customHeight="1">
      <c r="A561" s="4">
        <v>5</v>
      </c>
      <c r="B561" s="4" t="s">
        <v>1455</v>
      </c>
      <c r="C561" s="4" t="s">
        <v>73</v>
      </c>
      <c r="D561" s="4" t="s">
        <v>266</v>
      </c>
      <c r="E561" s="4" t="s">
        <v>1456</v>
      </c>
      <c r="F561" s="4" t="e">
        <v>#VALUE!</v>
      </c>
      <c r="G561" s="4" t="e">
        <v>#VALUE!</v>
      </c>
      <c r="H561" s="4" t="s">
        <v>73</v>
      </c>
      <c r="I561" s="4" t="s">
        <v>16</v>
      </c>
    </row>
    <row r="562" spans="1:9" ht="14" customHeight="1">
      <c r="A562" s="4">
        <v>4</v>
      </c>
      <c r="B562" s="4" t="s">
        <v>1457</v>
      </c>
      <c r="C562" s="4" t="s">
        <v>73</v>
      </c>
      <c r="D562" s="4" t="s">
        <v>74</v>
      </c>
      <c r="E562" s="4" t="s">
        <v>1458</v>
      </c>
      <c r="F562" s="4" t="e">
        <v>#VALUE!</v>
      </c>
      <c r="G562" s="4" t="e">
        <v>#VALUE!</v>
      </c>
      <c r="H562" s="4" t="s">
        <v>73</v>
      </c>
      <c r="I562" s="4" t="s">
        <v>16</v>
      </c>
    </row>
    <row r="563" spans="1:9" ht="14" customHeight="1">
      <c r="A563" s="4">
        <v>3</v>
      </c>
      <c r="B563" s="4" t="s">
        <v>1459</v>
      </c>
      <c r="C563" s="4" t="s">
        <v>73</v>
      </c>
      <c r="D563" s="4" t="s">
        <v>83</v>
      </c>
      <c r="E563" s="4" t="s">
        <v>1460</v>
      </c>
      <c r="F563" s="4" t="e">
        <v>#VALUE!</v>
      </c>
      <c r="G563" s="4" t="e">
        <v>#VALUE!</v>
      </c>
      <c r="H563" s="4" t="s">
        <v>73</v>
      </c>
      <c r="I563" s="4" t="s">
        <v>16</v>
      </c>
    </row>
    <row r="564" spans="1:9" ht="14" customHeight="1">
      <c r="A564" s="4">
        <v>2</v>
      </c>
      <c r="B564" s="4" t="s">
        <v>1461</v>
      </c>
      <c r="C564" s="4" t="s">
        <v>73</v>
      </c>
      <c r="D564" s="4" t="s">
        <v>83</v>
      </c>
      <c r="E564" s="4" t="s">
        <v>1462</v>
      </c>
      <c r="F564" s="4" t="e">
        <v>#VALUE!</v>
      </c>
      <c r="G564" s="4" t="e">
        <v>#VALUE!</v>
      </c>
      <c r="H564" s="4" t="s">
        <v>73</v>
      </c>
      <c r="I564" s="4" t="s">
        <v>16</v>
      </c>
    </row>
    <row r="565" spans="1:9" ht="14" customHeight="1">
      <c r="A565" s="4">
        <v>1</v>
      </c>
      <c r="B565" s="4" t="s">
        <v>1463</v>
      </c>
      <c r="C565" s="4" t="s">
        <v>73</v>
      </c>
      <c r="D565" s="4" t="s">
        <v>99</v>
      </c>
      <c r="E565" s="4" t="e">
        <v>#VALUE!</v>
      </c>
      <c r="F565" s="4" t="e">
        <v>#VALUE!</v>
      </c>
      <c r="G565" s="4" t="e">
        <v>#VALUE!</v>
      </c>
      <c r="H565" s="4" t="s">
        <v>73</v>
      </c>
      <c r="I565" s="4" t="s">
        <v>16</v>
      </c>
    </row>
    <row r="566" spans="1:9" ht="14" customHeight="1">
      <c r="A566" s="4" t="s">
        <v>6</v>
      </c>
      <c r="B566" s="4" t="s">
        <v>1464</v>
      </c>
      <c r="C566" s="4" t="e">
        <v>#VALUE!</v>
      </c>
      <c r="D566" s="4" t="e">
        <v>#VALUE!</v>
      </c>
      <c r="E566" s="4" t="e">
        <v>#VALUE!</v>
      </c>
      <c r="F566" s="4" t="e">
        <v>#VALUE!</v>
      </c>
      <c r="G566" s="4" t="e">
        <v>#VALUE!</v>
      </c>
      <c r="H566" s="4" t="e">
        <v>#VALUE!</v>
      </c>
      <c r="I566" s="4" t="s">
        <v>16</v>
      </c>
    </row>
    <row r="567" spans="1:9" ht="14" customHeight="1">
      <c r="A567" s="4" t="s">
        <v>8</v>
      </c>
      <c r="B567" s="4" t="s">
        <v>1465</v>
      </c>
      <c r="C567" s="4" t="e">
        <v>#VALUE!</v>
      </c>
      <c r="D567" s="4" t="e">
        <v>#VALUE!</v>
      </c>
      <c r="E567" s="4" t="e">
        <v>#VALUE!</v>
      </c>
      <c r="F567" s="4" t="e">
        <v>#VALUE!</v>
      </c>
      <c r="G567" s="4" t="e">
        <v>#VALUE!</v>
      </c>
      <c r="H567" s="4" t="e">
        <v>#VALUE!</v>
      </c>
      <c r="I567" s="4" t="s">
        <v>16</v>
      </c>
    </row>
    <row r="568" spans="1:9" ht="14" customHeight="1">
      <c r="A568" s="4">
        <v>34</v>
      </c>
      <c r="B568" s="4" t="s">
        <v>1466</v>
      </c>
      <c r="C568" s="4" t="s">
        <v>368</v>
      </c>
      <c r="D568" s="4" t="s">
        <v>12</v>
      </c>
      <c r="E568" s="4" t="s">
        <v>1467</v>
      </c>
      <c r="F568" s="4" t="e">
        <v>#VALUE!</v>
      </c>
      <c r="G568" s="4" t="e">
        <v>#VALUE!</v>
      </c>
      <c r="H568" s="4" t="s">
        <v>368</v>
      </c>
      <c r="I568" s="4" t="s">
        <v>16</v>
      </c>
    </row>
    <row r="569" spans="1:9" ht="14" customHeight="1">
      <c r="A569" s="4">
        <v>33</v>
      </c>
      <c r="B569" s="4" t="s">
        <v>1468</v>
      </c>
      <c r="C569" s="4" t="s">
        <v>184</v>
      </c>
      <c r="D569" s="4" t="s">
        <v>12</v>
      </c>
      <c r="E569" s="4" t="s">
        <v>1469</v>
      </c>
      <c r="F569" s="4" t="e">
        <v>#VALUE!</v>
      </c>
      <c r="G569" s="4" t="e">
        <v>#VALUE!</v>
      </c>
      <c r="H569" s="4" t="s">
        <v>184</v>
      </c>
      <c r="I569" s="4" t="s">
        <v>16</v>
      </c>
    </row>
    <row r="570" spans="1:9" ht="14" customHeight="1">
      <c r="A570" s="4">
        <v>32</v>
      </c>
      <c r="B570" s="4" t="s">
        <v>1470</v>
      </c>
      <c r="C570" s="4" t="s">
        <v>184</v>
      </c>
      <c r="D570" s="4" t="s">
        <v>12</v>
      </c>
      <c r="E570" s="4" t="s">
        <v>1471</v>
      </c>
      <c r="F570" s="4" t="e">
        <v>#VALUE!</v>
      </c>
      <c r="G570" s="4" t="e">
        <v>#VALUE!</v>
      </c>
      <c r="H570" s="4" t="s">
        <v>184</v>
      </c>
      <c r="I570" s="4" t="s">
        <v>16</v>
      </c>
    </row>
    <row r="571" spans="1:9" ht="14" customHeight="1">
      <c r="A571" s="4">
        <v>31</v>
      </c>
      <c r="B571" s="4" t="s">
        <v>1230</v>
      </c>
      <c r="C571" s="4" t="s">
        <v>73</v>
      </c>
      <c r="D571" s="4" t="s">
        <v>23</v>
      </c>
      <c r="E571" s="4" t="s">
        <v>1231</v>
      </c>
      <c r="F571" s="4" t="e">
        <v>#VALUE!</v>
      </c>
      <c r="G571" s="4" t="e">
        <v>#VALUE!</v>
      </c>
      <c r="H571" s="4" t="s">
        <v>73</v>
      </c>
      <c r="I571" s="4" t="s">
        <v>16</v>
      </c>
    </row>
    <row r="572" spans="1:9" ht="14" customHeight="1">
      <c r="A572" s="4">
        <v>30</v>
      </c>
      <c r="B572" s="4" t="s">
        <v>1472</v>
      </c>
      <c r="C572" s="4" t="s">
        <v>1473</v>
      </c>
      <c r="D572" s="4" t="s">
        <v>252</v>
      </c>
      <c r="E572" s="4" t="s">
        <v>1474</v>
      </c>
      <c r="F572" s="4" t="e">
        <v>#VALUE!</v>
      </c>
      <c r="G572" s="4" t="e">
        <v>#VALUE!</v>
      </c>
      <c r="H572" s="4" t="s">
        <v>1473</v>
      </c>
      <c r="I572" s="4" t="s">
        <v>16</v>
      </c>
    </row>
    <row r="573" spans="1:9" ht="14" customHeight="1">
      <c r="A573" s="4">
        <v>29</v>
      </c>
      <c r="B573" s="4" t="s">
        <v>1475</v>
      </c>
      <c r="C573" s="4" t="s">
        <v>1473</v>
      </c>
      <c r="D573" s="4" t="s">
        <v>252</v>
      </c>
      <c r="E573" s="4" t="s">
        <v>1476</v>
      </c>
      <c r="F573" s="4" t="e">
        <v>#VALUE!</v>
      </c>
      <c r="G573" s="4" t="e">
        <v>#VALUE!</v>
      </c>
      <c r="H573" s="4" t="s">
        <v>1473</v>
      </c>
      <c r="I573" s="4" t="s">
        <v>16</v>
      </c>
    </row>
    <row r="574" spans="1:9" ht="14" customHeight="1">
      <c r="A574" s="4">
        <v>28</v>
      </c>
      <c r="B574" s="4" t="s">
        <v>1477</v>
      </c>
      <c r="C574" s="4" t="s">
        <v>1473</v>
      </c>
      <c r="D574" s="4" t="s">
        <v>45</v>
      </c>
      <c r="E574" s="4" t="s">
        <v>1478</v>
      </c>
      <c r="F574" s="4" t="e">
        <v>#VALUE!</v>
      </c>
      <c r="G574" s="4" t="e">
        <v>#VALUE!</v>
      </c>
      <c r="H574" s="4" t="s">
        <v>1473</v>
      </c>
      <c r="I574" s="4" t="s">
        <v>16</v>
      </c>
    </row>
    <row r="575" spans="1:9" ht="14" customHeight="1">
      <c r="A575" s="4">
        <v>27</v>
      </c>
      <c r="B575" s="4" t="s">
        <v>1479</v>
      </c>
      <c r="C575" s="4" t="s">
        <v>73</v>
      </c>
      <c r="D575" s="4" t="s">
        <v>45</v>
      </c>
      <c r="E575" s="4" t="s">
        <v>1480</v>
      </c>
      <c r="F575" s="4" t="s">
        <v>1481</v>
      </c>
      <c r="G575" s="4">
        <v>60</v>
      </c>
      <c r="H575" s="4" t="s">
        <v>73</v>
      </c>
      <c r="I575" s="4" t="s">
        <v>16</v>
      </c>
    </row>
    <row r="576" spans="1:9" ht="14" customHeight="1">
      <c r="A576" s="4">
        <v>26</v>
      </c>
      <c r="B576" s="4" t="s">
        <v>1482</v>
      </c>
      <c r="C576" s="4" t="s">
        <v>1473</v>
      </c>
      <c r="D576" s="4" t="s">
        <v>45</v>
      </c>
      <c r="E576" s="4" t="s">
        <v>1483</v>
      </c>
      <c r="F576" s="4" t="e">
        <v>#VALUE!</v>
      </c>
      <c r="G576" s="4" t="e">
        <v>#VALUE!</v>
      </c>
      <c r="H576" s="4" t="s">
        <v>1473</v>
      </c>
      <c r="I576" s="4" t="s">
        <v>16</v>
      </c>
    </row>
    <row r="577" spans="1:9" ht="14" customHeight="1">
      <c r="A577" s="4">
        <v>25</v>
      </c>
      <c r="B577" s="4" t="s">
        <v>1484</v>
      </c>
      <c r="C577" s="4" t="s">
        <v>73</v>
      </c>
      <c r="D577" s="4" t="s">
        <v>53</v>
      </c>
      <c r="E577" s="4" t="s">
        <v>1485</v>
      </c>
      <c r="F577" s="4" t="s">
        <v>1486</v>
      </c>
      <c r="G577" s="4">
        <v>83</v>
      </c>
      <c r="H577" s="4" t="s">
        <v>73</v>
      </c>
      <c r="I577" s="4" t="s">
        <v>16</v>
      </c>
    </row>
    <row r="578" spans="1:9" ht="14" customHeight="1">
      <c r="A578" s="4">
        <v>24</v>
      </c>
      <c r="B578" s="4" t="s">
        <v>1487</v>
      </c>
      <c r="C578" s="4" t="s">
        <v>73</v>
      </c>
      <c r="D578" s="4" t="s">
        <v>705</v>
      </c>
      <c r="E578" s="4" t="s">
        <v>1488</v>
      </c>
      <c r="F578" s="4" t="e">
        <v>#VALUE!</v>
      </c>
      <c r="G578" s="4" t="e">
        <v>#VALUE!</v>
      </c>
      <c r="H578" s="4" t="s">
        <v>73</v>
      </c>
      <c r="I578" s="4" t="s">
        <v>16</v>
      </c>
    </row>
    <row r="579" spans="1:9" ht="14" customHeight="1">
      <c r="A579" s="4">
        <v>23</v>
      </c>
      <c r="B579" s="4" t="s">
        <v>1489</v>
      </c>
      <c r="C579" s="4" t="s">
        <v>73</v>
      </c>
      <c r="D579" s="4" t="s">
        <v>705</v>
      </c>
      <c r="E579" s="4" t="s">
        <v>1490</v>
      </c>
      <c r="F579" s="4" t="e">
        <v>#VALUE!</v>
      </c>
      <c r="G579" s="4" t="e">
        <v>#VALUE!</v>
      </c>
      <c r="H579" s="4" t="s">
        <v>73</v>
      </c>
      <c r="I579" s="4" t="s">
        <v>16</v>
      </c>
    </row>
    <row r="580" spans="1:9" ht="14" customHeight="1">
      <c r="A580" s="4">
        <v>22</v>
      </c>
      <c r="B580" s="4" t="s">
        <v>1491</v>
      </c>
      <c r="C580" s="4" t="s">
        <v>73</v>
      </c>
      <c r="D580" s="4" t="s">
        <v>705</v>
      </c>
      <c r="E580" s="4" t="s">
        <v>1492</v>
      </c>
      <c r="F580" s="4" t="e">
        <v>#VALUE!</v>
      </c>
      <c r="G580" s="4" t="e">
        <v>#VALUE!</v>
      </c>
      <c r="H580" s="4" t="s">
        <v>73</v>
      </c>
      <c r="I580" s="4" t="s">
        <v>16</v>
      </c>
    </row>
    <row r="581" spans="1:9" ht="14" customHeight="1">
      <c r="A581" s="4">
        <v>21</v>
      </c>
      <c r="B581" s="4" t="s">
        <v>1493</v>
      </c>
      <c r="C581" s="4" t="s">
        <v>73</v>
      </c>
      <c r="D581" s="4" t="s">
        <v>266</v>
      </c>
      <c r="E581" s="4" t="s">
        <v>1494</v>
      </c>
      <c r="F581" s="4" t="e">
        <v>#VALUE!</v>
      </c>
      <c r="G581" s="4" t="e">
        <v>#VALUE!</v>
      </c>
      <c r="H581" s="4" t="s">
        <v>73</v>
      </c>
      <c r="I581" s="4" t="s">
        <v>16</v>
      </c>
    </row>
    <row r="582" spans="1:9" ht="14" customHeight="1">
      <c r="A582" s="4">
        <v>20</v>
      </c>
      <c r="B582" s="4" t="s">
        <v>1495</v>
      </c>
      <c r="C582" s="4" t="s">
        <v>73</v>
      </c>
      <c r="D582" s="4" t="s">
        <v>266</v>
      </c>
      <c r="E582" s="4" t="s">
        <v>1496</v>
      </c>
      <c r="F582" s="4" t="e">
        <v>#VALUE!</v>
      </c>
      <c r="G582" s="4" t="e">
        <v>#VALUE!</v>
      </c>
      <c r="H582" s="4" t="s">
        <v>73</v>
      </c>
      <c r="I582" s="4" t="s">
        <v>16</v>
      </c>
    </row>
    <row r="583" spans="1:9" ht="14" customHeight="1">
      <c r="A583" s="4">
        <v>19</v>
      </c>
      <c r="B583" s="4" t="s">
        <v>1497</v>
      </c>
      <c r="C583" s="4" t="s">
        <v>73</v>
      </c>
      <c r="D583" s="4" t="s">
        <v>74</v>
      </c>
      <c r="E583" s="4" t="s">
        <v>1498</v>
      </c>
      <c r="F583" s="4" t="e">
        <v>#VALUE!</v>
      </c>
      <c r="G583" s="4" t="e">
        <v>#VALUE!</v>
      </c>
      <c r="H583" s="4" t="s">
        <v>73</v>
      </c>
      <c r="I583" s="4" t="s">
        <v>16</v>
      </c>
    </row>
    <row r="584" spans="1:9" ht="14" customHeight="1">
      <c r="A584" s="4">
        <v>18</v>
      </c>
      <c r="B584" s="4" t="s">
        <v>1499</v>
      </c>
      <c r="C584" s="4" t="s">
        <v>73</v>
      </c>
      <c r="D584" s="4" t="s">
        <v>74</v>
      </c>
      <c r="E584" s="4" t="s">
        <v>1500</v>
      </c>
      <c r="F584" s="4" t="e">
        <v>#VALUE!</v>
      </c>
      <c r="G584" s="4" t="e">
        <v>#VALUE!</v>
      </c>
      <c r="H584" s="4" t="s">
        <v>73</v>
      </c>
      <c r="I584" s="4" t="s">
        <v>16</v>
      </c>
    </row>
    <row r="585" spans="1:9" ht="14" customHeight="1">
      <c r="A585" s="4">
        <v>17</v>
      </c>
      <c r="B585" s="4" t="s">
        <v>1501</v>
      </c>
      <c r="C585" s="4" t="s">
        <v>73</v>
      </c>
      <c r="D585" s="4" t="s">
        <v>78</v>
      </c>
      <c r="E585" s="4" t="s">
        <v>1502</v>
      </c>
      <c r="F585" s="4" t="e">
        <v>#VALUE!</v>
      </c>
      <c r="G585" s="4" t="e">
        <v>#VALUE!</v>
      </c>
      <c r="H585" s="4" t="s">
        <v>73</v>
      </c>
      <c r="I585" s="4" t="s">
        <v>16</v>
      </c>
    </row>
    <row r="586" spans="1:9" ht="14" customHeight="1">
      <c r="A586" s="4">
        <v>16</v>
      </c>
      <c r="B586" s="4" t="s">
        <v>1503</v>
      </c>
      <c r="C586" s="4" t="s">
        <v>73</v>
      </c>
      <c r="D586" s="4" t="s">
        <v>78</v>
      </c>
      <c r="E586" s="4" t="s">
        <v>1235</v>
      </c>
      <c r="F586" s="4" t="e">
        <v>#VALUE!</v>
      </c>
      <c r="G586" s="4" t="e">
        <v>#VALUE!</v>
      </c>
      <c r="H586" s="4" t="s">
        <v>73</v>
      </c>
      <c r="I586" s="4" t="s">
        <v>16</v>
      </c>
    </row>
    <row r="587" spans="1:9" ht="14" customHeight="1">
      <c r="A587" s="4">
        <v>15</v>
      </c>
      <c r="B587" s="4" t="s">
        <v>1504</v>
      </c>
      <c r="C587" s="4" t="s">
        <v>73</v>
      </c>
      <c r="D587" s="4" t="s">
        <v>78</v>
      </c>
      <c r="E587" s="4" t="s">
        <v>1505</v>
      </c>
      <c r="F587" s="4" t="e">
        <v>#VALUE!</v>
      </c>
      <c r="G587" s="4" t="e">
        <v>#VALUE!</v>
      </c>
      <c r="H587" s="4" t="s">
        <v>73</v>
      </c>
      <c r="I587" s="4" t="s">
        <v>16</v>
      </c>
    </row>
    <row r="588" spans="1:9" ht="14" customHeight="1">
      <c r="A588" s="4">
        <v>14</v>
      </c>
      <c r="B588" s="4" t="s">
        <v>1506</v>
      </c>
      <c r="C588" s="4" t="s">
        <v>1507</v>
      </c>
      <c r="D588" s="4" t="s">
        <v>78</v>
      </c>
      <c r="E588" s="4" t="s">
        <v>1508</v>
      </c>
      <c r="F588" s="4" t="e">
        <v>#VALUE!</v>
      </c>
      <c r="G588" s="4" t="e">
        <v>#VALUE!</v>
      </c>
      <c r="H588" s="4" t="s">
        <v>1507</v>
      </c>
      <c r="I588" s="4" t="s">
        <v>16</v>
      </c>
    </row>
    <row r="589" spans="1:9" ht="14" customHeight="1">
      <c r="A589" s="4">
        <v>13</v>
      </c>
      <c r="B589" s="4" t="s">
        <v>1509</v>
      </c>
      <c r="C589" s="4" t="s">
        <v>984</v>
      </c>
      <c r="D589" s="4" t="s">
        <v>83</v>
      </c>
      <c r="E589" s="4" t="s">
        <v>1510</v>
      </c>
      <c r="F589" s="4" t="e">
        <v>#VALUE!</v>
      </c>
      <c r="G589" s="4" t="e">
        <v>#VALUE!</v>
      </c>
      <c r="H589" s="4" t="s">
        <v>984</v>
      </c>
      <c r="I589" s="4" t="s">
        <v>16</v>
      </c>
    </row>
    <row r="590" spans="1:9" ht="14" customHeight="1">
      <c r="A590" s="4">
        <v>12</v>
      </c>
      <c r="B590" s="4" t="s">
        <v>1511</v>
      </c>
      <c r="C590" s="4" t="s">
        <v>1512</v>
      </c>
      <c r="D590" s="4" t="s">
        <v>89</v>
      </c>
      <c r="E590" s="4" t="s">
        <v>1513</v>
      </c>
      <c r="F590" s="4" t="e">
        <v>#VALUE!</v>
      </c>
      <c r="G590" s="4" t="e">
        <v>#VALUE!</v>
      </c>
      <c r="H590" s="4" t="s">
        <v>1512</v>
      </c>
      <c r="I590" s="4" t="s">
        <v>16</v>
      </c>
    </row>
    <row r="591" spans="1:9" ht="14" customHeight="1">
      <c r="A591" s="4">
        <v>11</v>
      </c>
      <c r="B591" s="4" t="s">
        <v>1514</v>
      </c>
      <c r="C591" s="4" t="s">
        <v>310</v>
      </c>
      <c r="D591" s="4" t="s">
        <v>89</v>
      </c>
      <c r="E591" s="4" t="s">
        <v>1515</v>
      </c>
      <c r="F591" s="4" t="e">
        <v>#VALUE!</v>
      </c>
      <c r="G591" s="4" t="e">
        <v>#VALUE!</v>
      </c>
      <c r="H591" s="4" t="s">
        <v>310</v>
      </c>
      <c r="I591" s="4" t="s">
        <v>16</v>
      </c>
    </row>
    <row r="592" spans="1:9" ht="14" customHeight="1">
      <c r="A592" s="4">
        <v>10</v>
      </c>
      <c r="B592" s="4" t="s">
        <v>1516</v>
      </c>
      <c r="C592" s="4" t="s">
        <v>73</v>
      </c>
      <c r="D592" s="4" t="s">
        <v>89</v>
      </c>
      <c r="E592" s="4" t="s">
        <v>1517</v>
      </c>
      <c r="F592" s="4" t="e">
        <v>#VALUE!</v>
      </c>
      <c r="G592" s="4" t="e">
        <v>#VALUE!</v>
      </c>
      <c r="H592" s="4" t="s">
        <v>73</v>
      </c>
      <c r="I592" s="4" t="s">
        <v>16</v>
      </c>
    </row>
    <row r="593" spans="1:9" ht="14" customHeight="1">
      <c r="A593" s="4">
        <v>9</v>
      </c>
      <c r="B593" s="4" t="s">
        <v>1518</v>
      </c>
      <c r="C593" s="4" t="s">
        <v>73</v>
      </c>
      <c r="D593" s="4" t="s">
        <v>99</v>
      </c>
      <c r="E593" s="4" t="s">
        <v>1519</v>
      </c>
      <c r="F593" s="4" t="e">
        <v>#VALUE!</v>
      </c>
      <c r="G593" s="4" t="e">
        <v>#VALUE!</v>
      </c>
      <c r="H593" s="4" t="s">
        <v>73</v>
      </c>
      <c r="I593" s="4" t="s">
        <v>16</v>
      </c>
    </row>
    <row r="594" spans="1:9" ht="14" customHeight="1">
      <c r="A594" s="4">
        <v>8</v>
      </c>
      <c r="B594" s="4" t="s">
        <v>1520</v>
      </c>
      <c r="C594" s="4" t="s">
        <v>73</v>
      </c>
      <c r="D594" s="4" t="s">
        <v>331</v>
      </c>
      <c r="E594" s="4" t="s">
        <v>1521</v>
      </c>
      <c r="F594" s="4" t="e">
        <v>#VALUE!</v>
      </c>
      <c r="G594" s="4" t="e">
        <v>#VALUE!</v>
      </c>
      <c r="H594" s="4" t="s">
        <v>73</v>
      </c>
      <c r="I594" s="4" t="s">
        <v>16</v>
      </c>
    </row>
    <row r="595" spans="1:9" ht="14" customHeight="1">
      <c r="A595" s="4">
        <v>7</v>
      </c>
      <c r="B595" s="4" t="s">
        <v>1522</v>
      </c>
      <c r="C595" s="4" t="s">
        <v>73</v>
      </c>
      <c r="D595" s="4" t="s">
        <v>331</v>
      </c>
      <c r="E595" s="4" t="s">
        <v>1523</v>
      </c>
      <c r="F595" s="4" t="e">
        <v>#VALUE!</v>
      </c>
      <c r="G595" s="4" t="e">
        <v>#VALUE!</v>
      </c>
      <c r="H595" s="4" t="s">
        <v>73</v>
      </c>
      <c r="I595" s="4" t="s">
        <v>16</v>
      </c>
    </row>
    <row r="596" spans="1:9" ht="14" customHeight="1">
      <c r="A596" s="4">
        <v>6</v>
      </c>
      <c r="B596" s="4" t="s">
        <v>1524</v>
      </c>
      <c r="C596" s="4" t="s">
        <v>73</v>
      </c>
      <c r="D596" s="4" t="s">
        <v>1402</v>
      </c>
      <c r="E596" s="4" t="s">
        <v>1525</v>
      </c>
      <c r="F596" s="4" t="e">
        <v>#VALUE!</v>
      </c>
      <c r="G596" s="4" t="e">
        <v>#VALUE!</v>
      </c>
      <c r="H596" s="4" t="s">
        <v>73</v>
      </c>
      <c r="I596" s="4" t="s">
        <v>16</v>
      </c>
    </row>
    <row r="597" spans="1:9" ht="14" customHeight="1">
      <c r="A597" s="4">
        <v>5</v>
      </c>
      <c r="B597" s="4" t="s">
        <v>1526</v>
      </c>
      <c r="C597" s="4" t="s">
        <v>73</v>
      </c>
      <c r="D597" s="4" t="s">
        <v>1402</v>
      </c>
      <c r="E597" s="4" t="s">
        <v>1527</v>
      </c>
      <c r="F597" s="4" t="e">
        <v>#VALUE!</v>
      </c>
      <c r="G597" s="4" t="e">
        <v>#VALUE!</v>
      </c>
      <c r="H597" s="4" t="s">
        <v>73</v>
      </c>
      <c r="I597" s="4" t="s">
        <v>16</v>
      </c>
    </row>
    <row r="598" spans="1:9" ht="14" customHeight="1">
      <c r="A598" s="4">
        <v>4</v>
      </c>
      <c r="B598" s="4" t="s">
        <v>1528</v>
      </c>
      <c r="C598" s="4" t="s">
        <v>73</v>
      </c>
      <c r="D598" s="4" t="s">
        <v>1402</v>
      </c>
      <c r="E598" s="4" t="s">
        <v>1529</v>
      </c>
      <c r="F598" s="4" t="e">
        <v>#VALUE!</v>
      </c>
      <c r="G598" s="4" t="e">
        <v>#VALUE!</v>
      </c>
      <c r="H598" s="4" t="s">
        <v>73</v>
      </c>
      <c r="I598" s="4" t="s">
        <v>16</v>
      </c>
    </row>
    <row r="599" spans="1:9" ht="14" customHeight="1">
      <c r="A599" s="4">
        <v>3</v>
      </c>
      <c r="B599" s="4" t="s">
        <v>1530</v>
      </c>
      <c r="C599" s="4" t="s">
        <v>73</v>
      </c>
      <c r="D599" s="4" t="s">
        <v>865</v>
      </c>
      <c r="E599" s="4" t="s">
        <v>1531</v>
      </c>
      <c r="F599" s="4" t="e">
        <v>#VALUE!</v>
      </c>
      <c r="G599" s="4" t="e">
        <v>#VALUE!</v>
      </c>
      <c r="H599" s="4" t="s">
        <v>73</v>
      </c>
      <c r="I599" s="4" t="s">
        <v>16</v>
      </c>
    </row>
    <row r="600" spans="1:9" ht="14" customHeight="1">
      <c r="A600" s="4">
        <v>2</v>
      </c>
      <c r="B600" s="4" t="s">
        <v>1532</v>
      </c>
      <c r="C600" s="4" t="s">
        <v>73</v>
      </c>
      <c r="D600" s="4" t="s">
        <v>1419</v>
      </c>
      <c r="E600" s="4" t="s">
        <v>1533</v>
      </c>
      <c r="F600" s="4" t="e">
        <v>#VALUE!</v>
      </c>
      <c r="G600" s="4" t="e">
        <v>#VALUE!</v>
      </c>
      <c r="H600" s="4" t="s">
        <v>73</v>
      </c>
      <c r="I600" s="4" t="s">
        <v>16</v>
      </c>
    </row>
    <row r="601" spans="1:9" ht="14" customHeight="1">
      <c r="A601" s="4">
        <v>1</v>
      </c>
      <c r="B601" s="4" t="s">
        <v>1534</v>
      </c>
      <c r="C601" s="4" t="s">
        <v>73</v>
      </c>
      <c r="D601" s="4" t="s">
        <v>354</v>
      </c>
      <c r="E601" s="4" t="s">
        <v>1535</v>
      </c>
      <c r="F601" s="4" t="e">
        <v>#VALUE!</v>
      </c>
      <c r="G601" s="4" t="e">
        <v>#VALUE!</v>
      </c>
      <c r="H601" s="4" t="s">
        <v>73</v>
      </c>
      <c r="I601" s="4" t="s">
        <v>16</v>
      </c>
    </row>
    <row r="602" spans="1:9" ht="14" customHeight="1">
      <c r="A602" s="4" t="s">
        <v>8</v>
      </c>
      <c r="B602" s="4" t="s">
        <v>1536</v>
      </c>
      <c r="C602" s="4" t="e">
        <v>#VALUE!</v>
      </c>
      <c r="D602" s="4" t="e">
        <v>#VALUE!</v>
      </c>
      <c r="E602" s="4" t="e">
        <v>#VALUE!</v>
      </c>
      <c r="F602" s="4" t="e">
        <v>#VALUE!</v>
      </c>
      <c r="G602" s="4" t="e">
        <v>#VALUE!</v>
      </c>
      <c r="H602" s="4" t="e">
        <v>#VALUE!</v>
      </c>
      <c r="I602" s="4" t="s">
        <v>16</v>
      </c>
    </row>
    <row r="603" spans="1:9" ht="14" customHeight="1">
      <c r="A603" s="4">
        <v>10</v>
      </c>
      <c r="B603" s="4" t="s">
        <v>1537</v>
      </c>
      <c r="C603" s="4" t="s">
        <v>73</v>
      </c>
      <c r="D603" s="4" t="s">
        <v>705</v>
      </c>
      <c r="E603" s="4" t="s">
        <v>1538</v>
      </c>
      <c r="F603" s="4" t="s">
        <v>1539</v>
      </c>
      <c r="G603" s="4">
        <v>73</v>
      </c>
      <c r="H603" s="4" t="s">
        <v>73</v>
      </c>
      <c r="I603" s="4" t="s">
        <v>16</v>
      </c>
    </row>
    <row r="604" spans="1:9" ht="14" customHeight="1">
      <c r="A604" s="4">
        <v>9</v>
      </c>
      <c r="B604" s="4" t="s">
        <v>1540</v>
      </c>
      <c r="C604" s="4" t="s">
        <v>73</v>
      </c>
      <c r="D604" s="4" t="s">
        <v>705</v>
      </c>
      <c r="E604" s="4" t="s">
        <v>1541</v>
      </c>
      <c r="F604" s="4" t="e">
        <v>#VALUE!</v>
      </c>
      <c r="G604" s="4" t="e">
        <v>#VALUE!</v>
      </c>
      <c r="H604" s="4" t="s">
        <v>73</v>
      </c>
      <c r="I604" s="4" t="s">
        <v>16</v>
      </c>
    </row>
    <row r="605" spans="1:9" ht="14" customHeight="1">
      <c r="A605" s="4">
        <v>8</v>
      </c>
      <c r="B605" s="4" t="s">
        <v>1542</v>
      </c>
      <c r="C605" s="4" t="s">
        <v>73</v>
      </c>
      <c r="D605" s="4" t="s">
        <v>266</v>
      </c>
      <c r="E605" s="4" t="s">
        <v>1543</v>
      </c>
      <c r="F605" s="4" t="e">
        <v>#VALUE!</v>
      </c>
      <c r="G605" s="4" t="e">
        <v>#VALUE!</v>
      </c>
      <c r="H605" s="4" t="s">
        <v>73</v>
      </c>
      <c r="I605" s="4" t="s">
        <v>16</v>
      </c>
    </row>
    <row r="606" spans="1:9" ht="14" customHeight="1">
      <c r="A606" s="4">
        <v>7</v>
      </c>
      <c r="B606" s="4" t="s">
        <v>1544</v>
      </c>
      <c r="C606" s="4" t="s">
        <v>73</v>
      </c>
      <c r="D606" s="4" t="s">
        <v>74</v>
      </c>
      <c r="E606" s="4" t="s">
        <v>1545</v>
      </c>
      <c r="F606" s="4" t="e">
        <v>#VALUE!</v>
      </c>
      <c r="G606" s="4" t="e">
        <v>#VALUE!</v>
      </c>
      <c r="H606" s="4" t="s">
        <v>73</v>
      </c>
      <c r="I606" s="4" t="s">
        <v>16</v>
      </c>
    </row>
    <row r="607" spans="1:9" ht="14" customHeight="1">
      <c r="A607" s="4">
        <v>6</v>
      </c>
      <c r="B607" s="4" t="s">
        <v>1546</v>
      </c>
      <c r="C607" s="4" t="s">
        <v>73</v>
      </c>
      <c r="D607" s="4" t="s">
        <v>78</v>
      </c>
      <c r="E607" s="4" t="s">
        <v>1547</v>
      </c>
      <c r="F607" s="4" t="e">
        <v>#VALUE!</v>
      </c>
      <c r="G607" s="4" t="e">
        <v>#VALUE!</v>
      </c>
      <c r="H607" s="4" t="s">
        <v>73</v>
      </c>
      <c r="I607" s="4" t="s">
        <v>16</v>
      </c>
    </row>
    <row r="608" spans="1:9" ht="14" customHeight="1">
      <c r="A608" s="4">
        <v>5</v>
      </c>
      <c r="B608" s="4" t="s">
        <v>1548</v>
      </c>
      <c r="C608" s="4" t="s">
        <v>73</v>
      </c>
      <c r="D608" s="4" t="s">
        <v>89</v>
      </c>
      <c r="E608" s="4" t="s">
        <v>1386</v>
      </c>
      <c r="F608" s="4" t="e">
        <v>#VALUE!</v>
      </c>
      <c r="G608" s="4" t="e">
        <v>#VALUE!</v>
      </c>
      <c r="H608" s="4" t="s">
        <v>73</v>
      </c>
      <c r="I608" s="4" t="s">
        <v>16</v>
      </c>
    </row>
    <row r="609" spans="1:9" ht="14" customHeight="1">
      <c r="A609" s="4">
        <v>4</v>
      </c>
      <c r="B609" s="4" t="s">
        <v>1549</v>
      </c>
      <c r="C609" s="4" t="s">
        <v>73</v>
      </c>
      <c r="D609" s="4" t="s">
        <v>99</v>
      </c>
      <c r="E609" s="4" t="e">
        <v>#VALUE!</v>
      </c>
      <c r="F609" s="4" t="e">
        <v>#VALUE!</v>
      </c>
      <c r="G609" s="4" t="e">
        <v>#VALUE!</v>
      </c>
      <c r="H609" s="4" t="s">
        <v>73</v>
      </c>
      <c r="I609" s="4" t="s">
        <v>16</v>
      </c>
    </row>
    <row r="610" spans="1:9" ht="14" customHeight="1">
      <c r="A610" s="4">
        <v>3</v>
      </c>
      <c r="B610" s="4" t="s">
        <v>1550</v>
      </c>
      <c r="C610" s="4" t="s">
        <v>73</v>
      </c>
      <c r="D610" s="4" t="s">
        <v>99</v>
      </c>
      <c r="E610" s="4" t="e">
        <v>#VALUE!</v>
      </c>
      <c r="F610" s="4" t="e">
        <v>#VALUE!</v>
      </c>
      <c r="G610" s="4" t="e">
        <v>#VALUE!</v>
      </c>
      <c r="H610" s="4" t="s">
        <v>73</v>
      </c>
      <c r="I610" s="4" t="s">
        <v>16</v>
      </c>
    </row>
    <row r="611" spans="1:9" ht="14" customHeight="1">
      <c r="A611" s="4">
        <v>2</v>
      </c>
      <c r="B611" s="4" t="s">
        <v>1551</v>
      </c>
      <c r="C611" s="4" t="s">
        <v>73</v>
      </c>
      <c r="D611" s="4" t="s">
        <v>320</v>
      </c>
      <c r="E611" s="4" t="s">
        <v>1552</v>
      </c>
      <c r="F611" s="4" t="e">
        <v>#VALUE!</v>
      </c>
      <c r="G611" s="4" t="e">
        <v>#VALUE!</v>
      </c>
      <c r="H611" s="4" t="s">
        <v>73</v>
      </c>
      <c r="I611" s="4" t="s">
        <v>16</v>
      </c>
    </row>
    <row r="612" spans="1:9" ht="14" customHeight="1">
      <c r="A612" s="4">
        <v>1</v>
      </c>
      <c r="B612" s="4" t="s">
        <v>1553</v>
      </c>
      <c r="C612" s="4" t="s">
        <v>73</v>
      </c>
      <c r="D612" s="4" t="s">
        <v>345</v>
      </c>
      <c r="E612" s="4" t="s">
        <v>1554</v>
      </c>
      <c r="F612" s="4" t="e">
        <v>#VALUE!</v>
      </c>
      <c r="G612" s="4" t="e">
        <v>#VALUE!</v>
      </c>
      <c r="H612" s="4" t="s">
        <v>73</v>
      </c>
      <c r="I612" s="4" t="s">
        <v>16</v>
      </c>
    </row>
    <row r="613" spans="1:9" ht="14" customHeight="1">
      <c r="A613" s="4" t="s">
        <v>8</v>
      </c>
      <c r="B613" s="4" t="s">
        <v>1555</v>
      </c>
      <c r="C613" s="4" t="e">
        <v>#VALUE!</v>
      </c>
      <c r="D613" s="4" t="e">
        <v>#VALUE!</v>
      </c>
      <c r="E613" s="4" t="e">
        <v>#VALUE!</v>
      </c>
      <c r="F613" s="4" t="e">
        <v>#VALUE!</v>
      </c>
      <c r="G613" s="4" t="e">
        <v>#VALUE!</v>
      </c>
      <c r="H613" s="4" t="e">
        <v>#VALUE!</v>
      </c>
      <c r="I613" s="4" t="s">
        <v>16</v>
      </c>
    </row>
    <row r="614" spans="1:9" ht="14" customHeight="1">
      <c r="A614" s="4">
        <v>50</v>
      </c>
      <c r="B614" s="4" t="s">
        <v>1556</v>
      </c>
      <c r="C614" s="4" t="s">
        <v>73</v>
      </c>
      <c r="D614" s="4" t="s">
        <v>131</v>
      </c>
      <c r="E614" s="4" t="s">
        <v>1557</v>
      </c>
      <c r="F614" s="4" t="e">
        <v>#VALUE!</v>
      </c>
      <c r="G614" s="4" t="e">
        <v>#VALUE!</v>
      </c>
      <c r="H614" s="4" t="s">
        <v>73</v>
      </c>
      <c r="I614" s="4" t="s">
        <v>16</v>
      </c>
    </row>
    <row r="615" spans="1:9" ht="14" customHeight="1">
      <c r="A615" s="4">
        <v>49</v>
      </c>
      <c r="B615" s="4" t="s">
        <v>1558</v>
      </c>
      <c r="C615" s="4" t="s">
        <v>73</v>
      </c>
      <c r="D615" s="4" t="s">
        <v>131</v>
      </c>
      <c r="E615" s="4" t="s">
        <v>1559</v>
      </c>
      <c r="F615" s="4" t="e">
        <v>#VALUE!</v>
      </c>
      <c r="G615" s="4" t="e">
        <v>#VALUE!</v>
      </c>
      <c r="H615" s="4" t="s">
        <v>73</v>
      </c>
      <c r="I615" s="4" t="s">
        <v>16</v>
      </c>
    </row>
    <row r="616" spans="1:9" ht="14" customHeight="1">
      <c r="A616" s="4">
        <v>48</v>
      </c>
      <c r="B616" s="4" t="s">
        <v>1560</v>
      </c>
      <c r="C616" s="4" t="s">
        <v>73</v>
      </c>
      <c r="D616" s="4" t="s">
        <v>131</v>
      </c>
      <c r="E616" s="4" t="s">
        <v>1561</v>
      </c>
      <c r="F616" s="4" t="e">
        <v>#VALUE!</v>
      </c>
      <c r="G616" s="4" t="e">
        <v>#VALUE!</v>
      </c>
      <c r="H616" s="4" t="s">
        <v>73</v>
      </c>
      <c r="I616" s="4" t="s">
        <v>16</v>
      </c>
    </row>
    <row r="617" spans="1:9" ht="14" customHeight="1">
      <c r="A617" s="4">
        <v>47</v>
      </c>
      <c r="B617" s="4" t="s">
        <v>1562</v>
      </c>
      <c r="C617" s="4" t="s">
        <v>73</v>
      </c>
      <c r="D617" s="4" t="s">
        <v>131</v>
      </c>
      <c r="E617" s="4" t="s">
        <v>1563</v>
      </c>
      <c r="F617" s="4" t="e">
        <v>#VALUE!</v>
      </c>
      <c r="G617" s="4" t="e">
        <v>#VALUE!</v>
      </c>
      <c r="H617" s="4" t="s">
        <v>73</v>
      </c>
      <c r="I617" s="4" t="s">
        <v>16</v>
      </c>
    </row>
    <row r="618" spans="1:9" ht="14" customHeight="1">
      <c r="A618" s="4">
        <v>46</v>
      </c>
      <c r="B618" s="4" t="s">
        <v>1564</v>
      </c>
      <c r="C618" s="4" t="s">
        <v>73</v>
      </c>
      <c r="D618" s="4" t="s">
        <v>131</v>
      </c>
      <c r="E618" s="4" t="s">
        <v>1565</v>
      </c>
      <c r="F618" s="4" t="e">
        <v>#VALUE!</v>
      </c>
      <c r="G618" s="4" t="e">
        <v>#VALUE!</v>
      </c>
      <c r="H618" s="4" t="s">
        <v>73</v>
      </c>
      <c r="I618" s="4" t="s">
        <v>16</v>
      </c>
    </row>
    <row r="619" spans="1:9" ht="14" customHeight="1">
      <c r="A619" s="4">
        <v>45</v>
      </c>
      <c r="B619" s="4" t="s">
        <v>1566</v>
      </c>
      <c r="C619" s="4" t="s">
        <v>73</v>
      </c>
      <c r="D619" s="4" t="s">
        <v>220</v>
      </c>
      <c r="E619" s="4" t="s">
        <v>1567</v>
      </c>
      <c r="F619" s="4" t="e">
        <v>#VALUE!</v>
      </c>
      <c r="G619" s="4" t="e">
        <v>#VALUE!</v>
      </c>
      <c r="H619" s="4" t="s">
        <v>73</v>
      </c>
      <c r="I619" s="4" t="s">
        <v>16</v>
      </c>
    </row>
    <row r="620" spans="1:9" ht="14" customHeight="1">
      <c r="A620" s="4">
        <v>44</v>
      </c>
      <c r="B620" s="4" t="s">
        <v>1568</v>
      </c>
      <c r="C620" s="4" t="s">
        <v>73</v>
      </c>
      <c r="D620" s="4" t="s">
        <v>220</v>
      </c>
      <c r="E620" s="4" t="s">
        <v>1569</v>
      </c>
      <c r="F620" s="4" t="e">
        <v>#VALUE!</v>
      </c>
      <c r="G620" s="4" t="e">
        <v>#VALUE!</v>
      </c>
      <c r="H620" s="4" t="s">
        <v>73</v>
      </c>
      <c r="I620" s="4" t="s">
        <v>16</v>
      </c>
    </row>
    <row r="621" spans="1:9" ht="14" customHeight="1">
      <c r="A621" s="4">
        <v>43</v>
      </c>
      <c r="B621" s="4" t="s">
        <v>1570</v>
      </c>
      <c r="C621" s="4" t="s">
        <v>73</v>
      </c>
      <c r="D621" s="4" t="s">
        <v>220</v>
      </c>
      <c r="E621" s="4" t="s">
        <v>1571</v>
      </c>
      <c r="F621" s="4" t="e">
        <v>#VALUE!</v>
      </c>
      <c r="G621" s="4" t="e">
        <v>#VALUE!</v>
      </c>
      <c r="H621" s="4" t="s">
        <v>73</v>
      </c>
      <c r="I621" s="4" t="s">
        <v>16</v>
      </c>
    </row>
    <row r="622" spans="1:9" ht="14" customHeight="1">
      <c r="A622" s="4">
        <v>42</v>
      </c>
      <c r="B622" s="4" t="s">
        <v>1572</v>
      </c>
      <c r="C622" s="4" t="s">
        <v>73</v>
      </c>
      <c r="D622" s="4" t="s">
        <v>220</v>
      </c>
      <c r="E622" s="4" t="s">
        <v>1573</v>
      </c>
      <c r="F622" s="4" t="e">
        <v>#VALUE!</v>
      </c>
      <c r="G622" s="4" t="e">
        <v>#VALUE!</v>
      </c>
      <c r="H622" s="4" t="s">
        <v>73</v>
      </c>
      <c r="I622" s="4" t="s">
        <v>16</v>
      </c>
    </row>
    <row r="623" spans="1:9" ht="14" customHeight="1">
      <c r="A623" s="4">
        <v>41</v>
      </c>
      <c r="B623" s="4" t="s">
        <v>1574</v>
      </c>
      <c r="C623" s="4" t="s">
        <v>73</v>
      </c>
      <c r="D623" s="4" t="s">
        <v>220</v>
      </c>
      <c r="E623" s="4" t="s">
        <v>1575</v>
      </c>
      <c r="F623" s="4" t="e">
        <v>#VALUE!</v>
      </c>
      <c r="G623" s="4" t="e">
        <v>#VALUE!</v>
      </c>
      <c r="H623" s="4" t="s">
        <v>73</v>
      </c>
      <c r="I623" s="4" t="s">
        <v>16</v>
      </c>
    </row>
    <row r="624" spans="1:9" ht="14" customHeight="1">
      <c r="A624" s="4">
        <v>40</v>
      </c>
      <c r="B624" s="4" t="s">
        <v>1576</v>
      </c>
      <c r="C624" s="4" t="s">
        <v>73</v>
      </c>
      <c r="D624" s="4" t="s">
        <v>220</v>
      </c>
      <c r="E624" s="4" t="s">
        <v>1577</v>
      </c>
      <c r="F624" s="4" t="e">
        <v>#VALUE!</v>
      </c>
      <c r="G624" s="4" t="e">
        <v>#VALUE!</v>
      </c>
      <c r="H624" s="4" t="s">
        <v>73</v>
      </c>
      <c r="I624" s="4" t="s">
        <v>16</v>
      </c>
    </row>
    <row r="625" spans="1:9" ht="14" customHeight="1">
      <c r="A625" s="4">
        <v>39</v>
      </c>
      <c r="B625" s="4" t="s">
        <v>1578</v>
      </c>
      <c r="C625" s="4" t="s">
        <v>73</v>
      </c>
      <c r="D625" s="4" t="s">
        <v>220</v>
      </c>
      <c r="E625" s="4" t="s">
        <v>1579</v>
      </c>
      <c r="F625" s="4" t="e">
        <v>#VALUE!</v>
      </c>
      <c r="G625" s="4" t="e">
        <v>#VALUE!</v>
      </c>
      <c r="H625" s="4" t="s">
        <v>73</v>
      </c>
      <c r="I625" s="4" t="s">
        <v>16</v>
      </c>
    </row>
    <row r="626" spans="1:9" ht="14" customHeight="1">
      <c r="A626" s="4">
        <v>38</v>
      </c>
      <c r="B626" s="4" t="s">
        <v>1580</v>
      </c>
      <c r="C626" s="4" t="s">
        <v>73</v>
      </c>
      <c r="D626" s="4" t="s">
        <v>220</v>
      </c>
      <c r="E626" s="4" t="s">
        <v>1581</v>
      </c>
      <c r="F626" s="4" t="e">
        <v>#VALUE!</v>
      </c>
      <c r="G626" s="4" t="e">
        <v>#VALUE!</v>
      </c>
      <c r="H626" s="4" t="s">
        <v>73</v>
      </c>
      <c r="I626" s="4" t="s">
        <v>16</v>
      </c>
    </row>
    <row r="627" spans="1:9" ht="14" customHeight="1">
      <c r="A627" s="4">
        <v>37</v>
      </c>
      <c r="B627" s="4" t="s">
        <v>1582</v>
      </c>
      <c r="C627" s="4" t="s">
        <v>73</v>
      </c>
      <c r="D627" s="4" t="s">
        <v>220</v>
      </c>
      <c r="E627" s="4" t="s">
        <v>1583</v>
      </c>
      <c r="F627" s="4" t="e">
        <v>#VALUE!</v>
      </c>
      <c r="G627" s="4" t="e">
        <v>#VALUE!</v>
      </c>
      <c r="H627" s="4" t="s">
        <v>73</v>
      </c>
      <c r="I627" s="4" t="s">
        <v>16</v>
      </c>
    </row>
    <row r="628" spans="1:9" ht="14" customHeight="1">
      <c r="A628" s="4">
        <v>36</v>
      </c>
      <c r="B628" s="4" t="s">
        <v>1584</v>
      </c>
      <c r="C628" s="4" t="s">
        <v>73</v>
      </c>
      <c r="D628" s="4" t="s">
        <v>23</v>
      </c>
      <c r="E628" s="4" t="s">
        <v>1585</v>
      </c>
      <c r="F628" s="4" t="s">
        <v>1586</v>
      </c>
      <c r="G628" s="4">
        <v>170</v>
      </c>
      <c r="H628" s="4" t="s">
        <v>73</v>
      </c>
      <c r="I628" s="4" t="s">
        <v>16</v>
      </c>
    </row>
    <row r="629" spans="1:9" ht="14" customHeight="1">
      <c r="A629" s="4">
        <v>35</v>
      </c>
      <c r="B629" s="4" t="s">
        <v>1587</v>
      </c>
      <c r="C629" s="4" t="s">
        <v>73</v>
      </c>
      <c r="D629" s="4" t="s">
        <v>266</v>
      </c>
      <c r="E629" s="4" t="s">
        <v>1588</v>
      </c>
      <c r="F629" s="4" t="e">
        <v>#VALUE!</v>
      </c>
      <c r="G629" s="4" t="e">
        <v>#VALUE!</v>
      </c>
      <c r="H629" s="4" t="s">
        <v>73</v>
      </c>
      <c r="I629" s="4" t="s">
        <v>16</v>
      </c>
    </row>
    <row r="630" spans="1:9" ht="14" customHeight="1">
      <c r="A630" s="4">
        <v>34</v>
      </c>
      <c r="B630" s="4" t="s">
        <v>1589</v>
      </c>
      <c r="C630" s="4" t="s">
        <v>73</v>
      </c>
      <c r="D630" s="4" t="s">
        <v>74</v>
      </c>
      <c r="E630" s="4" t="s">
        <v>1590</v>
      </c>
      <c r="F630" s="4" t="e">
        <v>#VALUE!</v>
      </c>
      <c r="G630" s="4" t="e">
        <v>#VALUE!</v>
      </c>
      <c r="H630" s="4" t="s">
        <v>73</v>
      </c>
      <c r="I630" s="4" t="s">
        <v>16</v>
      </c>
    </row>
    <row r="631" spans="1:9" ht="14" customHeight="1">
      <c r="A631" s="4">
        <v>33</v>
      </c>
      <c r="B631" s="4" t="s">
        <v>1591</v>
      </c>
      <c r="C631" s="4" t="s">
        <v>73</v>
      </c>
      <c r="D631" s="4" t="s">
        <v>74</v>
      </c>
      <c r="E631" s="4" t="s">
        <v>1592</v>
      </c>
      <c r="F631" s="4" t="e">
        <v>#VALUE!</v>
      </c>
      <c r="G631" s="4" t="e">
        <v>#VALUE!</v>
      </c>
      <c r="H631" s="4" t="s">
        <v>73</v>
      </c>
      <c r="I631" s="4" t="s">
        <v>16</v>
      </c>
    </row>
    <row r="632" spans="1:9" ht="14" customHeight="1">
      <c r="A632" s="4">
        <v>32</v>
      </c>
      <c r="B632" s="4" t="s">
        <v>1593</v>
      </c>
      <c r="C632" s="4" t="s">
        <v>73</v>
      </c>
      <c r="D632" s="4" t="s">
        <v>74</v>
      </c>
      <c r="E632" s="4" t="s">
        <v>1594</v>
      </c>
      <c r="F632" s="4" t="e">
        <v>#VALUE!</v>
      </c>
      <c r="G632" s="4" t="e">
        <v>#VALUE!</v>
      </c>
      <c r="H632" s="4" t="s">
        <v>73</v>
      </c>
      <c r="I632" s="4" t="s">
        <v>16</v>
      </c>
    </row>
    <row r="633" spans="1:9" ht="14" customHeight="1">
      <c r="A633" s="4">
        <v>31</v>
      </c>
      <c r="B633" s="4" t="s">
        <v>1595</v>
      </c>
      <c r="C633" s="4" t="s">
        <v>73</v>
      </c>
      <c r="D633" s="4" t="s">
        <v>78</v>
      </c>
      <c r="E633" s="4" t="s">
        <v>1596</v>
      </c>
      <c r="F633" s="4" t="e">
        <v>#VALUE!</v>
      </c>
      <c r="G633" s="4" t="e">
        <v>#VALUE!</v>
      </c>
      <c r="H633" s="4" t="s">
        <v>73</v>
      </c>
      <c r="I633" s="4" t="s">
        <v>16</v>
      </c>
    </row>
    <row r="634" spans="1:9" ht="14" customHeight="1">
      <c r="A634" s="4">
        <v>30</v>
      </c>
      <c r="B634" s="4" t="s">
        <v>1597</v>
      </c>
      <c r="C634" s="4" t="s">
        <v>73</v>
      </c>
      <c r="D634" s="4" t="s">
        <v>83</v>
      </c>
      <c r="E634" s="4" t="s">
        <v>1598</v>
      </c>
      <c r="F634" s="4" t="e">
        <v>#VALUE!</v>
      </c>
      <c r="G634" s="4" t="e">
        <v>#VALUE!</v>
      </c>
      <c r="H634" s="4" t="s">
        <v>73</v>
      </c>
      <c r="I634" s="4" t="s">
        <v>16</v>
      </c>
    </row>
    <row r="635" spans="1:9" ht="14" customHeight="1">
      <c r="A635" s="4">
        <v>29</v>
      </c>
      <c r="B635" s="4" t="s">
        <v>1599</v>
      </c>
      <c r="C635" s="4" t="s">
        <v>73</v>
      </c>
      <c r="D635" s="4" t="s">
        <v>83</v>
      </c>
      <c r="E635" s="4" t="s">
        <v>1600</v>
      </c>
      <c r="F635" s="4" t="e">
        <v>#VALUE!</v>
      </c>
      <c r="G635" s="4" t="e">
        <v>#VALUE!</v>
      </c>
      <c r="H635" s="4" t="s">
        <v>73</v>
      </c>
      <c r="I635" s="4" t="s">
        <v>16</v>
      </c>
    </row>
    <row r="636" spans="1:9" ht="14" customHeight="1">
      <c r="A636" s="4">
        <v>28</v>
      </c>
      <c r="B636" s="4" t="s">
        <v>1601</v>
      </c>
      <c r="C636" s="4" t="s">
        <v>1602</v>
      </c>
      <c r="D636" s="4" t="s">
        <v>83</v>
      </c>
      <c r="E636" s="4" t="s">
        <v>1603</v>
      </c>
      <c r="F636" s="4" t="e">
        <v>#VALUE!</v>
      </c>
      <c r="G636" s="4" t="e">
        <v>#VALUE!</v>
      </c>
      <c r="H636" s="4" t="s">
        <v>1602</v>
      </c>
      <c r="I636" s="4" t="s">
        <v>16</v>
      </c>
    </row>
    <row r="637" spans="1:9" ht="14" customHeight="1">
      <c r="A637" s="4">
        <v>27</v>
      </c>
      <c r="B637" s="4" t="s">
        <v>1604</v>
      </c>
      <c r="C637" s="4" t="s">
        <v>73</v>
      </c>
      <c r="D637" s="4" t="s">
        <v>83</v>
      </c>
      <c r="E637" s="4" t="s">
        <v>1605</v>
      </c>
      <c r="F637" s="4" t="e">
        <v>#VALUE!</v>
      </c>
      <c r="G637" s="4" t="e">
        <v>#VALUE!</v>
      </c>
      <c r="H637" s="4" t="s">
        <v>73</v>
      </c>
      <c r="I637" s="4" t="s">
        <v>16</v>
      </c>
    </row>
    <row r="638" spans="1:9" ht="14" customHeight="1">
      <c r="A638" s="4">
        <v>26</v>
      </c>
      <c r="B638" s="4" t="s">
        <v>1606</v>
      </c>
      <c r="C638" s="4" t="s">
        <v>73</v>
      </c>
      <c r="D638" s="4" t="s">
        <v>83</v>
      </c>
      <c r="E638" s="4" t="s">
        <v>1607</v>
      </c>
      <c r="F638" s="4" t="e">
        <v>#VALUE!</v>
      </c>
      <c r="G638" s="4" t="e">
        <v>#VALUE!</v>
      </c>
      <c r="H638" s="4" t="s">
        <v>73</v>
      </c>
      <c r="I638" s="4" t="s">
        <v>16</v>
      </c>
    </row>
    <row r="639" spans="1:9" ht="14" customHeight="1">
      <c r="A639" s="4">
        <v>25</v>
      </c>
      <c r="B639" s="4" t="s">
        <v>1608</v>
      </c>
      <c r="C639" s="4" t="s">
        <v>73</v>
      </c>
      <c r="D639" s="4" t="s">
        <v>83</v>
      </c>
      <c r="E639" s="4" t="s">
        <v>1609</v>
      </c>
      <c r="F639" s="4" t="e">
        <v>#VALUE!</v>
      </c>
      <c r="G639" s="4" t="e">
        <v>#VALUE!</v>
      </c>
      <c r="H639" s="4" t="s">
        <v>73</v>
      </c>
      <c r="I639" s="4" t="s">
        <v>16</v>
      </c>
    </row>
    <row r="640" spans="1:9" ht="14" customHeight="1">
      <c r="A640" s="4">
        <v>24</v>
      </c>
      <c r="B640" s="4" t="s">
        <v>1610</v>
      </c>
      <c r="C640" s="4" t="s">
        <v>73</v>
      </c>
      <c r="D640" s="4" t="s">
        <v>89</v>
      </c>
      <c r="E640" s="4" t="s">
        <v>1611</v>
      </c>
      <c r="F640" s="4" t="e">
        <v>#VALUE!</v>
      </c>
      <c r="G640" s="4" t="e">
        <v>#VALUE!</v>
      </c>
      <c r="H640" s="4" t="s">
        <v>73</v>
      </c>
      <c r="I640" s="4" t="s">
        <v>16</v>
      </c>
    </row>
    <row r="641" spans="1:9" ht="14" customHeight="1">
      <c r="A641" s="4">
        <v>23</v>
      </c>
      <c r="B641" s="4" t="s">
        <v>1612</v>
      </c>
      <c r="C641" s="4" t="s">
        <v>73</v>
      </c>
      <c r="D641" s="4" t="s">
        <v>320</v>
      </c>
      <c r="E641" s="4" t="s">
        <v>1613</v>
      </c>
      <c r="F641" s="4" t="e">
        <v>#VALUE!</v>
      </c>
      <c r="G641" s="4" t="e">
        <v>#VALUE!</v>
      </c>
      <c r="H641" s="4" t="s">
        <v>73</v>
      </c>
      <c r="I641" s="4" t="s">
        <v>16</v>
      </c>
    </row>
    <row r="642" spans="1:9" ht="14" customHeight="1">
      <c r="A642" s="4">
        <v>22</v>
      </c>
      <c r="B642" s="4" t="s">
        <v>1614</v>
      </c>
      <c r="C642" s="4" t="s">
        <v>73</v>
      </c>
      <c r="D642" s="4" t="s">
        <v>345</v>
      </c>
      <c r="E642" s="4" t="s">
        <v>1615</v>
      </c>
      <c r="F642" s="4" t="e">
        <v>#VALUE!</v>
      </c>
      <c r="G642" s="4" t="e">
        <v>#VALUE!</v>
      </c>
      <c r="H642" s="4" t="s">
        <v>73</v>
      </c>
      <c r="I642" s="4" t="s">
        <v>16</v>
      </c>
    </row>
    <row r="643" spans="1:9" ht="14" customHeight="1">
      <c r="A643" s="4">
        <v>21</v>
      </c>
      <c r="B643" s="4" t="s">
        <v>1616</v>
      </c>
      <c r="C643" s="4" t="s">
        <v>73</v>
      </c>
      <c r="D643" s="4" t="s">
        <v>345</v>
      </c>
      <c r="E643" s="4" t="s">
        <v>1617</v>
      </c>
      <c r="F643" s="4" t="e">
        <v>#VALUE!</v>
      </c>
      <c r="G643" s="4" t="e">
        <v>#VALUE!</v>
      </c>
      <c r="H643" s="4" t="s">
        <v>73</v>
      </c>
      <c r="I643" s="4" t="s">
        <v>16</v>
      </c>
    </row>
    <row r="644" spans="1:9" ht="14" customHeight="1">
      <c r="A644" s="4">
        <v>20</v>
      </c>
      <c r="B644" s="4" t="s">
        <v>1618</v>
      </c>
      <c r="C644" s="4" t="s">
        <v>73</v>
      </c>
      <c r="D644" s="4" t="s">
        <v>345</v>
      </c>
      <c r="E644" s="4" t="s">
        <v>1619</v>
      </c>
      <c r="F644" s="4" t="e">
        <v>#VALUE!</v>
      </c>
      <c r="G644" s="4" t="e">
        <v>#VALUE!</v>
      </c>
      <c r="H644" s="4" t="s">
        <v>73</v>
      </c>
      <c r="I644" s="4" t="s">
        <v>16</v>
      </c>
    </row>
    <row r="645" spans="1:9" ht="14" customHeight="1">
      <c r="A645" s="4">
        <v>19</v>
      </c>
      <c r="B645" s="4" t="s">
        <v>1620</v>
      </c>
      <c r="C645" s="4" t="s">
        <v>73</v>
      </c>
      <c r="D645" s="4" t="s">
        <v>345</v>
      </c>
      <c r="E645" s="4" t="s">
        <v>1621</v>
      </c>
      <c r="F645" s="4" t="e">
        <v>#VALUE!</v>
      </c>
      <c r="G645" s="4" t="e">
        <v>#VALUE!</v>
      </c>
      <c r="H645" s="4" t="s">
        <v>73</v>
      </c>
      <c r="I645" s="4" t="s">
        <v>16</v>
      </c>
    </row>
    <row r="646" spans="1:9" ht="14" customHeight="1">
      <c r="A646" s="4">
        <v>18</v>
      </c>
      <c r="B646" s="4" t="s">
        <v>1622</v>
      </c>
      <c r="C646" s="4" t="s">
        <v>73</v>
      </c>
      <c r="D646" s="4" t="s">
        <v>345</v>
      </c>
      <c r="E646" s="4" t="s">
        <v>1623</v>
      </c>
      <c r="F646" s="4" t="e">
        <v>#VALUE!</v>
      </c>
      <c r="G646" s="4" t="e">
        <v>#VALUE!</v>
      </c>
      <c r="H646" s="4" t="s">
        <v>73</v>
      </c>
      <c r="I646" s="4" t="s">
        <v>16</v>
      </c>
    </row>
    <row r="647" spans="1:9" ht="14" customHeight="1">
      <c r="A647" s="4">
        <v>17</v>
      </c>
      <c r="B647" s="4" t="s">
        <v>1624</v>
      </c>
      <c r="C647" s="4" t="s">
        <v>73</v>
      </c>
      <c r="D647" s="4" t="s">
        <v>331</v>
      </c>
      <c r="E647" s="4" t="s">
        <v>1625</v>
      </c>
      <c r="F647" s="4" t="e">
        <v>#VALUE!</v>
      </c>
      <c r="G647" s="4" t="e">
        <v>#VALUE!</v>
      </c>
      <c r="H647" s="4" t="s">
        <v>73</v>
      </c>
      <c r="I647" s="4" t="s">
        <v>16</v>
      </c>
    </row>
    <row r="648" spans="1:9" ht="14" customHeight="1">
      <c r="A648" s="4">
        <v>16</v>
      </c>
      <c r="B648" s="4" t="s">
        <v>1626</v>
      </c>
      <c r="C648" s="4" t="s">
        <v>73</v>
      </c>
      <c r="D648" s="4" t="s">
        <v>331</v>
      </c>
      <c r="E648" s="4" t="s">
        <v>1627</v>
      </c>
      <c r="F648" s="4" t="e">
        <v>#VALUE!</v>
      </c>
      <c r="G648" s="4" t="e">
        <v>#VALUE!</v>
      </c>
      <c r="H648" s="4" t="s">
        <v>73</v>
      </c>
      <c r="I648" s="4" t="s">
        <v>16</v>
      </c>
    </row>
    <row r="649" spans="1:9" ht="14" customHeight="1">
      <c r="A649" s="4">
        <v>15</v>
      </c>
      <c r="B649" s="4" t="s">
        <v>1628</v>
      </c>
      <c r="C649" s="4" t="s">
        <v>73</v>
      </c>
      <c r="D649" s="4" t="s">
        <v>1402</v>
      </c>
      <c r="E649" s="4" t="s">
        <v>1629</v>
      </c>
      <c r="F649" s="4" t="e">
        <v>#VALUE!</v>
      </c>
      <c r="G649" s="4" t="e">
        <v>#VALUE!</v>
      </c>
      <c r="H649" s="4" t="s">
        <v>73</v>
      </c>
      <c r="I649" s="4" t="s">
        <v>16</v>
      </c>
    </row>
    <row r="650" spans="1:9" ht="14" customHeight="1">
      <c r="A650" s="4">
        <v>14</v>
      </c>
      <c r="B650" s="4" t="s">
        <v>1630</v>
      </c>
      <c r="C650" s="4" t="s">
        <v>73</v>
      </c>
      <c r="D650" s="4" t="s">
        <v>1402</v>
      </c>
      <c r="E650" s="4" t="s">
        <v>1631</v>
      </c>
      <c r="F650" s="4" t="e">
        <v>#VALUE!</v>
      </c>
      <c r="G650" s="4" t="e">
        <v>#VALUE!</v>
      </c>
      <c r="H650" s="4" t="s">
        <v>73</v>
      </c>
      <c r="I650" s="4" t="s">
        <v>16</v>
      </c>
    </row>
    <row r="651" spans="1:9" ht="14" customHeight="1">
      <c r="A651" s="4">
        <v>13</v>
      </c>
      <c r="B651" s="4" t="s">
        <v>1632</v>
      </c>
      <c r="C651" s="4" t="s">
        <v>73</v>
      </c>
      <c r="D651" s="4" t="s">
        <v>1402</v>
      </c>
      <c r="E651" s="4" t="s">
        <v>1633</v>
      </c>
      <c r="F651" s="4" t="e">
        <v>#VALUE!</v>
      </c>
      <c r="G651" s="4" t="e">
        <v>#VALUE!</v>
      </c>
      <c r="H651" s="4" t="s">
        <v>73</v>
      </c>
      <c r="I651" s="4" t="s">
        <v>16</v>
      </c>
    </row>
    <row r="652" spans="1:9" ht="14" customHeight="1">
      <c r="A652" s="4">
        <v>12</v>
      </c>
      <c r="B652" s="4" t="s">
        <v>1634</v>
      </c>
      <c r="C652" s="4" t="s">
        <v>73</v>
      </c>
      <c r="D652" s="4" t="s">
        <v>1402</v>
      </c>
      <c r="E652" s="4" t="s">
        <v>1635</v>
      </c>
      <c r="F652" s="4" t="e">
        <v>#VALUE!</v>
      </c>
      <c r="G652" s="4" t="e">
        <v>#VALUE!</v>
      </c>
      <c r="H652" s="4" t="s">
        <v>73</v>
      </c>
      <c r="I652" s="4" t="s">
        <v>16</v>
      </c>
    </row>
    <row r="653" spans="1:9" ht="14" customHeight="1">
      <c r="A653" s="4">
        <v>11</v>
      </c>
      <c r="B653" s="4" t="s">
        <v>1636</v>
      </c>
      <c r="C653" s="4" t="s">
        <v>73</v>
      </c>
      <c r="D653" s="4" t="s">
        <v>1402</v>
      </c>
      <c r="E653" s="4" t="s">
        <v>1637</v>
      </c>
      <c r="F653" s="4" t="e">
        <v>#VALUE!</v>
      </c>
      <c r="G653" s="4" t="e">
        <v>#VALUE!</v>
      </c>
      <c r="H653" s="4" t="s">
        <v>73</v>
      </c>
      <c r="I653" s="4" t="s">
        <v>16</v>
      </c>
    </row>
    <row r="654" spans="1:9" ht="14" customHeight="1">
      <c r="A654" s="4">
        <v>10</v>
      </c>
      <c r="B654" s="4" t="s">
        <v>1638</v>
      </c>
      <c r="C654" s="4" t="s">
        <v>73</v>
      </c>
      <c r="D654" s="4" t="s">
        <v>865</v>
      </c>
      <c r="E654" s="4" t="s">
        <v>1639</v>
      </c>
      <c r="F654" s="4" t="e">
        <v>#VALUE!</v>
      </c>
      <c r="G654" s="4" t="e">
        <v>#VALUE!</v>
      </c>
      <c r="H654" s="4" t="s">
        <v>73</v>
      </c>
      <c r="I654" s="4" t="s">
        <v>16</v>
      </c>
    </row>
    <row r="655" spans="1:9" ht="14" customHeight="1">
      <c r="A655" s="4">
        <v>9</v>
      </c>
      <c r="B655" s="4" t="s">
        <v>1640</v>
      </c>
      <c r="C655" s="4" t="s">
        <v>73</v>
      </c>
      <c r="D655" s="4" t="s">
        <v>865</v>
      </c>
      <c r="E655" s="4" t="s">
        <v>1641</v>
      </c>
      <c r="F655" s="4" t="e">
        <v>#VALUE!</v>
      </c>
      <c r="G655" s="4" t="e">
        <v>#VALUE!</v>
      </c>
      <c r="H655" s="4" t="s">
        <v>73</v>
      </c>
      <c r="I655" s="4" t="s">
        <v>16</v>
      </c>
    </row>
    <row r="656" spans="1:9" ht="14" customHeight="1">
      <c r="A656" s="4">
        <v>8</v>
      </c>
      <c r="B656" s="4" t="s">
        <v>1642</v>
      </c>
      <c r="C656" s="4" t="s">
        <v>73</v>
      </c>
      <c r="D656" s="4" t="s">
        <v>865</v>
      </c>
      <c r="E656" s="4" t="s">
        <v>1643</v>
      </c>
      <c r="F656" s="4" t="e">
        <v>#VALUE!</v>
      </c>
      <c r="G656" s="4" t="e">
        <v>#VALUE!</v>
      </c>
      <c r="H656" s="4" t="s">
        <v>73</v>
      </c>
      <c r="I656" s="4" t="s">
        <v>16</v>
      </c>
    </row>
    <row r="657" spans="1:9" ht="14" customHeight="1">
      <c r="A657" s="4">
        <v>7</v>
      </c>
      <c r="B657" s="4" t="s">
        <v>1644</v>
      </c>
      <c r="C657" s="4" t="s">
        <v>73</v>
      </c>
      <c r="D657" s="4" t="s">
        <v>865</v>
      </c>
      <c r="E657" s="4" t="e">
        <v>#VALUE!</v>
      </c>
      <c r="F657" s="4" t="e">
        <v>#VALUE!</v>
      </c>
      <c r="G657" s="4" t="e">
        <v>#VALUE!</v>
      </c>
      <c r="H657" s="4" t="s">
        <v>73</v>
      </c>
      <c r="I657" s="4" t="s">
        <v>16</v>
      </c>
    </row>
    <row r="658" spans="1:9" ht="14" customHeight="1">
      <c r="A658" s="4">
        <v>6</v>
      </c>
      <c r="B658" s="4" t="s">
        <v>1645</v>
      </c>
      <c r="C658" s="4" t="s">
        <v>73</v>
      </c>
      <c r="D658" s="4" t="s">
        <v>865</v>
      </c>
      <c r="E658" s="4" t="s">
        <v>1646</v>
      </c>
      <c r="F658" s="4" t="e">
        <v>#VALUE!</v>
      </c>
      <c r="G658" s="4" t="e">
        <v>#VALUE!</v>
      </c>
      <c r="H658" s="4" t="s">
        <v>73</v>
      </c>
      <c r="I658" s="4" t="s">
        <v>16</v>
      </c>
    </row>
    <row r="659" spans="1:9" ht="14" customHeight="1">
      <c r="A659" s="4">
        <v>5</v>
      </c>
      <c r="B659" s="4" t="s">
        <v>1647</v>
      </c>
      <c r="C659" s="4" t="s">
        <v>73</v>
      </c>
      <c r="D659" s="4" t="s">
        <v>350</v>
      </c>
      <c r="E659" s="4" t="s">
        <v>1648</v>
      </c>
      <c r="F659" s="4" t="e">
        <v>#VALUE!</v>
      </c>
      <c r="G659" s="4" t="e">
        <v>#VALUE!</v>
      </c>
      <c r="H659" s="4" t="s">
        <v>73</v>
      </c>
      <c r="I659" s="4" t="s">
        <v>16</v>
      </c>
    </row>
    <row r="660" spans="1:9" ht="14" customHeight="1">
      <c r="A660" s="4">
        <v>4</v>
      </c>
      <c r="B660" s="4" t="s">
        <v>1649</v>
      </c>
      <c r="C660" s="4" t="s">
        <v>73</v>
      </c>
      <c r="D660" s="4" t="s">
        <v>1650</v>
      </c>
      <c r="E660" s="4" t="s">
        <v>1651</v>
      </c>
      <c r="F660" s="4" t="e">
        <v>#VALUE!</v>
      </c>
      <c r="G660" s="4" t="e">
        <v>#VALUE!</v>
      </c>
      <c r="H660" s="4" t="s">
        <v>73</v>
      </c>
      <c r="I660" s="4" t="s">
        <v>16</v>
      </c>
    </row>
    <row r="661" spans="1:9" ht="14" customHeight="1">
      <c r="A661" s="4">
        <v>3</v>
      </c>
      <c r="B661" s="4" t="s">
        <v>1652</v>
      </c>
    </row>
    <row r="662" spans="1:9" ht="14" customHeight="1">
      <c r="A662" s="4">
        <v>2</v>
      </c>
      <c r="B662" s="4" t="s">
        <v>1653</v>
      </c>
    </row>
    <row r="663" spans="1:9" ht="14" customHeight="1">
      <c r="A663" s="4">
        <v>1</v>
      </c>
      <c r="B663" s="4" t="s">
        <v>1654</v>
      </c>
    </row>
    <row r="664" spans="1:9" ht="14" customHeight="1">
      <c r="A664" s="4" t="s">
        <v>6</v>
      </c>
      <c r="B664" s="4" t="s">
        <v>1126</v>
      </c>
    </row>
  </sheetData>
  <mergeCells count="1">
    <mergeCell ref="I2:K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98EF-E2F2-4DCF-8AF5-A89A485BCE1D}">
  <dimension ref="A1:I664"/>
  <sheetViews>
    <sheetView tabSelected="1" workbookViewId="0">
      <selection sqref="A1:XFD1048576"/>
    </sheetView>
  </sheetViews>
  <sheetFormatPr defaultColWidth="5.7265625" defaultRowHeight="12.5"/>
  <cols>
    <col min="1" max="1" width="63" style="10" customWidth="1"/>
    <col min="2" max="2" width="7.81640625" style="10" customWidth="1"/>
    <col min="3" max="3" width="32.90625" style="10" customWidth="1"/>
    <col min="4" max="7" width="11.54296875" style="10" customWidth="1"/>
    <col min="8" max="16384" width="5.7265625" style="4"/>
  </cols>
  <sheetData>
    <row r="1" spans="1:7" s="5" customFormat="1" ht="14" customHeight="1">
      <c r="A1" s="8" t="s">
        <v>7</v>
      </c>
      <c r="B1" s="8"/>
      <c r="C1" s="8"/>
      <c r="D1" s="8"/>
      <c r="E1" s="8"/>
      <c r="F1" s="8"/>
      <c r="G1" s="8"/>
    </row>
    <row r="2" spans="1:7" s="5" customFormat="1" ht="14" customHeight="1">
      <c r="A2" s="8" t="s">
        <v>9</v>
      </c>
      <c r="B2" s="8" t="s">
        <v>1656</v>
      </c>
      <c r="C2" s="8" t="s">
        <v>1657</v>
      </c>
      <c r="D2" s="9" t="s">
        <v>1658</v>
      </c>
      <c r="E2" s="9"/>
      <c r="F2" s="9"/>
      <c r="G2" s="8"/>
    </row>
    <row r="3" spans="1:7" ht="14" customHeight="1">
      <c r="A3" s="10" t="s">
        <v>10</v>
      </c>
      <c r="B3" s="10" t="s">
        <v>12</v>
      </c>
      <c r="C3" s="11" t="s">
        <v>13</v>
      </c>
      <c r="D3" s="10" t="s">
        <v>16</v>
      </c>
      <c r="E3" s="10" t="s">
        <v>17</v>
      </c>
    </row>
    <row r="4" spans="1:7" ht="14" customHeight="1">
      <c r="A4" s="10" t="s">
        <v>18</v>
      </c>
      <c r="B4" s="10" t="s">
        <v>12</v>
      </c>
      <c r="C4" s="10" t="s">
        <v>19</v>
      </c>
      <c r="D4" s="10" t="s">
        <v>16</v>
      </c>
      <c r="E4" s="10" t="s">
        <v>17</v>
      </c>
    </row>
    <row r="5" spans="1:7" ht="14" customHeight="1">
      <c r="A5" s="10" t="s">
        <v>21</v>
      </c>
      <c r="B5" s="10" t="s">
        <v>23</v>
      </c>
      <c r="C5" s="10" t="s">
        <v>24</v>
      </c>
      <c r="D5" s="10" t="s">
        <v>16</v>
      </c>
      <c r="E5" s="10" t="s">
        <v>17</v>
      </c>
    </row>
    <row r="6" spans="1:7" ht="14" customHeight="1">
      <c r="A6" s="10" t="s">
        <v>26</v>
      </c>
      <c r="B6" s="10" t="s">
        <v>23</v>
      </c>
      <c r="C6" s="10" t="s">
        <v>28</v>
      </c>
      <c r="D6" s="10" t="s">
        <v>16</v>
      </c>
      <c r="E6" s="10" t="s">
        <v>17</v>
      </c>
    </row>
    <row r="7" spans="1:7" ht="14" customHeight="1">
      <c r="A7" s="10" t="s">
        <v>30</v>
      </c>
      <c r="B7" s="10" t="s">
        <v>23</v>
      </c>
      <c r="C7" s="10" t="s">
        <v>32</v>
      </c>
      <c r="D7" s="10" t="s">
        <v>16</v>
      </c>
      <c r="E7" s="10" t="s">
        <v>17</v>
      </c>
    </row>
    <row r="8" spans="1:7" ht="14" customHeight="1">
      <c r="A8" s="10" t="s">
        <v>34</v>
      </c>
      <c r="B8" s="10" t="s">
        <v>23</v>
      </c>
      <c r="C8" s="10" t="s">
        <v>36</v>
      </c>
      <c r="D8" s="10" t="s">
        <v>16</v>
      </c>
      <c r="E8" s="10" t="s">
        <v>39</v>
      </c>
      <c r="F8" s="10" t="s">
        <v>17</v>
      </c>
    </row>
    <row r="9" spans="1:7" ht="14" customHeight="1">
      <c r="A9" s="10" t="s">
        <v>40</v>
      </c>
      <c r="B9" s="10" t="s">
        <v>23</v>
      </c>
      <c r="C9" s="10" t="s">
        <v>42</v>
      </c>
      <c r="D9" s="10" t="s">
        <v>16</v>
      </c>
    </row>
    <row r="10" spans="1:7" ht="14" customHeight="1">
      <c r="A10" s="10" t="s">
        <v>44</v>
      </c>
      <c r="B10" s="10" t="s">
        <v>45</v>
      </c>
      <c r="C10" s="10" t="s">
        <v>46</v>
      </c>
      <c r="D10" s="10" t="s">
        <v>16</v>
      </c>
      <c r="E10" s="10" t="s">
        <v>39</v>
      </c>
      <c r="F10" s="10" t="s">
        <v>17</v>
      </c>
    </row>
    <row r="11" spans="1:7" ht="14" customHeight="1">
      <c r="A11" s="10" t="s">
        <v>47</v>
      </c>
      <c r="B11" s="10" t="s">
        <v>45</v>
      </c>
      <c r="C11" s="10" t="s">
        <v>42</v>
      </c>
      <c r="D11" s="10" t="s">
        <v>16</v>
      </c>
      <c r="E11" s="10" t="s">
        <v>17</v>
      </c>
    </row>
    <row r="12" spans="1:7" ht="14" customHeight="1">
      <c r="A12" s="10" t="s">
        <v>51</v>
      </c>
      <c r="B12" s="10" t="s">
        <v>53</v>
      </c>
      <c r="C12" s="10" t="s">
        <v>54</v>
      </c>
      <c r="D12" s="10" t="s">
        <v>16</v>
      </c>
      <c r="E12" s="10" t="s">
        <v>56</v>
      </c>
      <c r="F12" s="10" t="s">
        <v>17</v>
      </c>
    </row>
    <row r="13" spans="1:7" ht="14" customHeight="1">
      <c r="A13" s="10" t="s">
        <v>57</v>
      </c>
      <c r="B13" s="10" t="s">
        <v>53</v>
      </c>
      <c r="C13" s="10" t="s">
        <v>59</v>
      </c>
      <c r="D13" s="10" t="s">
        <v>16</v>
      </c>
    </row>
    <row r="14" spans="1:7" ht="14" customHeight="1">
      <c r="A14" s="10" t="s">
        <v>61</v>
      </c>
      <c r="B14" s="10" t="s">
        <v>62</v>
      </c>
      <c r="C14" s="10" t="s">
        <v>63</v>
      </c>
      <c r="D14" s="10" t="s">
        <v>16</v>
      </c>
      <c r="E14" s="10" t="s">
        <v>39</v>
      </c>
      <c r="F14" s="10" t="s">
        <v>17</v>
      </c>
    </row>
    <row r="15" spans="1:7" ht="14" customHeight="1">
      <c r="A15" s="10" t="s">
        <v>65</v>
      </c>
      <c r="B15" s="10" t="s">
        <v>67</v>
      </c>
      <c r="C15" s="10" t="s">
        <v>68</v>
      </c>
      <c r="D15" s="10" t="s">
        <v>16</v>
      </c>
      <c r="E15" s="10" t="s">
        <v>70</v>
      </c>
      <c r="F15" s="10" t="s">
        <v>71</v>
      </c>
      <c r="G15" s="10" t="s">
        <v>17</v>
      </c>
    </row>
    <row r="16" spans="1:7" ht="14" customHeight="1">
      <c r="A16" s="10" t="s">
        <v>72</v>
      </c>
      <c r="B16" s="10" t="s">
        <v>74</v>
      </c>
      <c r="C16" s="10" t="s">
        <v>75</v>
      </c>
      <c r="D16" s="10" t="s">
        <v>16</v>
      </c>
    </row>
    <row r="17" spans="1:7" ht="14" customHeight="1">
      <c r="A17" s="10" t="s">
        <v>77</v>
      </c>
      <c r="B17" s="10" t="s">
        <v>78</v>
      </c>
      <c r="C17" s="10" t="s">
        <v>79</v>
      </c>
      <c r="D17" s="10" t="s">
        <v>16</v>
      </c>
    </row>
    <row r="18" spans="1:7" ht="14" customHeight="1">
      <c r="A18" s="10" t="s">
        <v>81</v>
      </c>
      <c r="B18" s="10" t="s">
        <v>83</v>
      </c>
      <c r="C18" s="10" t="s">
        <v>84</v>
      </c>
      <c r="D18" s="10" t="s">
        <v>16</v>
      </c>
      <c r="E18" s="10" t="s">
        <v>86</v>
      </c>
    </row>
    <row r="19" spans="1:7" ht="14" customHeight="1">
      <c r="A19" s="10" t="s">
        <v>87</v>
      </c>
      <c r="B19" s="10" t="s">
        <v>89</v>
      </c>
      <c r="C19" s="10" t="s">
        <v>90</v>
      </c>
      <c r="D19" s="10" t="s">
        <v>16</v>
      </c>
      <c r="E19" s="10" t="s">
        <v>17</v>
      </c>
      <c r="F19" s="10" t="s">
        <v>86</v>
      </c>
    </row>
    <row r="20" spans="1:7" ht="14" customHeight="1">
      <c r="A20" s="10" t="s">
        <v>92</v>
      </c>
      <c r="B20" s="10" t="s">
        <v>89</v>
      </c>
      <c r="C20" s="10" t="s">
        <v>93</v>
      </c>
      <c r="D20" s="10" t="s">
        <v>16</v>
      </c>
    </row>
    <row r="21" spans="1:7" ht="14" customHeight="1">
      <c r="A21" s="10" t="s">
        <v>94</v>
      </c>
      <c r="B21" s="10" t="s">
        <v>89</v>
      </c>
      <c r="C21" s="10" t="s">
        <v>96</v>
      </c>
      <c r="D21" s="10" t="s">
        <v>16</v>
      </c>
      <c r="E21" s="10" t="s">
        <v>71</v>
      </c>
    </row>
    <row r="22" spans="1:7" ht="14" customHeight="1">
      <c r="A22" s="10" t="s">
        <v>98</v>
      </c>
      <c r="B22" s="10" t="s">
        <v>99</v>
      </c>
      <c r="C22" s="10" t="s">
        <v>100</v>
      </c>
      <c r="D22" s="10" t="s">
        <v>16</v>
      </c>
    </row>
    <row r="23" spans="1:7" s="5" customFormat="1" ht="14" customHeight="1">
      <c r="A23" s="8" t="s">
        <v>101</v>
      </c>
      <c r="B23" s="8" t="e">
        <v>#VALUE!</v>
      </c>
      <c r="C23" s="8" t="e">
        <v>#VALUE!</v>
      </c>
      <c r="D23" s="8" t="s">
        <v>16</v>
      </c>
      <c r="E23" s="8"/>
      <c r="F23" s="8"/>
      <c r="G23" s="8"/>
    </row>
    <row r="24" spans="1:7" ht="14" customHeight="1">
      <c r="A24" s="10" t="s">
        <v>102</v>
      </c>
      <c r="B24" s="10" t="s">
        <v>104</v>
      </c>
      <c r="C24" s="10" t="s">
        <v>105</v>
      </c>
      <c r="D24" s="10" t="s">
        <v>16</v>
      </c>
    </row>
    <row r="25" spans="1:7" ht="14" customHeight="1">
      <c r="A25" s="10" t="s">
        <v>107</v>
      </c>
      <c r="B25" s="10" t="s">
        <v>104</v>
      </c>
      <c r="C25" s="10" t="s">
        <v>109</v>
      </c>
      <c r="D25" s="10" t="s">
        <v>16</v>
      </c>
    </row>
    <row r="26" spans="1:7" ht="14" customHeight="1">
      <c r="A26" s="10" t="s">
        <v>110</v>
      </c>
      <c r="B26" s="10" t="s">
        <v>104</v>
      </c>
      <c r="C26" s="10" t="s">
        <v>111</v>
      </c>
      <c r="D26" s="10" t="s">
        <v>16</v>
      </c>
    </row>
    <row r="27" spans="1:7" ht="14" customHeight="1">
      <c r="A27" s="10" t="s">
        <v>113</v>
      </c>
      <c r="B27" s="10" t="s">
        <v>12</v>
      </c>
      <c r="C27" s="10" t="s">
        <v>114</v>
      </c>
      <c r="D27" s="10" t="s">
        <v>16</v>
      </c>
    </row>
    <row r="28" spans="1:7" ht="14" customHeight="1">
      <c r="A28" s="10" t="s">
        <v>116</v>
      </c>
      <c r="B28" s="10" t="s">
        <v>12</v>
      </c>
      <c r="C28" s="10" t="s">
        <v>118</v>
      </c>
      <c r="D28" s="10" t="s">
        <v>16</v>
      </c>
      <c r="E28" s="10" t="s">
        <v>120</v>
      </c>
      <c r="F28" s="10" t="s">
        <v>121</v>
      </c>
      <c r="G28" s="10" t="s">
        <v>17</v>
      </c>
    </row>
    <row r="29" spans="1:7" ht="14" customHeight="1">
      <c r="A29" s="10" t="s">
        <v>122</v>
      </c>
      <c r="B29" s="10" t="s">
        <v>12</v>
      </c>
      <c r="C29" s="10" t="s">
        <v>124</v>
      </c>
      <c r="D29" s="10" t="s">
        <v>16</v>
      </c>
      <c r="E29" s="10" t="s">
        <v>126</v>
      </c>
      <c r="F29" s="10" t="s">
        <v>127</v>
      </c>
      <c r="G29" s="10" t="s">
        <v>128</v>
      </c>
    </row>
    <row r="30" spans="1:7" ht="14" customHeight="1">
      <c r="A30" s="10" t="s">
        <v>129</v>
      </c>
      <c r="B30" s="10" t="s">
        <v>131</v>
      </c>
      <c r="C30" s="10" t="s">
        <v>132</v>
      </c>
      <c r="D30" s="10" t="s">
        <v>16</v>
      </c>
    </row>
    <row r="31" spans="1:7" ht="14" customHeight="1">
      <c r="A31" s="10" t="s">
        <v>134</v>
      </c>
      <c r="B31" s="10" t="s">
        <v>131</v>
      </c>
      <c r="C31" s="10" t="s">
        <v>136</v>
      </c>
      <c r="D31" s="10" t="s">
        <v>16</v>
      </c>
      <c r="E31" s="10" t="s">
        <v>17</v>
      </c>
    </row>
    <row r="32" spans="1:7" ht="14" customHeight="1">
      <c r="A32" s="10" t="s">
        <v>139</v>
      </c>
      <c r="B32" s="10" t="s">
        <v>131</v>
      </c>
      <c r="C32" s="10" t="s">
        <v>141</v>
      </c>
      <c r="D32" s="10" t="s">
        <v>16</v>
      </c>
      <c r="E32" s="10" t="s">
        <v>17</v>
      </c>
    </row>
    <row r="33" spans="1:6" ht="14" customHeight="1">
      <c r="A33" s="10" t="s">
        <v>143</v>
      </c>
      <c r="B33" s="10" t="s">
        <v>131</v>
      </c>
      <c r="C33" s="10" t="s">
        <v>145</v>
      </c>
      <c r="D33" s="10" t="s">
        <v>16</v>
      </c>
      <c r="E33" s="10" t="s">
        <v>17</v>
      </c>
      <c r="F33" s="10" t="s">
        <v>147</v>
      </c>
    </row>
    <row r="34" spans="1:6" ht="14" customHeight="1">
      <c r="A34" s="10" t="s">
        <v>148</v>
      </c>
      <c r="B34" s="10" t="s">
        <v>131</v>
      </c>
      <c r="C34" s="10" t="s">
        <v>150</v>
      </c>
      <c r="D34" s="10" t="s">
        <v>16</v>
      </c>
      <c r="E34" s="10" t="s">
        <v>151</v>
      </c>
    </row>
    <row r="35" spans="1:6" ht="14" customHeight="1">
      <c r="A35" s="10" t="s">
        <v>152</v>
      </c>
      <c r="B35" s="10" t="s">
        <v>131</v>
      </c>
      <c r="C35" s="10" t="s">
        <v>154</v>
      </c>
      <c r="D35" s="10" t="s">
        <v>16</v>
      </c>
      <c r="E35" s="10" t="s">
        <v>155</v>
      </c>
    </row>
    <row r="36" spans="1:6" ht="14" customHeight="1">
      <c r="A36" s="10" t="s">
        <v>156</v>
      </c>
      <c r="B36" s="10" t="s">
        <v>131</v>
      </c>
      <c r="C36" s="10" t="s">
        <v>158</v>
      </c>
      <c r="D36" s="10" t="s">
        <v>16</v>
      </c>
    </row>
    <row r="37" spans="1:6" ht="14" customHeight="1">
      <c r="A37" s="10" t="s">
        <v>159</v>
      </c>
      <c r="B37" s="10" t="s">
        <v>131</v>
      </c>
      <c r="C37" s="10" t="s">
        <v>161</v>
      </c>
      <c r="D37" s="10" t="s">
        <v>16</v>
      </c>
    </row>
    <row r="38" spans="1:6" ht="14" customHeight="1">
      <c r="A38" s="10" t="s">
        <v>163</v>
      </c>
      <c r="B38" s="10" t="s">
        <v>131</v>
      </c>
      <c r="C38" s="10" t="s">
        <v>165</v>
      </c>
      <c r="D38" s="10" t="s">
        <v>16</v>
      </c>
    </row>
    <row r="39" spans="1:6" ht="14" customHeight="1">
      <c r="A39" s="10" t="s">
        <v>166</v>
      </c>
      <c r="B39" s="10" t="s">
        <v>131</v>
      </c>
      <c r="C39" s="10" t="s">
        <v>168</v>
      </c>
      <c r="D39" s="10" t="s">
        <v>16</v>
      </c>
    </row>
    <row r="40" spans="1:6" ht="14" customHeight="1">
      <c r="A40" s="10" t="s">
        <v>169</v>
      </c>
      <c r="B40" s="10" t="s">
        <v>131</v>
      </c>
      <c r="C40" s="10" t="s">
        <v>171</v>
      </c>
      <c r="D40" s="10" t="s">
        <v>16</v>
      </c>
    </row>
    <row r="41" spans="1:6" ht="14" customHeight="1">
      <c r="A41" s="10" t="s">
        <v>172</v>
      </c>
      <c r="B41" s="10" t="s">
        <v>131</v>
      </c>
      <c r="C41" s="10" t="s">
        <v>174</v>
      </c>
      <c r="D41" s="10" t="s">
        <v>16</v>
      </c>
    </row>
    <row r="42" spans="1:6" ht="14" customHeight="1">
      <c r="A42" s="10" t="s">
        <v>175</v>
      </c>
      <c r="B42" s="10" t="s">
        <v>131</v>
      </c>
      <c r="C42" s="10" t="s">
        <v>177</v>
      </c>
      <c r="D42" s="10" t="s">
        <v>16</v>
      </c>
    </row>
    <row r="43" spans="1:6" ht="14" customHeight="1">
      <c r="A43" s="10" t="s">
        <v>178</v>
      </c>
      <c r="B43" s="10" t="s">
        <v>131</v>
      </c>
      <c r="C43" s="10" t="s">
        <v>179</v>
      </c>
      <c r="D43" s="10" t="s">
        <v>16</v>
      </c>
    </row>
    <row r="44" spans="1:6" ht="14" customHeight="1">
      <c r="A44" s="10" t="s">
        <v>180</v>
      </c>
      <c r="B44" s="10" t="s">
        <v>131</v>
      </c>
      <c r="C44" s="10" t="s">
        <v>181</v>
      </c>
      <c r="D44" s="10" t="s">
        <v>16</v>
      </c>
    </row>
    <row r="45" spans="1:6" ht="14" customHeight="1">
      <c r="A45" s="10" t="s">
        <v>183</v>
      </c>
      <c r="B45" s="10" t="s">
        <v>131</v>
      </c>
      <c r="C45" s="10" t="s">
        <v>185</v>
      </c>
      <c r="D45" s="10" t="s">
        <v>16</v>
      </c>
    </row>
    <row r="46" spans="1:6" ht="14" customHeight="1">
      <c r="A46" s="10" t="s">
        <v>186</v>
      </c>
      <c r="B46" s="10" t="s">
        <v>131</v>
      </c>
      <c r="C46" s="10" t="s">
        <v>188</v>
      </c>
      <c r="D46" s="10" t="s">
        <v>16</v>
      </c>
    </row>
    <row r="47" spans="1:6" ht="14" customHeight="1">
      <c r="A47" s="10" t="s">
        <v>189</v>
      </c>
      <c r="B47" s="10" t="s">
        <v>131</v>
      </c>
      <c r="C47" s="10" t="s">
        <v>191</v>
      </c>
      <c r="D47" s="10" t="s">
        <v>16</v>
      </c>
    </row>
    <row r="48" spans="1:6" ht="14" customHeight="1">
      <c r="A48" s="10" t="s">
        <v>192</v>
      </c>
      <c r="B48" s="10" t="s">
        <v>131</v>
      </c>
      <c r="C48" s="10" t="s">
        <v>194</v>
      </c>
      <c r="D48" s="10" t="s">
        <v>16</v>
      </c>
    </row>
    <row r="49" spans="1:5" ht="14" customHeight="1">
      <c r="A49" s="10" t="s">
        <v>195</v>
      </c>
      <c r="B49" s="10" t="s">
        <v>131</v>
      </c>
      <c r="C49" s="10" t="s">
        <v>196</v>
      </c>
      <c r="D49" s="10" t="s">
        <v>16</v>
      </c>
    </row>
    <row r="50" spans="1:5" ht="14" customHeight="1">
      <c r="A50" s="10" t="s">
        <v>198</v>
      </c>
      <c r="B50" s="10" t="s">
        <v>131</v>
      </c>
      <c r="C50" s="10" t="s">
        <v>199</v>
      </c>
      <c r="D50" s="10" t="s">
        <v>16</v>
      </c>
    </row>
    <row r="51" spans="1:5" ht="14" customHeight="1">
      <c r="A51" s="10" t="s">
        <v>201</v>
      </c>
      <c r="B51" s="10" t="s">
        <v>202</v>
      </c>
      <c r="C51" s="10" t="s">
        <v>203</v>
      </c>
      <c r="D51" s="10" t="s">
        <v>16</v>
      </c>
    </row>
    <row r="52" spans="1:5" ht="14" customHeight="1">
      <c r="A52" s="10" t="s">
        <v>204</v>
      </c>
      <c r="B52" s="10" t="s">
        <v>202</v>
      </c>
      <c r="C52" s="10" t="s">
        <v>205</v>
      </c>
      <c r="D52" s="10" t="s">
        <v>16</v>
      </c>
    </row>
    <row r="53" spans="1:5" ht="14" customHeight="1">
      <c r="A53" s="10" t="s">
        <v>206</v>
      </c>
      <c r="B53" s="10" t="s">
        <v>202</v>
      </c>
      <c r="C53" s="10" t="s">
        <v>208</v>
      </c>
      <c r="D53" s="10" t="s">
        <v>16</v>
      </c>
      <c r="E53" s="10" t="s">
        <v>209</v>
      </c>
    </row>
    <row r="54" spans="1:5" ht="14" customHeight="1">
      <c r="A54" s="10" t="s">
        <v>210</v>
      </c>
      <c r="B54" s="10" t="s">
        <v>202</v>
      </c>
      <c r="C54" s="10" t="s">
        <v>211</v>
      </c>
      <c r="D54" s="10" t="s">
        <v>16</v>
      </c>
    </row>
    <row r="55" spans="1:5" ht="14" customHeight="1">
      <c r="A55" s="10" t="s">
        <v>212</v>
      </c>
      <c r="B55" s="10" t="s">
        <v>202</v>
      </c>
      <c r="C55" s="10" t="s">
        <v>213</v>
      </c>
      <c r="D55" s="10" t="s">
        <v>16</v>
      </c>
      <c r="E55" s="10" t="s">
        <v>151</v>
      </c>
    </row>
    <row r="56" spans="1:5" ht="14" customHeight="1">
      <c r="A56" s="10" t="s">
        <v>214</v>
      </c>
      <c r="B56" s="10" t="s">
        <v>202</v>
      </c>
      <c r="C56" s="10" t="s">
        <v>216</v>
      </c>
      <c r="D56" s="10" t="s">
        <v>16</v>
      </c>
      <c r="E56" s="10" t="s">
        <v>217</v>
      </c>
    </row>
    <row r="57" spans="1:5" ht="14" customHeight="1">
      <c r="A57" s="10" t="s">
        <v>218</v>
      </c>
      <c r="B57" s="10" t="s">
        <v>220</v>
      </c>
      <c r="C57" s="10" t="s">
        <v>221</v>
      </c>
      <c r="D57" s="10" t="s">
        <v>16</v>
      </c>
    </row>
    <row r="58" spans="1:5" ht="14" customHeight="1">
      <c r="A58" s="10" t="s">
        <v>223</v>
      </c>
      <c r="B58" s="10" t="s">
        <v>220</v>
      </c>
      <c r="C58" s="10" t="s">
        <v>225</v>
      </c>
      <c r="D58" s="10" t="s">
        <v>16</v>
      </c>
    </row>
    <row r="59" spans="1:5" ht="14" customHeight="1">
      <c r="A59" s="10" t="s">
        <v>226</v>
      </c>
      <c r="B59" s="10" t="s">
        <v>220</v>
      </c>
      <c r="C59" s="10" t="s">
        <v>227</v>
      </c>
      <c r="D59" s="10" t="s">
        <v>16</v>
      </c>
    </row>
    <row r="60" spans="1:5" ht="14" customHeight="1">
      <c r="A60" s="10" t="s">
        <v>229</v>
      </c>
      <c r="B60" s="10" t="s">
        <v>220</v>
      </c>
      <c r="C60" s="10" t="s">
        <v>231</v>
      </c>
      <c r="D60" s="10" t="s">
        <v>16</v>
      </c>
    </row>
    <row r="61" spans="1:5" ht="14" customHeight="1">
      <c r="A61" s="10" t="s">
        <v>232</v>
      </c>
      <c r="B61" s="10" t="s">
        <v>220</v>
      </c>
      <c r="C61" s="10" t="s">
        <v>234</v>
      </c>
      <c r="D61" s="10" t="s">
        <v>16</v>
      </c>
    </row>
    <row r="62" spans="1:5" ht="14" customHeight="1">
      <c r="A62" s="10" t="s">
        <v>236</v>
      </c>
      <c r="B62" s="10" t="s">
        <v>220</v>
      </c>
      <c r="C62" s="10" t="s">
        <v>238</v>
      </c>
      <c r="D62" s="10" t="s">
        <v>16</v>
      </c>
    </row>
    <row r="63" spans="1:5" ht="14" customHeight="1">
      <c r="A63" s="10" t="s">
        <v>239</v>
      </c>
      <c r="B63" s="10" t="s">
        <v>220</v>
      </c>
      <c r="C63" s="10" t="s">
        <v>241</v>
      </c>
      <c r="D63" s="10" t="s">
        <v>16</v>
      </c>
      <c r="E63" s="10" t="s">
        <v>17</v>
      </c>
    </row>
    <row r="64" spans="1:5" ht="14" customHeight="1">
      <c r="A64" s="10" t="s">
        <v>244</v>
      </c>
      <c r="B64" s="10" t="s">
        <v>220</v>
      </c>
      <c r="C64" s="10" t="s">
        <v>246</v>
      </c>
      <c r="D64" s="10" t="s">
        <v>16</v>
      </c>
    </row>
    <row r="65" spans="1:6" ht="14" customHeight="1">
      <c r="A65" s="10" t="s">
        <v>248</v>
      </c>
      <c r="B65" s="10" t="s">
        <v>220</v>
      </c>
      <c r="C65" s="10" t="s">
        <v>249</v>
      </c>
      <c r="D65" s="10" t="s">
        <v>16</v>
      </c>
    </row>
    <row r="66" spans="1:6" ht="14" customHeight="1">
      <c r="A66" s="10" t="s">
        <v>251</v>
      </c>
      <c r="B66" s="10" t="s">
        <v>252</v>
      </c>
      <c r="C66" s="10" t="s">
        <v>253</v>
      </c>
      <c r="D66" s="10" t="s">
        <v>16</v>
      </c>
    </row>
    <row r="67" spans="1:6" ht="14" customHeight="1">
      <c r="A67" s="10" t="s">
        <v>255</v>
      </c>
      <c r="B67" s="10" t="s">
        <v>45</v>
      </c>
      <c r="C67" s="10" t="s">
        <v>256</v>
      </c>
      <c r="D67" s="10" t="s">
        <v>16</v>
      </c>
    </row>
    <row r="68" spans="1:6" ht="14" customHeight="1">
      <c r="A68" s="10" t="s">
        <v>258</v>
      </c>
      <c r="B68" s="10" t="s">
        <v>67</v>
      </c>
      <c r="C68" s="10" t="s">
        <v>259</v>
      </c>
      <c r="D68" s="10" t="s">
        <v>16</v>
      </c>
    </row>
    <row r="69" spans="1:6" ht="14" customHeight="1">
      <c r="A69" s="10" t="s">
        <v>261</v>
      </c>
      <c r="B69" s="10" t="s">
        <v>262</v>
      </c>
      <c r="C69" s="10" t="s">
        <v>263</v>
      </c>
      <c r="D69" s="10" t="s">
        <v>16</v>
      </c>
    </row>
    <row r="70" spans="1:6" ht="14" customHeight="1">
      <c r="A70" s="10" t="s">
        <v>265</v>
      </c>
      <c r="B70" s="10" t="s">
        <v>266</v>
      </c>
      <c r="C70" s="10" t="s">
        <v>267</v>
      </c>
      <c r="D70" s="10" t="s">
        <v>16</v>
      </c>
    </row>
    <row r="71" spans="1:6" ht="14" customHeight="1">
      <c r="A71" s="10" t="s">
        <v>269</v>
      </c>
      <c r="B71" s="10" t="s">
        <v>78</v>
      </c>
      <c r="C71" s="10" t="s">
        <v>271</v>
      </c>
      <c r="D71" s="10" t="s">
        <v>16</v>
      </c>
    </row>
    <row r="72" spans="1:6" ht="14" customHeight="1">
      <c r="A72" s="10" t="s">
        <v>273</v>
      </c>
      <c r="B72" s="10" t="s">
        <v>78</v>
      </c>
      <c r="C72" s="10" t="s">
        <v>275</v>
      </c>
      <c r="D72" s="10" t="s">
        <v>16</v>
      </c>
    </row>
    <row r="73" spans="1:6" ht="14" customHeight="1">
      <c r="A73" s="10" t="s">
        <v>276</v>
      </c>
      <c r="B73" s="10" t="s">
        <v>78</v>
      </c>
      <c r="C73" s="10" t="s">
        <v>278</v>
      </c>
      <c r="D73" s="10" t="s">
        <v>16</v>
      </c>
    </row>
    <row r="74" spans="1:6" ht="14" customHeight="1">
      <c r="A74" s="10" t="s">
        <v>280</v>
      </c>
      <c r="B74" s="10" t="s">
        <v>78</v>
      </c>
      <c r="C74" s="10" t="s">
        <v>282</v>
      </c>
      <c r="D74" s="10" t="s">
        <v>16</v>
      </c>
    </row>
    <row r="75" spans="1:6" ht="14" customHeight="1">
      <c r="A75" s="10" t="s">
        <v>284</v>
      </c>
      <c r="B75" s="10" t="s">
        <v>78</v>
      </c>
      <c r="C75" s="10" t="s">
        <v>286</v>
      </c>
      <c r="D75" s="10" t="s">
        <v>16</v>
      </c>
      <c r="E75" s="10" t="s">
        <v>289</v>
      </c>
    </row>
    <row r="76" spans="1:6" ht="14" customHeight="1">
      <c r="A76" s="10" t="s">
        <v>290</v>
      </c>
      <c r="B76" s="10" t="s">
        <v>78</v>
      </c>
      <c r="C76" s="10" t="s">
        <v>292</v>
      </c>
      <c r="D76" s="10" t="s">
        <v>16</v>
      </c>
      <c r="E76" s="10" t="s">
        <v>295</v>
      </c>
      <c r="F76" s="10" t="s">
        <v>296</v>
      </c>
    </row>
    <row r="77" spans="1:6" ht="14" customHeight="1">
      <c r="A77" s="10" t="s">
        <v>297</v>
      </c>
      <c r="B77" s="10" t="s">
        <v>78</v>
      </c>
      <c r="C77" s="10" t="s">
        <v>298</v>
      </c>
      <c r="D77" s="10" t="s">
        <v>16</v>
      </c>
    </row>
    <row r="78" spans="1:6" ht="14" customHeight="1">
      <c r="A78" s="10" t="s">
        <v>299</v>
      </c>
      <c r="B78" s="10" t="s">
        <v>78</v>
      </c>
      <c r="C78" s="10" t="s">
        <v>301</v>
      </c>
      <c r="D78" s="10" t="s">
        <v>16</v>
      </c>
      <c r="E78" s="10" t="s">
        <v>17</v>
      </c>
      <c r="F78" s="10" t="s">
        <v>86</v>
      </c>
    </row>
    <row r="79" spans="1:6" ht="14" customHeight="1">
      <c r="A79" s="10" t="s">
        <v>304</v>
      </c>
      <c r="B79" s="10" t="s">
        <v>83</v>
      </c>
      <c r="C79" s="10" t="s">
        <v>305</v>
      </c>
      <c r="D79" s="10" t="s">
        <v>16</v>
      </c>
    </row>
    <row r="80" spans="1:6" ht="14" customHeight="1">
      <c r="A80" s="10" t="s">
        <v>307</v>
      </c>
      <c r="B80" s="10" t="s">
        <v>83</v>
      </c>
      <c r="C80" s="10" t="s">
        <v>308</v>
      </c>
      <c r="D80" s="10" t="s">
        <v>16</v>
      </c>
    </row>
    <row r="81" spans="1:7" ht="14" customHeight="1">
      <c r="A81" s="10" t="s">
        <v>309</v>
      </c>
      <c r="B81" s="10" t="s">
        <v>83</v>
      </c>
      <c r="C81" s="10" t="e">
        <v>#VALUE!</v>
      </c>
      <c r="D81" s="10" t="s">
        <v>16</v>
      </c>
    </row>
    <row r="82" spans="1:7" ht="14" customHeight="1">
      <c r="A82" s="10" t="s">
        <v>311</v>
      </c>
      <c r="B82" s="10" t="s">
        <v>83</v>
      </c>
      <c r="C82" s="10" t="s">
        <v>312</v>
      </c>
      <c r="D82" s="10" t="s">
        <v>16</v>
      </c>
      <c r="E82" s="10" t="s">
        <v>71</v>
      </c>
    </row>
    <row r="83" spans="1:7" ht="14" customHeight="1">
      <c r="A83" s="10" t="s">
        <v>313</v>
      </c>
      <c r="B83" s="10" t="s">
        <v>99</v>
      </c>
      <c r="C83" s="10" t="s">
        <v>315</v>
      </c>
      <c r="D83" s="10" t="s">
        <v>16</v>
      </c>
      <c r="E83" s="10" t="s">
        <v>317</v>
      </c>
    </row>
    <row r="84" spans="1:7" ht="14" customHeight="1">
      <c r="A84" s="10" t="s">
        <v>318</v>
      </c>
      <c r="B84" s="10" t="s">
        <v>320</v>
      </c>
      <c r="C84" s="10" t="s">
        <v>321</v>
      </c>
      <c r="D84" s="10" t="s">
        <v>16</v>
      </c>
      <c r="E84" s="10" t="s">
        <v>86</v>
      </c>
      <c r="F84" s="10" t="s">
        <v>323</v>
      </c>
    </row>
    <row r="85" spans="1:7" ht="14" customHeight="1">
      <c r="A85" s="10" t="s">
        <v>324</v>
      </c>
      <c r="B85" s="10" t="s">
        <v>320</v>
      </c>
      <c r="C85" s="10" t="s">
        <v>326</v>
      </c>
      <c r="D85" s="10" t="s">
        <v>16</v>
      </c>
      <c r="E85" s="10" t="s">
        <v>71</v>
      </c>
      <c r="F85" s="10" t="s">
        <v>329</v>
      </c>
    </row>
    <row r="86" spans="1:7" ht="14" customHeight="1">
      <c r="A86" s="10" t="s">
        <v>330</v>
      </c>
      <c r="B86" s="10" t="s">
        <v>331</v>
      </c>
      <c r="C86" s="10" t="s">
        <v>332</v>
      </c>
      <c r="D86" s="10" t="s">
        <v>16</v>
      </c>
    </row>
    <row r="87" spans="1:7" s="5" customFormat="1" ht="14" customHeight="1">
      <c r="A87" s="8" t="s">
        <v>333</v>
      </c>
      <c r="B87" s="8" t="e">
        <v>#VALUE!</v>
      </c>
      <c r="C87" s="8" t="e">
        <v>#VALUE!</v>
      </c>
      <c r="D87" s="8" t="s">
        <v>16</v>
      </c>
      <c r="E87" s="8"/>
      <c r="F87" s="8"/>
      <c r="G87" s="8"/>
    </row>
    <row r="88" spans="1:7" s="5" customFormat="1" ht="14" customHeight="1">
      <c r="A88" s="8" t="s">
        <v>334</v>
      </c>
      <c r="B88" s="8" t="e">
        <v>#VALUE!</v>
      </c>
      <c r="C88" s="8" t="e">
        <v>#VALUE!</v>
      </c>
      <c r="D88" s="8" t="s">
        <v>16</v>
      </c>
      <c r="E88" s="8"/>
      <c r="F88" s="8"/>
      <c r="G88" s="8"/>
    </row>
    <row r="89" spans="1:7" ht="14" customHeight="1">
      <c r="A89" s="10" t="s">
        <v>335</v>
      </c>
      <c r="B89" s="10" t="s">
        <v>62</v>
      </c>
      <c r="C89" s="10" t="s">
        <v>336</v>
      </c>
      <c r="D89" s="10" t="s">
        <v>16</v>
      </c>
    </row>
    <row r="90" spans="1:7" ht="14" customHeight="1">
      <c r="A90" s="10" t="s">
        <v>337</v>
      </c>
      <c r="B90" s="10" t="s">
        <v>62</v>
      </c>
      <c r="C90" s="10" t="s">
        <v>338</v>
      </c>
      <c r="D90" s="10" t="s">
        <v>16</v>
      </c>
    </row>
    <row r="91" spans="1:7" ht="14" customHeight="1">
      <c r="A91" s="10" t="s">
        <v>339</v>
      </c>
      <c r="B91" s="10" t="s">
        <v>262</v>
      </c>
      <c r="C91" s="10" t="s">
        <v>340</v>
      </c>
      <c r="D91" s="10" t="s">
        <v>16</v>
      </c>
    </row>
    <row r="92" spans="1:7" ht="14" customHeight="1">
      <c r="A92" s="10" t="s">
        <v>341</v>
      </c>
      <c r="B92" s="10" t="s">
        <v>89</v>
      </c>
      <c r="C92" s="10" t="s">
        <v>342</v>
      </c>
      <c r="D92" s="10" t="s">
        <v>16</v>
      </c>
    </row>
    <row r="93" spans="1:7" ht="14" customHeight="1">
      <c r="A93" s="10" t="s">
        <v>343</v>
      </c>
      <c r="B93" s="10" t="s">
        <v>99</v>
      </c>
      <c r="C93" s="10" t="s">
        <v>342</v>
      </c>
      <c r="D93" s="10" t="s">
        <v>16</v>
      </c>
    </row>
    <row r="94" spans="1:7" ht="14" customHeight="1">
      <c r="A94" s="10" t="s">
        <v>344</v>
      </c>
      <c r="B94" s="10" t="s">
        <v>345</v>
      </c>
      <c r="C94" s="10" t="s">
        <v>346</v>
      </c>
      <c r="D94" s="10" t="s">
        <v>16</v>
      </c>
    </row>
    <row r="95" spans="1:7" ht="14" customHeight="1">
      <c r="A95" s="10" t="s">
        <v>347</v>
      </c>
      <c r="B95" s="10" t="s">
        <v>331</v>
      </c>
      <c r="C95" s="10" t="s">
        <v>348</v>
      </c>
      <c r="D95" s="10" t="s">
        <v>16</v>
      </c>
    </row>
    <row r="96" spans="1:7" ht="14" customHeight="1">
      <c r="A96" s="10" t="s">
        <v>349</v>
      </c>
      <c r="B96" s="10" t="s">
        <v>350</v>
      </c>
      <c r="C96" s="10" t="s">
        <v>351</v>
      </c>
      <c r="D96" s="10" t="s">
        <v>16</v>
      </c>
    </row>
    <row r="97" spans="1:7" ht="14" customHeight="1">
      <c r="A97" s="10" t="s">
        <v>352</v>
      </c>
      <c r="B97" s="10" t="s">
        <v>354</v>
      </c>
      <c r="C97" s="10" t="s">
        <v>355</v>
      </c>
      <c r="D97" s="10" t="s">
        <v>16</v>
      </c>
    </row>
    <row r="98" spans="1:7" s="5" customFormat="1" ht="14" customHeight="1">
      <c r="A98" s="8" t="s">
        <v>356</v>
      </c>
      <c r="B98" s="8" t="e">
        <v>#VALUE!</v>
      </c>
      <c r="C98" s="8" t="e">
        <v>#VALUE!</v>
      </c>
      <c r="D98" s="8" t="s">
        <v>16</v>
      </c>
      <c r="E98" s="8"/>
      <c r="F98" s="8"/>
      <c r="G98" s="8"/>
    </row>
    <row r="99" spans="1:7" ht="14" customHeight="1">
      <c r="A99" s="10" t="s">
        <v>357</v>
      </c>
      <c r="B99" s="10" t="s">
        <v>104</v>
      </c>
      <c r="C99" s="10" t="s">
        <v>359</v>
      </c>
      <c r="D99" s="10" t="s">
        <v>16</v>
      </c>
      <c r="E99" s="10" t="s">
        <v>217</v>
      </c>
    </row>
    <row r="100" spans="1:7" ht="14" customHeight="1">
      <c r="A100" s="10" t="s">
        <v>360</v>
      </c>
      <c r="B100" s="10" t="s">
        <v>12</v>
      </c>
      <c r="C100" s="10" t="s">
        <v>362</v>
      </c>
      <c r="D100" s="10" t="s">
        <v>16</v>
      </c>
    </row>
    <row r="101" spans="1:7" ht="14" customHeight="1">
      <c r="A101" s="10" t="s">
        <v>363</v>
      </c>
      <c r="B101" s="10" t="s">
        <v>12</v>
      </c>
      <c r="C101" s="10" t="s">
        <v>364</v>
      </c>
      <c r="D101" s="10" t="s">
        <v>16</v>
      </c>
    </row>
    <row r="102" spans="1:7" ht="14" customHeight="1">
      <c r="A102" s="10" t="s">
        <v>365</v>
      </c>
      <c r="B102" s="10" t="s">
        <v>12</v>
      </c>
      <c r="C102" s="10" t="s">
        <v>366</v>
      </c>
      <c r="D102" s="10" t="s">
        <v>16</v>
      </c>
    </row>
    <row r="103" spans="1:7" ht="14" customHeight="1">
      <c r="A103" s="10" t="s">
        <v>367</v>
      </c>
      <c r="B103" s="10" t="s">
        <v>12</v>
      </c>
      <c r="C103" s="10" t="s">
        <v>369</v>
      </c>
      <c r="D103" s="10" t="s">
        <v>16</v>
      </c>
    </row>
    <row r="104" spans="1:7" ht="14" customHeight="1">
      <c r="A104" s="10" t="s">
        <v>370</v>
      </c>
      <c r="B104" s="10" t="s">
        <v>12</v>
      </c>
      <c r="C104" s="10" t="s">
        <v>371</v>
      </c>
      <c r="D104" s="10" t="s">
        <v>16</v>
      </c>
    </row>
    <row r="105" spans="1:7" ht="14" customHeight="1">
      <c r="A105" s="10" t="s">
        <v>372</v>
      </c>
      <c r="B105" s="10" t="s">
        <v>12</v>
      </c>
      <c r="C105" s="10" t="s">
        <v>373</v>
      </c>
      <c r="D105" s="10" t="s">
        <v>16</v>
      </c>
      <c r="E105" s="10" t="s">
        <v>217</v>
      </c>
    </row>
    <row r="106" spans="1:7" ht="14" customHeight="1">
      <c r="A106" s="10" t="s">
        <v>374</v>
      </c>
      <c r="B106" s="10" t="s">
        <v>12</v>
      </c>
      <c r="C106" s="10" t="s">
        <v>375</v>
      </c>
      <c r="D106" s="10" t="s">
        <v>16</v>
      </c>
    </row>
    <row r="107" spans="1:7" ht="14" customHeight="1">
      <c r="A107" s="10" t="s">
        <v>376</v>
      </c>
      <c r="B107" s="10" t="s">
        <v>12</v>
      </c>
      <c r="C107" s="10" t="s">
        <v>377</v>
      </c>
      <c r="D107" s="10" t="s">
        <v>16</v>
      </c>
    </row>
    <row r="108" spans="1:7" ht="14" customHeight="1">
      <c r="A108" s="10" t="s">
        <v>378</v>
      </c>
      <c r="B108" s="10" t="s">
        <v>12</v>
      </c>
      <c r="C108" s="10" t="s">
        <v>379</v>
      </c>
      <c r="D108" s="10" t="s">
        <v>16</v>
      </c>
    </row>
    <row r="109" spans="1:7" ht="14" customHeight="1">
      <c r="A109" s="10" t="s">
        <v>380</v>
      </c>
      <c r="B109" s="10" t="s">
        <v>12</v>
      </c>
      <c r="C109" s="10" t="s">
        <v>381</v>
      </c>
      <c r="D109" s="10" t="s">
        <v>16</v>
      </c>
      <c r="E109" s="10" t="s">
        <v>17</v>
      </c>
    </row>
    <row r="110" spans="1:7" ht="14" customHeight="1">
      <c r="A110" s="10" t="s">
        <v>382</v>
      </c>
      <c r="B110" s="10" t="s">
        <v>131</v>
      </c>
      <c r="C110" s="10" t="s">
        <v>384</v>
      </c>
      <c r="D110" s="10" t="s">
        <v>16</v>
      </c>
    </row>
    <row r="111" spans="1:7" ht="14" customHeight="1">
      <c r="A111" s="10" t="s">
        <v>385</v>
      </c>
      <c r="B111" s="10" t="s">
        <v>131</v>
      </c>
      <c r="C111" s="10" t="s">
        <v>386</v>
      </c>
      <c r="D111" s="10" t="s">
        <v>16</v>
      </c>
    </row>
    <row r="112" spans="1:7" ht="14" customHeight="1">
      <c r="A112" s="10" t="s">
        <v>387</v>
      </c>
      <c r="B112" s="10" t="s">
        <v>131</v>
      </c>
      <c r="C112" s="10" t="s">
        <v>388</v>
      </c>
      <c r="D112" s="10" t="s">
        <v>16</v>
      </c>
    </row>
    <row r="113" spans="1:5" ht="14" customHeight="1">
      <c r="A113" s="10" t="s">
        <v>389</v>
      </c>
      <c r="B113" s="10" t="s">
        <v>131</v>
      </c>
      <c r="C113" s="10" t="s">
        <v>391</v>
      </c>
      <c r="D113" s="10" t="s">
        <v>16</v>
      </c>
    </row>
    <row r="114" spans="1:5" ht="14" customHeight="1">
      <c r="A114" s="10" t="s">
        <v>392</v>
      </c>
      <c r="B114" s="10" t="s">
        <v>131</v>
      </c>
      <c r="C114" s="10" t="s">
        <v>393</v>
      </c>
      <c r="D114" s="10" t="s">
        <v>16</v>
      </c>
    </row>
    <row r="115" spans="1:5" ht="14" customHeight="1">
      <c r="A115" s="10" t="s">
        <v>394</v>
      </c>
      <c r="B115" s="10" t="s">
        <v>131</v>
      </c>
      <c r="C115" s="10" t="s">
        <v>395</v>
      </c>
      <c r="D115" s="10" t="s">
        <v>16</v>
      </c>
      <c r="E115" s="10" t="s">
        <v>17</v>
      </c>
    </row>
    <row r="116" spans="1:5" ht="14" customHeight="1">
      <c r="A116" s="10" t="s">
        <v>396</v>
      </c>
      <c r="B116" s="10" t="s">
        <v>131</v>
      </c>
      <c r="C116" s="10" t="s">
        <v>398</v>
      </c>
      <c r="D116" s="10" t="s">
        <v>16</v>
      </c>
    </row>
    <row r="117" spans="1:5" ht="14" customHeight="1">
      <c r="A117" s="10" t="s">
        <v>399</v>
      </c>
      <c r="B117" s="10" t="s">
        <v>131</v>
      </c>
      <c r="C117" s="10" t="s">
        <v>400</v>
      </c>
      <c r="D117" s="10" t="s">
        <v>16</v>
      </c>
    </row>
    <row r="118" spans="1:5" ht="14" customHeight="1">
      <c r="A118" s="10" t="s">
        <v>401</v>
      </c>
      <c r="B118" s="10" t="s">
        <v>131</v>
      </c>
      <c r="C118" s="10" t="s">
        <v>403</v>
      </c>
      <c r="D118" s="10" t="s">
        <v>16</v>
      </c>
    </row>
    <row r="119" spans="1:5" ht="14" customHeight="1">
      <c r="A119" s="10" t="s">
        <v>404</v>
      </c>
      <c r="B119" s="10" t="s">
        <v>131</v>
      </c>
      <c r="C119" s="10" t="s">
        <v>406</v>
      </c>
      <c r="D119" s="10" t="s">
        <v>16</v>
      </c>
    </row>
    <row r="120" spans="1:5" ht="14" customHeight="1">
      <c r="A120" s="10" t="s">
        <v>407</v>
      </c>
      <c r="B120" s="10" t="s">
        <v>202</v>
      </c>
      <c r="C120" s="10" t="s">
        <v>408</v>
      </c>
      <c r="D120" s="10" t="s">
        <v>16</v>
      </c>
    </row>
    <row r="121" spans="1:5" ht="14" customHeight="1">
      <c r="A121" s="10" t="s">
        <v>409</v>
      </c>
      <c r="B121" s="10" t="s">
        <v>202</v>
      </c>
      <c r="C121" s="10" t="s">
        <v>411</v>
      </c>
      <c r="D121" s="10" t="s">
        <v>16</v>
      </c>
    </row>
    <row r="122" spans="1:5" ht="14" customHeight="1">
      <c r="A122" s="10" t="s">
        <v>412</v>
      </c>
      <c r="B122" s="10" t="s">
        <v>220</v>
      </c>
      <c r="C122" s="10" t="s">
        <v>414</v>
      </c>
      <c r="D122" s="10" t="s">
        <v>16</v>
      </c>
    </row>
    <row r="123" spans="1:5" ht="14" customHeight="1">
      <c r="A123" s="10" t="s">
        <v>415</v>
      </c>
      <c r="B123" s="10" t="s">
        <v>220</v>
      </c>
      <c r="C123" s="10" t="s">
        <v>417</v>
      </c>
      <c r="D123" s="10" t="s">
        <v>16</v>
      </c>
    </row>
    <row r="124" spans="1:5" ht="14" customHeight="1">
      <c r="A124" s="10" t="s">
        <v>418</v>
      </c>
      <c r="B124" s="10" t="s">
        <v>220</v>
      </c>
      <c r="C124" s="10" t="s">
        <v>419</v>
      </c>
      <c r="D124" s="10" t="s">
        <v>16</v>
      </c>
    </row>
    <row r="125" spans="1:5" ht="14" customHeight="1">
      <c r="A125" s="10" t="s">
        <v>420</v>
      </c>
      <c r="B125" s="10" t="s">
        <v>220</v>
      </c>
      <c r="C125" s="10" t="s">
        <v>421</v>
      </c>
      <c r="D125" s="10" t="s">
        <v>16</v>
      </c>
    </row>
    <row r="126" spans="1:5" ht="14" customHeight="1">
      <c r="A126" s="10" t="s">
        <v>422</v>
      </c>
      <c r="B126" s="10" t="s">
        <v>23</v>
      </c>
      <c r="C126" s="10" t="s">
        <v>424</v>
      </c>
      <c r="D126" s="10" t="s">
        <v>16</v>
      </c>
    </row>
    <row r="127" spans="1:5" ht="14" customHeight="1">
      <c r="A127" s="10" t="s">
        <v>425</v>
      </c>
      <c r="B127" s="10" t="s">
        <v>23</v>
      </c>
      <c r="C127" s="10" t="s">
        <v>426</v>
      </c>
      <c r="D127" s="10" t="s">
        <v>16</v>
      </c>
    </row>
    <row r="128" spans="1:5" ht="14" customHeight="1">
      <c r="A128" s="10" t="s">
        <v>427</v>
      </c>
      <c r="B128" s="10" t="s">
        <v>23</v>
      </c>
      <c r="C128" s="10" t="s">
        <v>428</v>
      </c>
      <c r="D128" s="10" t="s">
        <v>16</v>
      </c>
    </row>
    <row r="129" spans="1:7" ht="14" customHeight="1">
      <c r="A129" s="10" t="s">
        <v>429</v>
      </c>
      <c r="B129" s="10" t="s">
        <v>252</v>
      </c>
      <c r="C129" s="10" t="s">
        <v>430</v>
      </c>
      <c r="D129" s="10" t="s">
        <v>16</v>
      </c>
    </row>
    <row r="130" spans="1:7" ht="14" customHeight="1">
      <c r="A130" s="10" t="s">
        <v>431</v>
      </c>
      <c r="B130" s="10" t="s">
        <v>252</v>
      </c>
      <c r="C130" s="10" t="s">
        <v>28</v>
      </c>
      <c r="D130" s="10" t="s">
        <v>16</v>
      </c>
    </row>
    <row r="131" spans="1:7" ht="14" customHeight="1">
      <c r="A131" s="10" t="s">
        <v>433</v>
      </c>
      <c r="B131" s="10" t="s">
        <v>67</v>
      </c>
      <c r="C131" s="10" t="e">
        <v>#VALUE!</v>
      </c>
      <c r="D131" s="10" t="s">
        <v>16</v>
      </c>
      <c r="E131" s="10" t="s">
        <v>70</v>
      </c>
      <c r="F131" s="10" t="s">
        <v>17</v>
      </c>
      <c r="G131" s="10" t="s">
        <v>71</v>
      </c>
    </row>
    <row r="132" spans="1:7" ht="14" customHeight="1">
      <c r="A132" s="10" t="s">
        <v>436</v>
      </c>
      <c r="B132" s="10" t="s">
        <v>67</v>
      </c>
      <c r="C132" s="10" t="e">
        <v>#VALUE!</v>
      </c>
      <c r="D132" s="10" t="s">
        <v>16</v>
      </c>
    </row>
    <row r="133" spans="1:7" ht="14" customHeight="1">
      <c r="A133" s="10" t="s">
        <v>437</v>
      </c>
      <c r="B133" s="10" t="s">
        <v>67</v>
      </c>
      <c r="C133" s="10" t="e">
        <v>#VALUE!</v>
      </c>
      <c r="D133" s="10" t="s">
        <v>16</v>
      </c>
    </row>
    <row r="134" spans="1:7" ht="14" customHeight="1">
      <c r="A134" s="10" t="s">
        <v>438</v>
      </c>
      <c r="B134" s="10" t="s">
        <v>67</v>
      </c>
      <c r="C134" s="10" t="e">
        <v>#VALUE!</v>
      </c>
      <c r="D134" s="10" t="s">
        <v>16</v>
      </c>
    </row>
    <row r="135" spans="1:7" ht="14" customHeight="1">
      <c r="A135" s="10" t="s">
        <v>439</v>
      </c>
      <c r="B135" s="10" t="s">
        <v>74</v>
      </c>
      <c r="C135" s="10" t="e">
        <v>#VALUE!</v>
      </c>
      <c r="D135" s="10" t="s">
        <v>16</v>
      </c>
      <c r="E135" s="10" t="s">
        <v>441</v>
      </c>
    </row>
    <row r="136" spans="1:7" ht="14" customHeight="1">
      <c r="A136" s="10" t="s">
        <v>442</v>
      </c>
      <c r="B136" s="10" t="s">
        <v>74</v>
      </c>
      <c r="C136" s="10" t="s">
        <v>444</v>
      </c>
      <c r="D136" s="10" t="s">
        <v>16</v>
      </c>
    </row>
    <row r="137" spans="1:7" ht="14" customHeight="1">
      <c r="A137" s="10" t="s">
        <v>445</v>
      </c>
      <c r="B137" s="10" t="s">
        <v>74</v>
      </c>
      <c r="C137" s="10" t="s">
        <v>447</v>
      </c>
      <c r="D137" s="10" t="s">
        <v>16</v>
      </c>
      <c r="E137" s="10" t="s">
        <v>17</v>
      </c>
    </row>
    <row r="138" spans="1:7" ht="14" customHeight="1">
      <c r="A138" s="10" t="s">
        <v>449</v>
      </c>
      <c r="B138" s="10" t="s">
        <v>78</v>
      </c>
      <c r="C138" s="10" t="s">
        <v>450</v>
      </c>
      <c r="D138" s="10" t="s">
        <v>16</v>
      </c>
    </row>
    <row r="139" spans="1:7" ht="14" customHeight="1">
      <c r="A139" s="10" t="s">
        <v>451</v>
      </c>
      <c r="B139" s="10" t="s">
        <v>99</v>
      </c>
      <c r="C139" s="10" t="s">
        <v>452</v>
      </c>
      <c r="D139" s="10" t="s">
        <v>16</v>
      </c>
      <c r="E139" s="10" t="s">
        <v>71</v>
      </c>
    </row>
    <row r="140" spans="1:7" ht="14" customHeight="1">
      <c r="A140" s="10" t="s">
        <v>453</v>
      </c>
      <c r="B140" s="10" t="s">
        <v>320</v>
      </c>
      <c r="C140" s="10" t="s">
        <v>455</v>
      </c>
      <c r="D140" s="10" t="s">
        <v>16</v>
      </c>
    </row>
    <row r="141" spans="1:7" ht="14" customHeight="1">
      <c r="A141" s="10" t="s">
        <v>456</v>
      </c>
      <c r="B141" s="10" t="s">
        <v>320</v>
      </c>
      <c r="C141" s="10" t="s">
        <v>457</v>
      </c>
      <c r="D141" s="10" t="s">
        <v>16</v>
      </c>
    </row>
    <row r="142" spans="1:7" ht="14" customHeight="1">
      <c r="A142" s="10" t="s">
        <v>458</v>
      </c>
      <c r="B142" s="10" t="e">
        <v>#VALUE!</v>
      </c>
      <c r="C142" s="10" t="e">
        <v>#VALUE!</v>
      </c>
      <c r="D142" s="10" t="s">
        <v>16</v>
      </c>
    </row>
    <row r="143" spans="1:7" ht="14" customHeight="1">
      <c r="A143" s="10" t="s">
        <v>459</v>
      </c>
      <c r="B143" s="10" t="s">
        <v>12</v>
      </c>
      <c r="C143" s="10" t="s">
        <v>460</v>
      </c>
      <c r="D143" s="10" t="s">
        <v>16</v>
      </c>
    </row>
    <row r="144" spans="1:7" ht="14" customHeight="1">
      <c r="A144" s="10" t="s">
        <v>461</v>
      </c>
      <c r="B144" s="10" t="s">
        <v>462</v>
      </c>
      <c r="C144" s="10" t="s">
        <v>463</v>
      </c>
      <c r="D144" s="10" t="s">
        <v>16</v>
      </c>
    </row>
    <row r="145" spans="1:5" ht="14" customHeight="1">
      <c r="A145" s="10" t="s">
        <v>464</v>
      </c>
      <c r="B145" s="10" t="s">
        <v>466</v>
      </c>
      <c r="C145" s="10" t="s">
        <v>467</v>
      </c>
      <c r="D145" s="10" t="s">
        <v>16</v>
      </c>
    </row>
    <row r="146" spans="1:5" ht="14" customHeight="1">
      <c r="A146" s="10" t="s">
        <v>468</v>
      </c>
      <c r="B146" s="10" t="s">
        <v>266</v>
      </c>
      <c r="C146" s="10" t="s">
        <v>469</v>
      </c>
      <c r="D146" s="10" t="s">
        <v>16</v>
      </c>
    </row>
    <row r="147" spans="1:5" ht="14" customHeight="1">
      <c r="A147" s="10" t="s">
        <v>470</v>
      </c>
      <c r="B147" s="10" t="s">
        <v>83</v>
      </c>
      <c r="C147" s="10" t="s">
        <v>472</v>
      </c>
      <c r="D147" s="10" t="s">
        <v>16</v>
      </c>
    </row>
    <row r="148" spans="1:5" ht="14" customHeight="1">
      <c r="A148" s="10" t="s">
        <v>473</v>
      </c>
      <c r="B148" s="10" t="e">
        <v>#VALUE!</v>
      </c>
      <c r="C148" s="10" t="e">
        <v>#VALUE!</v>
      </c>
      <c r="D148" s="10" t="s">
        <v>16</v>
      </c>
    </row>
    <row r="149" spans="1:5" ht="14" customHeight="1">
      <c r="A149" s="10" t="s">
        <v>474</v>
      </c>
      <c r="B149" s="10" t="e">
        <v>#VALUE!</v>
      </c>
      <c r="C149" s="10" t="e">
        <v>#VALUE!</v>
      </c>
      <c r="D149" s="10" t="s">
        <v>16</v>
      </c>
    </row>
    <row r="150" spans="1:5" ht="14" customHeight="1">
      <c r="A150" s="10" t="s">
        <v>475</v>
      </c>
      <c r="B150" s="10" t="s">
        <v>220</v>
      </c>
      <c r="C150" s="10" t="s">
        <v>476</v>
      </c>
      <c r="D150" s="10" t="s">
        <v>16</v>
      </c>
    </row>
    <row r="151" spans="1:5" ht="14" customHeight="1">
      <c r="A151" s="10" t="s">
        <v>477</v>
      </c>
      <c r="B151" s="10" t="s">
        <v>220</v>
      </c>
      <c r="C151" s="10" t="s">
        <v>478</v>
      </c>
      <c r="D151" s="10" t="s">
        <v>16</v>
      </c>
    </row>
    <row r="152" spans="1:5" ht="14" customHeight="1">
      <c r="A152" s="10" t="s">
        <v>479</v>
      </c>
      <c r="B152" s="10" t="s">
        <v>220</v>
      </c>
      <c r="C152" s="10" t="s">
        <v>480</v>
      </c>
      <c r="D152" s="10" t="s">
        <v>16</v>
      </c>
    </row>
    <row r="153" spans="1:5" ht="14" customHeight="1">
      <c r="A153" s="10" t="s">
        <v>481</v>
      </c>
      <c r="B153" s="10" t="s">
        <v>252</v>
      </c>
      <c r="C153" s="10" t="s">
        <v>482</v>
      </c>
      <c r="D153" s="10" t="s">
        <v>16</v>
      </c>
    </row>
    <row r="154" spans="1:5" ht="14" customHeight="1">
      <c r="A154" s="10" t="s">
        <v>483</v>
      </c>
      <c r="B154" s="10" t="e">
        <v>#VALUE!</v>
      </c>
      <c r="C154" s="10" t="e">
        <v>#VALUE!</v>
      </c>
      <c r="D154" s="10" t="s">
        <v>16</v>
      </c>
    </row>
    <row r="155" spans="1:5" ht="14" customHeight="1">
      <c r="A155" s="10" t="s">
        <v>484</v>
      </c>
      <c r="B155" s="10" t="s">
        <v>104</v>
      </c>
      <c r="C155" s="10" t="s">
        <v>485</v>
      </c>
      <c r="D155" s="10" t="s">
        <v>16</v>
      </c>
      <c r="E155" s="10" t="s">
        <v>217</v>
      </c>
    </row>
    <row r="156" spans="1:5" ht="14" customHeight="1">
      <c r="A156" s="10" t="s">
        <v>487</v>
      </c>
      <c r="B156" s="10" t="s">
        <v>12</v>
      </c>
      <c r="C156" s="10" t="s">
        <v>488</v>
      </c>
      <c r="D156" s="10" t="s">
        <v>16</v>
      </c>
    </row>
    <row r="157" spans="1:5" ht="14" customHeight="1">
      <c r="A157" s="10" t="s">
        <v>489</v>
      </c>
      <c r="B157" s="10" t="s">
        <v>12</v>
      </c>
      <c r="C157" s="10" t="s">
        <v>490</v>
      </c>
      <c r="D157" s="10" t="s">
        <v>16</v>
      </c>
    </row>
    <row r="158" spans="1:5" ht="14" customHeight="1">
      <c r="A158" s="10" t="s">
        <v>491</v>
      </c>
      <c r="B158" s="10" t="s">
        <v>12</v>
      </c>
      <c r="C158" s="10" t="s">
        <v>493</v>
      </c>
      <c r="D158" s="10" t="s">
        <v>16</v>
      </c>
    </row>
    <row r="159" spans="1:5" ht="14" customHeight="1">
      <c r="A159" s="10" t="s">
        <v>494</v>
      </c>
      <c r="B159" s="10" t="s">
        <v>12</v>
      </c>
      <c r="C159" s="10" t="s">
        <v>495</v>
      </c>
      <c r="D159" s="10" t="s">
        <v>16</v>
      </c>
    </row>
    <row r="160" spans="1:5" ht="14" customHeight="1">
      <c r="A160" s="10" t="s">
        <v>496</v>
      </c>
      <c r="B160" s="10" t="s">
        <v>12</v>
      </c>
      <c r="C160" s="10" t="s">
        <v>498</v>
      </c>
      <c r="D160" s="10" t="s">
        <v>16</v>
      </c>
    </row>
    <row r="161" spans="1:7" ht="14" customHeight="1">
      <c r="A161" s="10" t="s">
        <v>500</v>
      </c>
      <c r="B161" s="10" t="s">
        <v>12</v>
      </c>
      <c r="C161" s="10" t="s">
        <v>502</v>
      </c>
      <c r="D161" s="10" t="s">
        <v>16</v>
      </c>
      <c r="E161" s="10" t="s">
        <v>120</v>
      </c>
      <c r="F161" s="10" t="s">
        <v>504</v>
      </c>
    </row>
    <row r="162" spans="1:7" ht="14" customHeight="1">
      <c r="A162" s="10" t="s">
        <v>505</v>
      </c>
      <c r="B162" s="10" t="s">
        <v>12</v>
      </c>
      <c r="C162" s="10" t="s">
        <v>506</v>
      </c>
      <c r="D162" s="10" t="s">
        <v>16</v>
      </c>
      <c r="E162" s="10" t="s">
        <v>120</v>
      </c>
      <c r="F162" s="10" t="s">
        <v>504</v>
      </c>
    </row>
    <row r="163" spans="1:7" ht="14" customHeight="1">
      <c r="A163" s="10" t="s">
        <v>508</v>
      </c>
      <c r="B163" s="10" t="s">
        <v>12</v>
      </c>
      <c r="C163" s="10" t="s">
        <v>510</v>
      </c>
      <c r="D163" s="10" t="s">
        <v>16</v>
      </c>
      <c r="E163" s="10" t="s">
        <v>512</v>
      </c>
      <c r="F163" s="10" t="s">
        <v>120</v>
      </c>
      <c r="G163" s="10" t="s">
        <v>504</v>
      </c>
    </row>
    <row r="164" spans="1:7" ht="14" customHeight="1">
      <c r="A164" s="10" t="s">
        <v>513</v>
      </c>
      <c r="B164" s="10" t="s">
        <v>12</v>
      </c>
      <c r="C164" s="10" t="s">
        <v>514</v>
      </c>
      <c r="D164" s="10" t="s">
        <v>16</v>
      </c>
      <c r="E164" s="10" t="s">
        <v>17</v>
      </c>
    </row>
    <row r="165" spans="1:7" ht="14" customHeight="1">
      <c r="A165" s="10" t="s">
        <v>516</v>
      </c>
      <c r="B165" s="10" t="s">
        <v>12</v>
      </c>
      <c r="C165" s="10" t="s">
        <v>517</v>
      </c>
      <c r="D165" s="10" t="s">
        <v>16</v>
      </c>
      <c r="E165" s="10" t="s">
        <v>17</v>
      </c>
    </row>
    <row r="166" spans="1:7" ht="14" customHeight="1">
      <c r="A166" s="10" t="s">
        <v>519</v>
      </c>
      <c r="B166" s="10" t="s">
        <v>12</v>
      </c>
      <c r="C166" s="10" t="s">
        <v>520</v>
      </c>
      <c r="D166" s="10" t="s">
        <v>16</v>
      </c>
    </row>
    <row r="167" spans="1:7" ht="14" customHeight="1">
      <c r="A167" s="10" t="s">
        <v>521</v>
      </c>
      <c r="B167" s="10" t="s">
        <v>12</v>
      </c>
      <c r="C167" s="10" t="s">
        <v>522</v>
      </c>
      <c r="D167" s="10" t="s">
        <v>16</v>
      </c>
    </row>
    <row r="168" spans="1:7" ht="14" customHeight="1">
      <c r="A168" s="10" t="s">
        <v>523</v>
      </c>
      <c r="B168" s="10" t="s">
        <v>12</v>
      </c>
      <c r="C168" s="10" t="s">
        <v>525</v>
      </c>
      <c r="D168" s="10" t="s">
        <v>16</v>
      </c>
      <c r="E168" s="10" t="s">
        <v>528</v>
      </c>
      <c r="F168" s="10" t="s">
        <v>529</v>
      </c>
      <c r="G168" s="10" t="s">
        <v>17</v>
      </c>
    </row>
    <row r="169" spans="1:7" ht="14" customHeight="1">
      <c r="A169" s="10" t="s">
        <v>530</v>
      </c>
      <c r="B169" s="10" t="s">
        <v>131</v>
      </c>
      <c r="C169" s="10" t="s">
        <v>531</v>
      </c>
      <c r="D169" s="10" t="s">
        <v>16</v>
      </c>
      <c r="E169" s="10" t="s">
        <v>17</v>
      </c>
    </row>
    <row r="170" spans="1:7" ht="14" customHeight="1">
      <c r="A170" s="10" t="s">
        <v>533</v>
      </c>
      <c r="B170" s="10" t="s">
        <v>131</v>
      </c>
      <c r="C170" s="10" t="s">
        <v>534</v>
      </c>
      <c r="D170" s="10" t="s">
        <v>16</v>
      </c>
    </row>
    <row r="171" spans="1:7" ht="14" customHeight="1">
      <c r="A171" s="10" t="s">
        <v>535</v>
      </c>
      <c r="B171" s="10" t="s">
        <v>131</v>
      </c>
      <c r="C171" s="10" t="s">
        <v>536</v>
      </c>
      <c r="D171" s="10" t="s">
        <v>16</v>
      </c>
    </row>
    <row r="172" spans="1:7" ht="14" customHeight="1">
      <c r="A172" s="10" t="s">
        <v>537</v>
      </c>
      <c r="B172" s="10" t="s">
        <v>131</v>
      </c>
      <c r="C172" s="10" t="s">
        <v>538</v>
      </c>
      <c r="D172" s="10" t="s">
        <v>16</v>
      </c>
    </row>
    <row r="173" spans="1:7" ht="14" customHeight="1">
      <c r="A173" s="10" t="s">
        <v>539</v>
      </c>
      <c r="B173" s="10" t="s">
        <v>131</v>
      </c>
      <c r="C173" s="10" t="s">
        <v>540</v>
      </c>
      <c r="D173" s="10" t="s">
        <v>16</v>
      </c>
    </row>
    <row r="174" spans="1:7" ht="14" customHeight="1">
      <c r="A174" s="10" t="s">
        <v>542</v>
      </c>
      <c r="B174" s="10" t="s">
        <v>131</v>
      </c>
      <c r="C174" s="10" t="s">
        <v>544</v>
      </c>
      <c r="D174" s="10" t="s">
        <v>16</v>
      </c>
      <c r="E174" s="10" t="s">
        <v>546</v>
      </c>
    </row>
    <row r="175" spans="1:7" ht="14" customHeight="1">
      <c r="A175" s="10" t="s">
        <v>547</v>
      </c>
      <c r="B175" s="10" t="s">
        <v>202</v>
      </c>
      <c r="C175" s="10" t="s">
        <v>548</v>
      </c>
      <c r="D175" s="10" t="s">
        <v>16</v>
      </c>
      <c r="E175" s="10" t="s">
        <v>17</v>
      </c>
    </row>
    <row r="176" spans="1:7" ht="14" customHeight="1">
      <c r="A176" s="10" t="s">
        <v>550</v>
      </c>
      <c r="B176" s="10" t="s">
        <v>202</v>
      </c>
      <c r="C176" s="10" t="s">
        <v>552</v>
      </c>
      <c r="D176" s="10" t="s">
        <v>16</v>
      </c>
      <c r="E176" s="10" t="s">
        <v>554</v>
      </c>
    </row>
    <row r="177" spans="1:7" ht="14" customHeight="1">
      <c r="A177" s="10" t="s">
        <v>555</v>
      </c>
      <c r="B177" s="10" t="s">
        <v>220</v>
      </c>
      <c r="C177" s="10" t="s">
        <v>557</v>
      </c>
      <c r="D177" s="10" t="s">
        <v>16</v>
      </c>
      <c r="E177" s="10" t="s">
        <v>558</v>
      </c>
    </row>
    <row r="178" spans="1:7" ht="14" customHeight="1">
      <c r="A178" s="10" t="s">
        <v>559</v>
      </c>
      <c r="B178" s="10" t="s">
        <v>220</v>
      </c>
      <c r="C178" s="10" t="s">
        <v>561</v>
      </c>
      <c r="D178" s="10" t="s">
        <v>16</v>
      </c>
      <c r="E178" s="10" t="s">
        <v>562</v>
      </c>
      <c r="F178" s="10" t="s">
        <v>563</v>
      </c>
      <c r="G178" s="10" t="s">
        <v>564</v>
      </c>
    </row>
    <row r="179" spans="1:7" ht="14" customHeight="1">
      <c r="A179" s="10" t="s">
        <v>565</v>
      </c>
      <c r="B179" s="10" t="s">
        <v>220</v>
      </c>
      <c r="C179" s="10" t="s">
        <v>566</v>
      </c>
      <c r="D179" s="10" t="s">
        <v>16</v>
      </c>
    </row>
    <row r="180" spans="1:7" ht="14" customHeight="1">
      <c r="A180" s="10" t="s">
        <v>567</v>
      </c>
      <c r="B180" s="10" t="s">
        <v>23</v>
      </c>
      <c r="C180" s="10" t="s">
        <v>568</v>
      </c>
      <c r="D180" s="10" t="s">
        <v>16</v>
      </c>
    </row>
    <row r="181" spans="1:7" ht="14" customHeight="1">
      <c r="A181" s="10" t="s">
        <v>570</v>
      </c>
      <c r="B181" s="10" t="s">
        <v>23</v>
      </c>
      <c r="C181" s="10" t="s">
        <v>249</v>
      </c>
      <c r="D181" s="10" t="s">
        <v>16</v>
      </c>
    </row>
    <row r="182" spans="1:7" ht="14" customHeight="1">
      <c r="A182" s="10" t="s">
        <v>571</v>
      </c>
      <c r="B182" s="10" t="s">
        <v>23</v>
      </c>
      <c r="C182" s="10" t="s">
        <v>573</v>
      </c>
      <c r="D182" s="10" t="s">
        <v>16</v>
      </c>
      <c r="E182" s="10" t="s">
        <v>528</v>
      </c>
      <c r="F182" s="10" t="s">
        <v>575</v>
      </c>
      <c r="G182" s="10" t="s">
        <v>17</v>
      </c>
    </row>
    <row r="183" spans="1:7" ht="14" customHeight="1">
      <c r="A183" s="10" t="s">
        <v>576</v>
      </c>
      <c r="B183" s="10" t="s">
        <v>23</v>
      </c>
      <c r="C183" s="10" t="s">
        <v>578</v>
      </c>
      <c r="D183" s="10" t="s">
        <v>16</v>
      </c>
      <c r="E183" s="10" t="s">
        <v>528</v>
      </c>
      <c r="F183" s="10" t="s">
        <v>17</v>
      </c>
    </row>
    <row r="184" spans="1:7" ht="14" customHeight="1">
      <c r="A184" s="10" t="s">
        <v>580</v>
      </c>
      <c r="B184" s="10" t="s">
        <v>23</v>
      </c>
      <c r="C184" s="10" t="s">
        <v>581</v>
      </c>
      <c r="D184" s="10" t="s">
        <v>16</v>
      </c>
    </row>
    <row r="185" spans="1:7" ht="14" customHeight="1">
      <c r="A185" s="10" t="s">
        <v>583</v>
      </c>
      <c r="B185" s="10" t="s">
        <v>23</v>
      </c>
      <c r="C185" s="10" t="s">
        <v>584</v>
      </c>
      <c r="D185" s="10" t="s">
        <v>16</v>
      </c>
      <c r="E185" s="10" t="s">
        <v>528</v>
      </c>
      <c r="F185" s="10" t="s">
        <v>17</v>
      </c>
    </row>
    <row r="186" spans="1:7" ht="14" customHeight="1">
      <c r="A186" s="10" t="s">
        <v>586</v>
      </c>
      <c r="B186" s="10" t="s">
        <v>23</v>
      </c>
      <c r="C186" s="10" t="s">
        <v>588</v>
      </c>
      <c r="D186" s="10" t="s">
        <v>16</v>
      </c>
      <c r="E186" s="10" t="s">
        <v>17</v>
      </c>
    </row>
    <row r="187" spans="1:7" ht="14" customHeight="1">
      <c r="A187" s="10" t="s">
        <v>590</v>
      </c>
      <c r="B187" s="10" t="s">
        <v>23</v>
      </c>
      <c r="C187" s="10" t="s">
        <v>592</v>
      </c>
      <c r="D187" s="10" t="s">
        <v>16</v>
      </c>
      <c r="E187" s="10" t="s">
        <v>17</v>
      </c>
    </row>
    <row r="188" spans="1:7" ht="14" customHeight="1">
      <c r="A188" s="10" t="s">
        <v>594</v>
      </c>
      <c r="B188" s="10" t="s">
        <v>23</v>
      </c>
      <c r="C188" s="10" t="s">
        <v>596</v>
      </c>
      <c r="D188" s="10" t="s">
        <v>16</v>
      </c>
      <c r="E188" s="10" t="s">
        <v>17</v>
      </c>
    </row>
    <row r="189" spans="1:7" ht="14" customHeight="1">
      <c r="A189" s="10" t="s">
        <v>597</v>
      </c>
      <c r="B189" s="10" t="s">
        <v>23</v>
      </c>
      <c r="C189" s="10" t="s">
        <v>598</v>
      </c>
      <c r="D189" s="10" t="s">
        <v>16</v>
      </c>
      <c r="E189" s="10" t="s">
        <v>528</v>
      </c>
      <c r="F189" s="10" t="s">
        <v>17</v>
      </c>
    </row>
    <row r="190" spans="1:7" ht="14" customHeight="1">
      <c r="A190" s="10" t="s">
        <v>600</v>
      </c>
      <c r="B190" s="10" t="s">
        <v>23</v>
      </c>
      <c r="C190" s="10" t="s">
        <v>602</v>
      </c>
      <c r="D190" s="10" t="s">
        <v>16</v>
      </c>
      <c r="E190" s="10" t="s">
        <v>604</v>
      </c>
      <c r="F190" s="10" t="s">
        <v>17</v>
      </c>
    </row>
    <row r="191" spans="1:7" ht="14" customHeight="1">
      <c r="A191" s="10" t="s">
        <v>605</v>
      </c>
      <c r="B191" s="10" t="s">
        <v>252</v>
      </c>
      <c r="C191" s="10" t="s">
        <v>606</v>
      </c>
      <c r="D191" s="10" t="s">
        <v>16</v>
      </c>
      <c r="E191" s="10" t="s">
        <v>39</v>
      </c>
      <c r="F191" s="10" t="s">
        <v>17</v>
      </c>
    </row>
    <row r="192" spans="1:7" ht="14" customHeight="1">
      <c r="A192" s="10" t="s">
        <v>607</v>
      </c>
      <c r="B192" s="10" t="s">
        <v>252</v>
      </c>
      <c r="C192" s="10" t="s">
        <v>609</v>
      </c>
      <c r="D192" s="10" t="s">
        <v>16</v>
      </c>
      <c r="E192" s="10" t="s">
        <v>17</v>
      </c>
    </row>
    <row r="193" spans="1:9" ht="14" customHeight="1">
      <c r="A193" s="10" t="s">
        <v>612</v>
      </c>
      <c r="B193" s="10" t="s">
        <v>252</v>
      </c>
      <c r="C193" s="10" t="s">
        <v>613</v>
      </c>
      <c r="D193" s="10" t="s">
        <v>16</v>
      </c>
    </row>
    <row r="194" spans="1:9" ht="14" customHeight="1">
      <c r="A194" s="10" t="s">
        <v>614</v>
      </c>
      <c r="B194" s="10" t="s">
        <v>45</v>
      </c>
      <c r="C194" s="10" t="s">
        <v>615</v>
      </c>
      <c r="D194" s="10" t="s">
        <v>16</v>
      </c>
    </row>
    <row r="195" spans="1:9" ht="14" customHeight="1">
      <c r="A195" s="10" t="s">
        <v>616</v>
      </c>
      <c r="B195" s="10" t="s">
        <v>45</v>
      </c>
      <c r="C195" s="10" t="s">
        <v>618</v>
      </c>
      <c r="D195" s="10" t="s">
        <v>16</v>
      </c>
    </row>
    <row r="196" spans="1:9" ht="14" customHeight="1">
      <c r="A196" s="10" t="s">
        <v>620</v>
      </c>
      <c r="B196" s="10" t="s">
        <v>45</v>
      </c>
      <c r="C196" s="10" t="s">
        <v>622</v>
      </c>
      <c r="D196" s="10" t="s">
        <v>16</v>
      </c>
      <c r="E196" s="10" t="s">
        <v>17</v>
      </c>
    </row>
    <row r="197" spans="1:9" ht="14" customHeight="1">
      <c r="A197" s="10" t="s">
        <v>624</v>
      </c>
      <c r="B197" s="10" t="s">
        <v>53</v>
      </c>
      <c r="C197" s="10" t="s">
        <v>625</v>
      </c>
      <c r="D197" s="10" t="s">
        <v>16</v>
      </c>
    </row>
    <row r="198" spans="1:9" ht="14" customHeight="1">
      <c r="A198" s="10" t="s">
        <v>627</v>
      </c>
      <c r="B198" s="10" t="s">
        <v>53</v>
      </c>
      <c r="C198" s="10" t="s">
        <v>629</v>
      </c>
      <c r="D198" s="10" t="s">
        <v>16</v>
      </c>
      <c r="E198" s="10" t="s">
        <v>17</v>
      </c>
      <c r="F198" s="10" t="s">
        <v>631</v>
      </c>
    </row>
    <row r="199" spans="1:9" ht="14" customHeight="1">
      <c r="A199" s="10" t="s">
        <v>632</v>
      </c>
      <c r="B199" s="10" t="s">
        <v>53</v>
      </c>
      <c r="C199" s="10" t="s">
        <v>633</v>
      </c>
      <c r="D199" s="10" t="s">
        <v>16</v>
      </c>
    </row>
    <row r="200" spans="1:9" ht="14" customHeight="1">
      <c r="A200" s="10" t="s">
        <v>634</v>
      </c>
      <c r="B200" s="10" t="s">
        <v>53</v>
      </c>
      <c r="C200" s="10" t="s">
        <v>636</v>
      </c>
      <c r="D200" s="10" t="s">
        <v>16</v>
      </c>
    </row>
    <row r="201" spans="1:9" ht="14" customHeight="1">
      <c r="A201" s="10" t="s">
        <v>637</v>
      </c>
      <c r="B201" s="10" t="s">
        <v>53</v>
      </c>
      <c r="C201" s="10" t="s">
        <v>638</v>
      </c>
      <c r="D201" s="10" t="s">
        <v>16</v>
      </c>
    </row>
    <row r="202" spans="1:9" ht="14" customHeight="1">
      <c r="A202" s="10" t="s">
        <v>639</v>
      </c>
      <c r="B202" s="10" t="s">
        <v>53</v>
      </c>
      <c r="C202" s="10" t="s">
        <v>641</v>
      </c>
      <c r="D202" s="10" t="s">
        <v>16</v>
      </c>
    </row>
    <row r="203" spans="1:9" ht="14" customHeight="1">
      <c r="A203" s="10" t="s">
        <v>642</v>
      </c>
      <c r="B203" s="10" t="s">
        <v>53</v>
      </c>
      <c r="C203" s="10" t="s">
        <v>643</v>
      </c>
      <c r="D203" s="10" t="s">
        <v>16</v>
      </c>
    </row>
    <row r="204" spans="1:9" ht="14" customHeight="1">
      <c r="A204" s="10" t="s">
        <v>644</v>
      </c>
      <c r="B204" s="10" t="s">
        <v>53</v>
      </c>
      <c r="C204" s="10" t="s">
        <v>645</v>
      </c>
      <c r="D204" s="10" t="s">
        <v>16</v>
      </c>
    </row>
    <row r="205" spans="1:9" ht="14" customHeight="1">
      <c r="A205" s="10" t="s">
        <v>646</v>
      </c>
      <c r="B205" s="10" t="s">
        <v>53</v>
      </c>
      <c r="C205" s="10" t="s">
        <v>648</v>
      </c>
      <c r="D205" s="10" t="s">
        <v>16</v>
      </c>
    </row>
    <row r="206" spans="1:9" ht="14" customHeight="1">
      <c r="A206" s="10" t="s">
        <v>649</v>
      </c>
      <c r="B206" s="10" t="s">
        <v>53</v>
      </c>
      <c r="C206" s="10" t="s">
        <v>650</v>
      </c>
      <c r="D206" s="10" t="s">
        <v>16</v>
      </c>
    </row>
    <row r="207" spans="1:9" ht="14" customHeight="1">
      <c r="A207" s="10" t="s">
        <v>652</v>
      </c>
      <c r="B207" s="10" t="s">
        <v>53</v>
      </c>
      <c r="C207" s="10" t="s">
        <v>653</v>
      </c>
      <c r="D207" s="10" t="s">
        <v>16</v>
      </c>
      <c r="E207" s="10" t="s">
        <v>17</v>
      </c>
    </row>
    <row r="208" spans="1:9" ht="14" customHeight="1">
      <c r="A208" s="10" t="s">
        <v>655</v>
      </c>
      <c r="B208" s="10" t="s">
        <v>62</v>
      </c>
      <c r="C208" s="10" t="s">
        <v>657</v>
      </c>
      <c r="D208" s="10" t="s">
        <v>16</v>
      </c>
      <c r="E208" s="10" t="s">
        <v>658</v>
      </c>
      <c r="F208" s="10" t="s">
        <v>659</v>
      </c>
      <c r="G208" s="10" t="s">
        <v>563</v>
      </c>
      <c r="H208" s="4" t="s">
        <v>660</v>
      </c>
      <c r="I208" s="4" t="s">
        <v>661</v>
      </c>
    </row>
    <row r="209" spans="1:6" ht="14" customHeight="1">
      <c r="A209" s="10" t="s">
        <v>662</v>
      </c>
      <c r="B209" s="10" t="s">
        <v>62</v>
      </c>
      <c r="C209" s="10" t="s">
        <v>663</v>
      </c>
      <c r="D209" s="10" t="s">
        <v>16</v>
      </c>
    </row>
    <row r="210" spans="1:6" ht="14" customHeight="1">
      <c r="A210" s="10" t="s">
        <v>664</v>
      </c>
      <c r="B210" s="10" t="s">
        <v>62</v>
      </c>
      <c r="C210" s="10" t="s">
        <v>665</v>
      </c>
      <c r="D210" s="10" t="s">
        <v>16</v>
      </c>
      <c r="E210" s="10" t="s">
        <v>39</v>
      </c>
      <c r="F210" s="10" t="s">
        <v>17</v>
      </c>
    </row>
    <row r="211" spans="1:6" ht="14" customHeight="1">
      <c r="A211" s="10" t="s">
        <v>667</v>
      </c>
      <c r="B211" s="10" t="s">
        <v>62</v>
      </c>
      <c r="C211" s="10" t="s">
        <v>668</v>
      </c>
      <c r="D211" s="10" t="s">
        <v>16</v>
      </c>
      <c r="E211" s="10" t="s">
        <v>39</v>
      </c>
      <c r="F211" s="10" t="s">
        <v>17</v>
      </c>
    </row>
    <row r="212" spans="1:6" ht="14" customHeight="1">
      <c r="A212" s="10" t="s">
        <v>669</v>
      </c>
      <c r="B212" s="10" t="s">
        <v>62</v>
      </c>
      <c r="C212" s="10" t="s">
        <v>665</v>
      </c>
      <c r="D212" s="10" t="s">
        <v>16</v>
      </c>
      <c r="E212" s="10" t="s">
        <v>39</v>
      </c>
      <c r="F212" s="10" t="s">
        <v>17</v>
      </c>
    </row>
    <row r="213" spans="1:6" ht="14" customHeight="1">
      <c r="A213" s="10" t="s">
        <v>670</v>
      </c>
      <c r="B213" s="10" t="s">
        <v>62</v>
      </c>
      <c r="C213" s="10" t="s">
        <v>671</v>
      </c>
      <c r="D213" s="10" t="s">
        <v>16</v>
      </c>
    </row>
    <row r="214" spans="1:6" ht="14" customHeight="1">
      <c r="A214" s="10" t="s">
        <v>672</v>
      </c>
      <c r="B214" s="10" t="s">
        <v>62</v>
      </c>
      <c r="C214" s="10" t="s">
        <v>673</v>
      </c>
      <c r="D214" s="10" t="s">
        <v>16</v>
      </c>
    </row>
    <row r="215" spans="1:6" ht="14" customHeight="1">
      <c r="A215" s="10" t="s">
        <v>674</v>
      </c>
      <c r="B215" s="10" t="s">
        <v>62</v>
      </c>
      <c r="C215" s="10" t="s">
        <v>675</v>
      </c>
      <c r="D215" s="10" t="s">
        <v>16</v>
      </c>
    </row>
    <row r="216" spans="1:6" ht="14" customHeight="1">
      <c r="A216" s="10" t="s">
        <v>677</v>
      </c>
      <c r="B216" s="10" t="s">
        <v>62</v>
      </c>
      <c r="C216" s="10" t="s">
        <v>678</v>
      </c>
      <c r="D216" s="10" t="s">
        <v>16</v>
      </c>
    </row>
    <row r="217" spans="1:6" ht="14" customHeight="1">
      <c r="A217" s="10" t="s">
        <v>679</v>
      </c>
      <c r="B217" s="10" t="s">
        <v>62</v>
      </c>
      <c r="C217" s="10" t="s">
        <v>680</v>
      </c>
      <c r="D217" s="10" t="s">
        <v>16</v>
      </c>
    </row>
    <row r="218" spans="1:6" ht="14" customHeight="1">
      <c r="A218" s="10" t="s">
        <v>681</v>
      </c>
      <c r="B218" s="10" t="s">
        <v>62</v>
      </c>
      <c r="C218" s="10" t="s">
        <v>682</v>
      </c>
      <c r="D218" s="10" t="s">
        <v>16</v>
      </c>
      <c r="E218" s="10" t="s">
        <v>39</v>
      </c>
      <c r="F218" s="10" t="s">
        <v>17</v>
      </c>
    </row>
    <row r="219" spans="1:6" ht="14" customHeight="1">
      <c r="A219" s="10" t="s">
        <v>683</v>
      </c>
      <c r="B219" s="10" t="s">
        <v>62</v>
      </c>
      <c r="C219" s="10" t="s">
        <v>684</v>
      </c>
      <c r="D219" s="10" t="s">
        <v>16</v>
      </c>
    </row>
    <row r="220" spans="1:6" ht="14" customHeight="1">
      <c r="A220" s="10" t="s">
        <v>685</v>
      </c>
      <c r="B220" s="10" t="s">
        <v>67</v>
      </c>
      <c r="C220" s="10" t="s">
        <v>686</v>
      </c>
      <c r="D220" s="10" t="s">
        <v>16</v>
      </c>
    </row>
    <row r="221" spans="1:6" ht="14" customHeight="1">
      <c r="A221" s="10" t="s">
        <v>687</v>
      </c>
      <c r="B221" s="10" t="s">
        <v>67</v>
      </c>
      <c r="C221" s="10" t="s">
        <v>689</v>
      </c>
      <c r="D221" s="10" t="s">
        <v>16</v>
      </c>
    </row>
    <row r="222" spans="1:6" ht="14" customHeight="1">
      <c r="A222" s="10" t="s">
        <v>690</v>
      </c>
      <c r="B222" s="10" t="s">
        <v>67</v>
      </c>
      <c r="C222" s="10" t="s">
        <v>691</v>
      </c>
      <c r="D222" s="10" t="s">
        <v>16</v>
      </c>
    </row>
    <row r="223" spans="1:6" ht="14" customHeight="1">
      <c r="A223" s="10" t="s">
        <v>692</v>
      </c>
      <c r="B223" s="10" t="s">
        <v>67</v>
      </c>
      <c r="C223" s="10" t="e">
        <v>#VALUE!</v>
      </c>
      <c r="D223" s="10" t="s">
        <v>16</v>
      </c>
    </row>
    <row r="224" spans="1:6" ht="14" customHeight="1">
      <c r="A224" s="10" t="s">
        <v>694</v>
      </c>
      <c r="B224" s="10" t="s">
        <v>262</v>
      </c>
      <c r="C224" s="10" t="s">
        <v>696</v>
      </c>
      <c r="D224" s="10" t="s">
        <v>16</v>
      </c>
      <c r="E224" s="10" t="s">
        <v>17</v>
      </c>
      <c r="F224" s="10" t="s">
        <v>86</v>
      </c>
    </row>
    <row r="225" spans="1:6" ht="14" customHeight="1">
      <c r="A225" s="10" t="s">
        <v>698</v>
      </c>
      <c r="B225" s="10" t="s">
        <v>262</v>
      </c>
      <c r="C225" s="10" t="s">
        <v>699</v>
      </c>
      <c r="D225" s="10" t="s">
        <v>16</v>
      </c>
    </row>
    <row r="226" spans="1:6" ht="14" customHeight="1">
      <c r="A226" s="10" t="s">
        <v>700</v>
      </c>
      <c r="B226" s="10" t="s">
        <v>262</v>
      </c>
      <c r="C226" s="10" t="s">
        <v>701</v>
      </c>
      <c r="D226" s="10" t="s">
        <v>16</v>
      </c>
    </row>
    <row r="227" spans="1:6" ht="14" customHeight="1">
      <c r="A227" s="10" t="s">
        <v>703</v>
      </c>
      <c r="B227" s="10" t="s">
        <v>705</v>
      </c>
      <c r="C227" s="10" t="s">
        <v>706</v>
      </c>
      <c r="D227" s="10" t="s">
        <v>16</v>
      </c>
    </row>
    <row r="228" spans="1:6" ht="14" customHeight="1">
      <c r="A228" s="10" t="s">
        <v>707</v>
      </c>
      <c r="B228" s="10" t="s">
        <v>705</v>
      </c>
      <c r="C228" s="10" t="s">
        <v>708</v>
      </c>
      <c r="D228" s="10" t="s">
        <v>16</v>
      </c>
    </row>
    <row r="229" spans="1:6" ht="14" customHeight="1">
      <c r="A229" s="10" t="s">
        <v>709</v>
      </c>
      <c r="B229" s="10" t="s">
        <v>705</v>
      </c>
      <c r="C229" s="10" t="s">
        <v>710</v>
      </c>
      <c r="D229" s="10" t="s">
        <v>16</v>
      </c>
      <c r="E229" s="10" t="s">
        <v>17</v>
      </c>
    </row>
    <row r="230" spans="1:6" ht="14" customHeight="1">
      <c r="A230" s="10" t="s">
        <v>711</v>
      </c>
      <c r="B230" s="10" t="s">
        <v>705</v>
      </c>
      <c r="C230" s="10" t="s">
        <v>713</v>
      </c>
      <c r="D230" s="10" t="s">
        <v>16</v>
      </c>
    </row>
    <row r="231" spans="1:6" ht="14" customHeight="1">
      <c r="A231" s="10" t="s">
        <v>714</v>
      </c>
      <c r="B231" s="10" t="s">
        <v>705</v>
      </c>
      <c r="C231" s="10" t="s">
        <v>715</v>
      </c>
      <c r="D231" s="10" t="s">
        <v>16</v>
      </c>
    </row>
    <row r="232" spans="1:6" ht="14" customHeight="1">
      <c r="A232" s="10" t="s">
        <v>716</v>
      </c>
      <c r="B232" s="10" t="s">
        <v>705</v>
      </c>
      <c r="C232" s="10" t="s">
        <v>718</v>
      </c>
      <c r="D232" s="10" t="s">
        <v>16</v>
      </c>
      <c r="E232" s="10" t="s">
        <v>720</v>
      </c>
    </row>
    <row r="233" spans="1:6" ht="14" customHeight="1">
      <c r="A233" s="10" t="s">
        <v>721</v>
      </c>
      <c r="B233" s="10" t="s">
        <v>705</v>
      </c>
      <c r="C233" s="10" t="s">
        <v>723</v>
      </c>
      <c r="D233" s="10" t="s">
        <v>16</v>
      </c>
      <c r="E233" s="10" t="s">
        <v>563</v>
      </c>
      <c r="F233" s="10" t="s">
        <v>724</v>
      </c>
    </row>
    <row r="234" spans="1:6" ht="14" customHeight="1">
      <c r="A234" s="10" t="s">
        <v>725</v>
      </c>
      <c r="B234" s="10" t="s">
        <v>705</v>
      </c>
      <c r="C234" s="10" t="s">
        <v>727</v>
      </c>
      <c r="D234" s="10" t="s">
        <v>16</v>
      </c>
    </row>
    <row r="235" spans="1:6" ht="14" customHeight="1">
      <c r="A235" s="10" t="s">
        <v>728</v>
      </c>
      <c r="B235" s="10" t="s">
        <v>705</v>
      </c>
      <c r="C235" s="10" t="s">
        <v>730</v>
      </c>
      <c r="D235" s="10" t="s">
        <v>16</v>
      </c>
    </row>
    <row r="236" spans="1:6" ht="14" customHeight="1">
      <c r="A236" s="10" t="s">
        <v>731</v>
      </c>
      <c r="B236" s="10" t="s">
        <v>266</v>
      </c>
      <c r="C236" s="10" t="s">
        <v>732</v>
      </c>
      <c r="D236" s="10" t="s">
        <v>16</v>
      </c>
    </row>
    <row r="237" spans="1:6" ht="14" customHeight="1">
      <c r="A237" s="10" t="s">
        <v>733</v>
      </c>
      <c r="B237" s="10" t="s">
        <v>266</v>
      </c>
      <c r="C237" s="10" t="s">
        <v>735</v>
      </c>
      <c r="D237" s="10" t="s">
        <v>16</v>
      </c>
      <c r="E237" s="10" t="s">
        <v>736</v>
      </c>
    </row>
    <row r="238" spans="1:6" ht="14" customHeight="1">
      <c r="A238" s="10" t="s">
        <v>737</v>
      </c>
      <c r="B238" s="10" t="s">
        <v>266</v>
      </c>
      <c r="C238" s="10" t="s">
        <v>738</v>
      </c>
      <c r="D238" s="10" t="s">
        <v>16</v>
      </c>
      <c r="E238" s="10" t="s">
        <v>736</v>
      </c>
    </row>
    <row r="239" spans="1:6" ht="14" customHeight="1">
      <c r="A239" s="10" t="s">
        <v>739</v>
      </c>
      <c r="B239" s="10" t="s">
        <v>74</v>
      </c>
      <c r="C239" s="10" t="s">
        <v>740</v>
      </c>
      <c r="D239" s="10" t="s">
        <v>16</v>
      </c>
    </row>
    <row r="240" spans="1:6" ht="14" customHeight="1">
      <c r="A240" s="10" t="s">
        <v>741</v>
      </c>
      <c r="B240" s="10" t="s">
        <v>74</v>
      </c>
      <c r="C240" s="10" t="s">
        <v>742</v>
      </c>
      <c r="D240" s="10" t="s">
        <v>16</v>
      </c>
    </row>
    <row r="241" spans="1:8" ht="14" customHeight="1">
      <c r="A241" s="10" t="s">
        <v>743</v>
      </c>
      <c r="B241" s="10" t="s">
        <v>78</v>
      </c>
      <c r="C241" s="10" t="s">
        <v>745</v>
      </c>
      <c r="D241" s="10" t="s">
        <v>16</v>
      </c>
    </row>
    <row r="242" spans="1:8" ht="14" customHeight="1">
      <c r="A242" s="10" t="s">
        <v>746</v>
      </c>
      <c r="B242" s="10" t="s">
        <v>78</v>
      </c>
      <c r="C242" s="10" t="s">
        <v>747</v>
      </c>
      <c r="D242" s="10" t="s">
        <v>16</v>
      </c>
    </row>
    <row r="243" spans="1:8" ht="14" customHeight="1">
      <c r="A243" s="10" t="s">
        <v>748</v>
      </c>
      <c r="B243" s="10" t="s">
        <v>78</v>
      </c>
      <c r="C243" s="10" t="s">
        <v>749</v>
      </c>
      <c r="D243" s="10" t="s">
        <v>16</v>
      </c>
      <c r="E243" s="10" t="s">
        <v>441</v>
      </c>
    </row>
    <row r="244" spans="1:8" ht="14" customHeight="1">
      <c r="A244" s="10" t="s">
        <v>750</v>
      </c>
      <c r="B244" s="10" t="s">
        <v>78</v>
      </c>
      <c r="C244" s="10" t="s">
        <v>752</v>
      </c>
      <c r="D244" s="10" t="s">
        <v>16</v>
      </c>
    </row>
    <row r="245" spans="1:8" ht="14" customHeight="1">
      <c r="A245" s="10" t="s">
        <v>753</v>
      </c>
      <c r="B245" s="10" t="s">
        <v>78</v>
      </c>
      <c r="C245" s="10" t="s">
        <v>755</v>
      </c>
      <c r="D245" s="10" t="s">
        <v>16</v>
      </c>
    </row>
    <row r="246" spans="1:8" ht="14" customHeight="1">
      <c r="A246" s="10" t="s">
        <v>756</v>
      </c>
      <c r="B246" s="10" t="s">
        <v>78</v>
      </c>
      <c r="C246" s="10" t="s">
        <v>758</v>
      </c>
      <c r="D246" s="10" t="s">
        <v>16</v>
      </c>
      <c r="E246" s="10" t="s">
        <v>295</v>
      </c>
      <c r="F246" s="10" t="s">
        <v>86</v>
      </c>
    </row>
    <row r="247" spans="1:8" ht="14" customHeight="1">
      <c r="A247" s="10" t="s">
        <v>760</v>
      </c>
      <c r="B247" s="10" t="s">
        <v>78</v>
      </c>
      <c r="C247" s="10" t="s">
        <v>761</v>
      </c>
      <c r="D247" s="10" t="s">
        <v>16</v>
      </c>
    </row>
    <row r="248" spans="1:8" ht="14" customHeight="1">
      <c r="A248" s="10" t="s">
        <v>762</v>
      </c>
      <c r="B248" s="10" t="s">
        <v>78</v>
      </c>
      <c r="C248" s="10" t="s">
        <v>763</v>
      </c>
      <c r="D248" s="10" t="s">
        <v>16</v>
      </c>
    </row>
    <row r="249" spans="1:8" ht="14" customHeight="1">
      <c r="A249" s="10" t="s">
        <v>764</v>
      </c>
      <c r="B249" s="10" t="s">
        <v>83</v>
      </c>
      <c r="C249" s="10" t="s">
        <v>766</v>
      </c>
      <c r="D249" s="10" t="s">
        <v>16</v>
      </c>
    </row>
    <row r="250" spans="1:8" ht="14" customHeight="1">
      <c r="A250" s="10" t="s">
        <v>767</v>
      </c>
      <c r="B250" s="10" t="s">
        <v>83</v>
      </c>
      <c r="C250" s="10" t="s">
        <v>768</v>
      </c>
      <c r="D250" s="10" t="s">
        <v>16</v>
      </c>
    </row>
    <row r="251" spans="1:8" ht="14" customHeight="1">
      <c r="A251" s="10" t="s">
        <v>769</v>
      </c>
      <c r="B251" s="10" t="s">
        <v>83</v>
      </c>
      <c r="C251" s="10" t="s">
        <v>771</v>
      </c>
      <c r="D251" s="10" t="s">
        <v>16</v>
      </c>
      <c r="E251" s="10" t="s">
        <v>17</v>
      </c>
    </row>
    <row r="252" spans="1:8" ht="14" customHeight="1">
      <c r="A252" s="10" t="s">
        <v>773</v>
      </c>
      <c r="B252" s="10" t="s">
        <v>83</v>
      </c>
      <c r="C252" s="10" t="s">
        <v>774</v>
      </c>
      <c r="D252" s="10" t="s">
        <v>16</v>
      </c>
    </row>
    <row r="253" spans="1:8" ht="14" customHeight="1">
      <c r="A253" s="10" t="s">
        <v>775</v>
      </c>
      <c r="B253" s="10" t="s">
        <v>83</v>
      </c>
      <c r="C253" s="10" t="s">
        <v>776</v>
      </c>
      <c r="D253" s="10" t="s">
        <v>16</v>
      </c>
      <c r="E253" s="10" t="s">
        <v>86</v>
      </c>
    </row>
    <row r="254" spans="1:8" ht="14" customHeight="1">
      <c r="A254" s="10" t="s">
        <v>777</v>
      </c>
      <c r="B254" s="10" t="s">
        <v>83</v>
      </c>
      <c r="C254" s="10" t="s">
        <v>779</v>
      </c>
      <c r="D254" s="10" t="s">
        <v>16</v>
      </c>
      <c r="E254" s="10" t="s">
        <v>563</v>
      </c>
      <c r="F254" s="10" t="s">
        <v>781</v>
      </c>
      <c r="G254" s="10" t="s">
        <v>71</v>
      </c>
      <c r="H254" s="4" t="s">
        <v>782</v>
      </c>
    </row>
    <row r="255" spans="1:8" ht="14" customHeight="1">
      <c r="A255" s="10" t="s">
        <v>783</v>
      </c>
      <c r="B255" s="10" t="s">
        <v>83</v>
      </c>
      <c r="C255" s="10" t="s">
        <v>784</v>
      </c>
      <c r="D255" s="10" t="s">
        <v>16</v>
      </c>
      <c r="E255" s="10" t="s">
        <v>17</v>
      </c>
    </row>
    <row r="256" spans="1:8" ht="14" customHeight="1">
      <c r="A256" s="10" t="s">
        <v>785</v>
      </c>
      <c r="B256" s="10" t="s">
        <v>83</v>
      </c>
      <c r="C256" s="10" t="s">
        <v>786</v>
      </c>
      <c r="D256" s="10" t="s">
        <v>16</v>
      </c>
      <c r="E256" s="10" t="s">
        <v>86</v>
      </c>
    </row>
    <row r="257" spans="1:6" ht="14" customHeight="1">
      <c r="A257" s="10" t="s">
        <v>787</v>
      </c>
      <c r="B257" s="10" t="s">
        <v>83</v>
      </c>
      <c r="C257" s="10" t="s">
        <v>788</v>
      </c>
      <c r="D257" s="10" t="s">
        <v>16</v>
      </c>
      <c r="E257" s="10" t="s">
        <v>86</v>
      </c>
    </row>
    <row r="258" spans="1:6" ht="14" customHeight="1">
      <c r="A258" s="10" t="s">
        <v>789</v>
      </c>
      <c r="B258" s="10" t="s">
        <v>89</v>
      </c>
      <c r="C258" s="10" t="s">
        <v>90</v>
      </c>
      <c r="D258" s="10" t="s">
        <v>16</v>
      </c>
      <c r="E258" s="10" t="s">
        <v>17</v>
      </c>
      <c r="F258" s="10" t="s">
        <v>86</v>
      </c>
    </row>
    <row r="259" spans="1:6" ht="14" customHeight="1">
      <c r="A259" s="10" t="s">
        <v>790</v>
      </c>
      <c r="B259" s="10" t="s">
        <v>89</v>
      </c>
      <c r="C259" s="10" t="s">
        <v>93</v>
      </c>
      <c r="D259" s="10" t="s">
        <v>16</v>
      </c>
    </row>
    <row r="260" spans="1:6" ht="14" customHeight="1">
      <c r="A260" s="10" t="s">
        <v>791</v>
      </c>
      <c r="B260" s="10" t="s">
        <v>89</v>
      </c>
      <c r="C260" s="10" t="s">
        <v>793</v>
      </c>
      <c r="D260" s="10" t="s">
        <v>16</v>
      </c>
      <c r="E260" s="10" t="s">
        <v>441</v>
      </c>
    </row>
    <row r="261" spans="1:6" ht="14" customHeight="1">
      <c r="A261" s="10" t="s">
        <v>794</v>
      </c>
      <c r="B261" s="10" t="s">
        <v>89</v>
      </c>
      <c r="C261" s="10" t="s">
        <v>795</v>
      </c>
      <c r="D261" s="10" t="s">
        <v>16</v>
      </c>
    </row>
    <row r="262" spans="1:6" ht="14" customHeight="1">
      <c r="A262" s="10" t="s">
        <v>796</v>
      </c>
      <c r="B262" s="10" t="s">
        <v>89</v>
      </c>
      <c r="C262" s="10" t="s">
        <v>797</v>
      </c>
      <c r="D262" s="10" t="s">
        <v>16</v>
      </c>
      <c r="E262" s="10" t="s">
        <v>86</v>
      </c>
    </row>
    <row r="263" spans="1:6" ht="14" customHeight="1">
      <c r="A263" s="10" t="s">
        <v>798</v>
      </c>
      <c r="B263" s="10" t="s">
        <v>89</v>
      </c>
      <c r="C263" s="10" t="s">
        <v>799</v>
      </c>
      <c r="D263" s="10" t="s">
        <v>16</v>
      </c>
      <c r="E263" s="10" t="s">
        <v>86</v>
      </c>
    </row>
    <row r="264" spans="1:6" ht="14" customHeight="1">
      <c r="A264" s="10" t="s">
        <v>800</v>
      </c>
      <c r="B264" s="10" t="s">
        <v>89</v>
      </c>
      <c r="C264" s="10" t="s">
        <v>801</v>
      </c>
      <c r="D264" s="10" t="s">
        <v>16</v>
      </c>
      <c r="E264" s="10" t="s">
        <v>71</v>
      </c>
    </row>
    <row r="265" spans="1:6" ht="14" customHeight="1">
      <c r="A265" s="10" t="s">
        <v>802</v>
      </c>
      <c r="B265" s="10" t="s">
        <v>89</v>
      </c>
      <c r="C265" s="10" t="s">
        <v>803</v>
      </c>
      <c r="D265" s="10" t="s">
        <v>16</v>
      </c>
    </row>
    <row r="266" spans="1:6" ht="14" customHeight="1">
      <c r="A266" s="10" t="s">
        <v>804</v>
      </c>
      <c r="B266" s="10" t="s">
        <v>89</v>
      </c>
      <c r="C266" s="10" t="s">
        <v>805</v>
      </c>
      <c r="D266" s="10" t="s">
        <v>16</v>
      </c>
      <c r="E266" s="10" t="s">
        <v>86</v>
      </c>
    </row>
    <row r="267" spans="1:6" ht="14" customHeight="1">
      <c r="A267" s="10" t="s">
        <v>806</v>
      </c>
      <c r="B267" s="10" t="s">
        <v>89</v>
      </c>
      <c r="C267" s="10" t="s">
        <v>807</v>
      </c>
      <c r="D267" s="10" t="s">
        <v>16</v>
      </c>
    </row>
    <row r="268" spans="1:6" ht="14" customHeight="1">
      <c r="A268" s="10" t="s">
        <v>808</v>
      </c>
      <c r="B268" s="10" t="s">
        <v>89</v>
      </c>
      <c r="C268" s="10" t="s">
        <v>809</v>
      </c>
      <c r="D268" s="10" t="s">
        <v>16</v>
      </c>
      <c r="E268" s="10" t="s">
        <v>86</v>
      </c>
    </row>
    <row r="269" spans="1:6" ht="14" customHeight="1">
      <c r="A269" s="10" t="s">
        <v>810</v>
      </c>
      <c r="B269" s="10" t="s">
        <v>89</v>
      </c>
      <c r="C269" s="10" t="s">
        <v>811</v>
      </c>
      <c r="D269" s="10" t="s">
        <v>16</v>
      </c>
    </row>
    <row r="270" spans="1:6" ht="14" customHeight="1">
      <c r="A270" s="10" t="s">
        <v>812</v>
      </c>
      <c r="B270" s="10" t="s">
        <v>89</v>
      </c>
      <c r="C270" s="10" t="s">
        <v>813</v>
      </c>
      <c r="D270" s="10" t="s">
        <v>16</v>
      </c>
      <c r="E270" s="10" t="s">
        <v>86</v>
      </c>
    </row>
    <row r="271" spans="1:6" ht="14" customHeight="1">
      <c r="A271" s="10" t="s">
        <v>815</v>
      </c>
      <c r="B271" s="10" t="s">
        <v>99</v>
      </c>
      <c r="C271" s="10" t="s">
        <v>816</v>
      </c>
      <c r="D271" s="10" t="s">
        <v>16</v>
      </c>
    </row>
    <row r="272" spans="1:6" ht="14" customHeight="1">
      <c r="A272" s="10" t="s">
        <v>817</v>
      </c>
      <c r="B272" s="10" t="s">
        <v>99</v>
      </c>
      <c r="C272" s="10" t="s">
        <v>818</v>
      </c>
      <c r="D272" s="10" t="s">
        <v>16</v>
      </c>
    </row>
    <row r="273" spans="1:6" ht="14" customHeight="1">
      <c r="A273" s="10" t="s">
        <v>819</v>
      </c>
      <c r="B273" s="10" t="s">
        <v>99</v>
      </c>
      <c r="C273" s="10" t="s">
        <v>821</v>
      </c>
      <c r="D273" s="10" t="s">
        <v>16</v>
      </c>
      <c r="E273" s="10" t="s">
        <v>17</v>
      </c>
    </row>
    <row r="274" spans="1:6" ht="14" customHeight="1">
      <c r="A274" s="10" t="s">
        <v>823</v>
      </c>
      <c r="B274" s="10" t="s">
        <v>99</v>
      </c>
      <c r="C274" s="10" t="s">
        <v>824</v>
      </c>
      <c r="D274" s="10" t="s">
        <v>16</v>
      </c>
      <c r="E274" s="10" t="s">
        <v>71</v>
      </c>
    </row>
    <row r="275" spans="1:6" ht="14" customHeight="1">
      <c r="A275" s="10" t="s">
        <v>825</v>
      </c>
      <c r="B275" s="10" t="s">
        <v>99</v>
      </c>
      <c r="C275" s="10" t="s">
        <v>826</v>
      </c>
      <c r="D275" s="10" t="s">
        <v>16</v>
      </c>
      <c r="E275" s="10" t="s">
        <v>86</v>
      </c>
    </row>
    <row r="276" spans="1:6" ht="14" customHeight="1">
      <c r="A276" s="10" t="s">
        <v>827</v>
      </c>
      <c r="B276" s="10" t="s">
        <v>99</v>
      </c>
      <c r="C276" s="10" t="s">
        <v>828</v>
      </c>
      <c r="D276" s="10" t="s">
        <v>16</v>
      </c>
      <c r="E276" s="10" t="s">
        <v>71</v>
      </c>
    </row>
    <row r="277" spans="1:6" ht="14" customHeight="1">
      <c r="A277" s="10" t="s">
        <v>829</v>
      </c>
      <c r="B277" s="10" t="s">
        <v>99</v>
      </c>
      <c r="C277" s="10" t="s">
        <v>831</v>
      </c>
      <c r="D277" s="10" t="s">
        <v>16</v>
      </c>
      <c r="E277" s="10" t="s">
        <v>17</v>
      </c>
      <c r="F277" s="10" t="s">
        <v>323</v>
      </c>
    </row>
    <row r="278" spans="1:6" ht="14" customHeight="1">
      <c r="A278" s="10" t="s">
        <v>833</v>
      </c>
      <c r="B278" s="10" t="s">
        <v>99</v>
      </c>
      <c r="C278" s="10" t="s">
        <v>834</v>
      </c>
      <c r="D278" s="10" t="s">
        <v>16</v>
      </c>
      <c r="E278" s="10" t="s">
        <v>17</v>
      </c>
      <c r="F278" s="10" t="s">
        <v>323</v>
      </c>
    </row>
    <row r="279" spans="1:6" ht="14" customHeight="1">
      <c r="A279" s="10" t="s">
        <v>835</v>
      </c>
      <c r="B279" s="10" t="s">
        <v>320</v>
      </c>
      <c r="C279" s="10" t="s">
        <v>836</v>
      </c>
      <c r="D279" s="10" t="s">
        <v>16</v>
      </c>
    </row>
    <row r="280" spans="1:6" ht="14" customHeight="1">
      <c r="A280" s="10" t="s">
        <v>838</v>
      </c>
      <c r="B280" s="10" t="s">
        <v>320</v>
      </c>
      <c r="C280" s="10" t="s">
        <v>839</v>
      </c>
      <c r="D280" s="10" t="s">
        <v>16</v>
      </c>
      <c r="E280" s="10" t="s">
        <v>86</v>
      </c>
      <c r="F280" s="10" t="s">
        <v>323</v>
      </c>
    </row>
    <row r="281" spans="1:6" ht="14" customHeight="1">
      <c r="A281" s="10" t="s">
        <v>840</v>
      </c>
      <c r="B281" s="10" t="s">
        <v>320</v>
      </c>
      <c r="C281" s="10" t="s">
        <v>841</v>
      </c>
      <c r="D281" s="10" t="s">
        <v>16</v>
      </c>
      <c r="E281" s="10" t="s">
        <v>86</v>
      </c>
      <c r="F281" s="10" t="s">
        <v>323</v>
      </c>
    </row>
    <row r="282" spans="1:6" ht="14" customHeight="1">
      <c r="A282" s="10" t="s">
        <v>842</v>
      </c>
      <c r="B282" s="10" t="s">
        <v>320</v>
      </c>
      <c r="C282" s="10" t="s">
        <v>843</v>
      </c>
      <c r="D282" s="10" t="s">
        <v>16</v>
      </c>
      <c r="E282" s="10" t="s">
        <v>17</v>
      </c>
      <c r="F282" s="10" t="s">
        <v>323</v>
      </c>
    </row>
    <row r="283" spans="1:6" ht="14" customHeight="1">
      <c r="A283" s="10" t="s">
        <v>844</v>
      </c>
      <c r="B283" s="10" t="s">
        <v>320</v>
      </c>
      <c r="C283" s="10" t="s">
        <v>845</v>
      </c>
      <c r="D283" s="10" t="s">
        <v>16</v>
      </c>
      <c r="E283" s="10" t="s">
        <v>17</v>
      </c>
      <c r="F283" s="10" t="s">
        <v>323</v>
      </c>
    </row>
    <row r="284" spans="1:6" ht="14" customHeight="1">
      <c r="A284" s="10" t="s">
        <v>846</v>
      </c>
      <c r="B284" s="10" t="s">
        <v>320</v>
      </c>
      <c r="C284" s="10" t="s">
        <v>847</v>
      </c>
      <c r="D284" s="10" t="s">
        <v>16</v>
      </c>
      <c r="E284" s="10" t="s">
        <v>71</v>
      </c>
    </row>
    <row r="285" spans="1:6" ht="14" customHeight="1">
      <c r="A285" s="10" t="s">
        <v>848</v>
      </c>
      <c r="B285" s="10" t="s">
        <v>345</v>
      </c>
      <c r="C285" s="10" t="s">
        <v>849</v>
      </c>
      <c r="D285" s="10" t="s">
        <v>16</v>
      </c>
      <c r="E285" s="10" t="s">
        <v>71</v>
      </c>
      <c r="F285" s="10" t="s">
        <v>329</v>
      </c>
    </row>
    <row r="286" spans="1:6" ht="14" customHeight="1">
      <c r="A286" s="10" t="s">
        <v>850</v>
      </c>
      <c r="B286" s="10" t="s">
        <v>345</v>
      </c>
      <c r="C286" s="10" t="s">
        <v>851</v>
      </c>
      <c r="D286" s="10" t="s">
        <v>16</v>
      </c>
      <c r="E286" s="10" t="s">
        <v>86</v>
      </c>
      <c r="F286" s="10" t="s">
        <v>323</v>
      </c>
    </row>
    <row r="287" spans="1:6" ht="14" customHeight="1">
      <c r="A287" s="10" t="s">
        <v>852</v>
      </c>
      <c r="B287" s="10" t="s">
        <v>345</v>
      </c>
      <c r="C287" s="10" t="s">
        <v>853</v>
      </c>
      <c r="D287" s="10" t="s">
        <v>16</v>
      </c>
    </row>
    <row r="288" spans="1:6" ht="14" customHeight="1">
      <c r="A288" s="10" t="s">
        <v>854</v>
      </c>
      <c r="B288" s="10" t="s">
        <v>345</v>
      </c>
      <c r="C288" s="10" t="s">
        <v>855</v>
      </c>
      <c r="D288" s="10" t="s">
        <v>16</v>
      </c>
    </row>
    <row r="289" spans="1:6" ht="14" customHeight="1">
      <c r="A289" s="10" t="s">
        <v>856</v>
      </c>
      <c r="B289" s="10" t="s">
        <v>331</v>
      </c>
      <c r="C289" s="10" t="s">
        <v>857</v>
      </c>
      <c r="D289" s="10" t="s">
        <v>16</v>
      </c>
    </row>
    <row r="290" spans="1:6" ht="14" customHeight="1">
      <c r="A290" s="10" t="s">
        <v>858</v>
      </c>
      <c r="B290" s="10" t="s">
        <v>331</v>
      </c>
      <c r="C290" s="10" t="s">
        <v>859</v>
      </c>
      <c r="D290" s="10" t="s">
        <v>16</v>
      </c>
    </row>
    <row r="291" spans="1:6" ht="14" customHeight="1">
      <c r="A291" s="10" t="s">
        <v>860</v>
      </c>
      <c r="B291" s="10" t="s">
        <v>331</v>
      </c>
      <c r="C291" s="10" t="s">
        <v>861</v>
      </c>
      <c r="D291" s="10" t="s">
        <v>16</v>
      </c>
    </row>
    <row r="292" spans="1:6" ht="14" customHeight="1">
      <c r="A292" s="10" t="s">
        <v>862</v>
      </c>
      <c r="B292" s="10" t="s">
        <v>331</v>
      </c>
      <c r="C292" s="10" t="s">
        <v>863</v>
      </c>
      <c r="D292" s="10" t="s">
        <v>16</v>
      </c>
    </row>
    <row r="293" spans="1:6" ht="14" customHeight="1">
      <c r="A293" s="10" t="s">
        <v>864</v>
      </c>
      <c r="B293" s="10" t="s">
        <v>865</v>
      </c>
      <c r="C293" s="10" t="s">
        <v>866</v>
      </c>
      <c r="D293" s="10" t="s">
        <v>16</v>
      </c>
    </row>
    <row r="294" spans="1:6" ht="14" customHeight="1">
      <c r="A294" s="10" t="s">
        <v>867</v>
      </c>
      <c r="B294" s="10" t="e">
        <v>#VALUE!</v>
      </c>
      <c r="C294" s="10" t="e">
        <v>#VALUE!</v>
      </c>
      <c r="D294" s="10" t="s">
        <v>16</v>
      </c>
    </row>
    <row r="295" spans="1:6" ht="14" customHeight="1">
      <c r="A295" s="10" t="s">
        <v>474</v>
      </c>
      <c r="B295" s="10" t="e">
        <v>#VALUE!</v>
      </c>
      <c r="C295" s="10" t="e">
        <v>#VALUE!</v>
      </c>
      <c r="D295" s="10" t="s">
        <v>16</v>
      </c>
    </row>
    <row r="296" spans="1:6" ht="14" customHeight="1">
      <c r="A296" s="10" t="s">
        <v>868</v>
      </c>
      <c r="B296" s="10" t="s">
        <v>220</v>
      </c>
      <c r="C296" s="10" t="s">
        <v>869</v>
      </c>
      <c r="D296" s="10" t="s">
        <v>16</v>
      </c>
    </row>
    <row r="297" spans="1:6" ht="14" customHeight="1">
      <c r="A297" s="10" t="s">
        <v>870</v>
      </c>
      <c r="B297" s="10" t="s">
        <v>220</v>
      </c>
      <c r="C297" s="10" t="s">
        <v>871</v>
      </c>
      <c r="D297" s="10" t="s">
        <v>16</v>
      </c>
    </row>
    <row r="298" spans="1:6" ht="14" customHeight="1">
      <c r="A298" s="10" t="s">
        <v>872</v>
      </c>
      <c r="B298" s="10" t="s">
        <v>220</v>
      </c>
      <c r="C298" s="10" t="s">
        <v>873</v>
      </c>
      <c r="D298" s="10" t="s">
        <v>16</v>
      </c>
    </row>
    <row r="299" spans="1:6" ht="14" customHeight="1">
      <c r="A299" s="10" t="s">
        <v>874</v>
      </c>
      <c r="B299" s="10" t="s">
        <v>220</v>
      </c>
      <c r="C299" s="10" t="s">
        <v>875</v>
      </c>
      <c r="D299" s="10" t="s">
        <v>16</v>
      </c>
    </row>
    <row r="300" spans="1:6" ht="14" customHeight="1">
      <c r="A300" s="10" t="s">
        <v>876</v>
      </c>
      <c r="B300" s="10" t="s">
        <v>23</v>
      </c>
      <c r="C300" s="10" t="s">
        <v>877</v>
      </c>
      <c r="D300" s="10" t="s">
        <v>16</v>
      </c>
    </row>
    <row r="301" spans="1:6" ht="14" customHeight="1">
      <c r="A301" s="10" t="s">
        <v>879</v>
      </c>
      <c r="B301" s="10" t="s">
        <v>23</v>
      </c>
      <c r="C301" s="10" t="s">
        <v>880</v>
      </c>
      <c r="D301" s="10" t="s">
        <v>16</v>
      </c>
    </row>
    <row r="302" spans="1:6" ht="14" customHeight="1">
      <c r="A302" s="10" t="s">
        <v>881</v>
      </c>
      <c r="B302" s="10" t="s">
        <v>23</v>
      </c>
      <c r="C302" s="10" t="s">
        <v>882</v>
      </c>
      <c r="D302" s="10" t="s">
        <v>16</v>
      </c>
    </row>
    <row r="303" spans="1:6" ht="14" customHeight="1">
      <c r="A303" s="10" t="s">
        <v>883</v>
      </c>
      <c r="B303" s="10" t="s">
        <v>45</v>
      </c>
      <c r="C303" s="10" t="s">
        <v>885</v>
      </c>
      <c r="D303" s="10" t="s">
        <v>16</v>
      </c>
      <c r="E303" s="10" t="s">
        <v>887</v>
      </c>
      <c r="F303" s="10" t="s">
        <v>39</v>
      </c>
    </row>
    <row r="304" spans="1:6" ht="14" customHeight="1">
      <c r="A304" s="10" t="s">
        <v>888</v>
      </c>
      <c r="B304" s="10" t="s">
        <v>83</v>
      </c>
      <c r="C304" s="10" t="s">
        <v>889</v>
      </c>
      <c r="D304" s="10" t="s">
        <v>16</v>
      </c>
    </row>
    <row r="305" spans="1:4" ht="14" customHeight="1">
      <c r="A305" s="10" t="s">
        <v>891</v>
      </c>
      <c r="B305" s="10" t="e">
        <v>#VALUE!</v>
      </c>
      <c r="C305" s="10" t="e">
        <v>#VALUE!</v>
      </c>
      <c r="D305" s="10" t="s">
        <v>16</v>
      </c>
    </row>
    <row r="306" spans="1:4" ht="14" customHeight="1">
      <c r="A306" s="10" t="s">
        <v>893</v>
      </c>
      <c r="B306" s="10" t="s">
        <v>12</v>
      </c>
      <c r="C306" s="10" t="s">
        <v>894</v>
      </c>
      <c r="D306" s="10" t="s">
        <v>16</v>
      </c>
    </row>
    <row r="307" spans="1:4" ht="14" customHeight="1">
      <c r="A307" s="10" t="s">
        <v>896</v>
      </c>
      <c r="B307" s="10" t="s">
        <v>12</v>
      </c>
      <c r="C307" s="10" t="s">
        <v>897</v>
      </c>
      <c r="D307" s="10" t="s">
        <v>16</v>
      </c>
    </row>
    <row r="308" spans="1:4" ht="14" customHeight="1">
      <c r="A308" s="10" t="s">
        <v>899</v>
      </c>
      <c r="B308" s="10" t="s">
        <v>12</v>
      </c>
      <c r="C308" s="10" t="s">
        <v>901</v>
      </c>
      <c r="D308" s="10" t="s">
        <v>16</v>
      </c>
    </row>
    <row r="309" spans="1:4" ht="14" customHeight="1">
      <c r="A309" s="10" t="s">
        <v>903</v>
      </c>
      <c r="B309" s="10" t="s">
        <v>12</v>
      </c>
      <c r="C309" s="10" t="s">
        <v>904</v>
      </c>
      <c r="D309" s="10" t="s">
        <v>16</v>
      </c>
    </row>
    <row r="310" spans="1:4" ht="14" customHeight="1">
      <c r="A310" s="10" t="s">
        <v>906</v>
      </c>
      <c r="B310" s="10" t="s">
        <v>12</v>
      </c>
      <c r="C310" s="10" t="s">
        <v>907</v>
      </c>
      <c r="D310" s="10" t="s">
        <v>16</v>
      </c>
    </row>
    <row r="311" spans="1:4" ht="14" customHeight="1">
      <c r="A311" s="10" t="s">
        <v>910</v>
      </c>
      <c r="B311" s="10" t="s">
        <v>12</v>
      </c>
      <c r="C311" s="10" t="s">
        <v>912</v>
      </c>
      <c r="D311" s="10" t="s">
        <v>16</v>
      </c>
    </row>
    <row r="312" spans="1:4" ht="14" customHeight="1">
      <c r="A312" s="10" t="s">
        <v>915</v>
      </c>
      <c r="B312" s="10" t="s">
        <v>12</v>
      </c>
      <c r="C312" s="10" t="s">
        <v>916</v>
      </c>
      <c r="D312" s="10" t="s">
        <v>16</v>
      </c>
    </row>
    <row r="313" spans="1:4" ht="14" customHeight="1">
      <c r="A313" s="10" t="s">
        <v>919</v>
      </c>
      <c r="B313" s="10" t="s">
        <v>12</v>
      </c>
      <c r="C313" s="10" t="s">
        <v>920</v>
      </c>
      <c r="D313" s="10" t="s">
        <v>16</v>
      </c>
    </row>
    <row r="314" spans="1:4" ht="14" customHeight="1">
      <c r="A314" s="10" t="s">
        <v>922</v>
      </c>
      <c r="B314" s="10" t="s">
        <v>12</v>
      </c>
      <c r="C314" s="10" t="s">
        <v>923</v>
      </c>
      <c r="D314" s="10" t="s">
        <v>16</v>
      </c>
    </row>
    <row r="315" spans="1:4" ht="14" customHeight="1">
      <c r="A315" s="10" t="s">
        <v>925</v>
      </c>
      <c r="B315" s="10" t="s">
        <v>12</v>
      </c>
      <c r="C315" s="10" t="s">
        <v>926</v>
      </c>
      <c r="D315" s="10" t="s">
        <v>16</v>
      </c>
    </row>
    <row r="316" spans="1:4" ht="14" customHeight="1">
      <c r="A316" s="10" t="s">
        <v>927</v>
      </c>
      <c r="B316" s="10" t="s">
        <v>12</v>
      </c>
      <c r="C316" s="10" t="s">
        <v>928</v>
      </c>
      <c r="D316" s="10" t="s">
        <v>16</v>
      </c>
    </row>
    <row r="317" spans="1:4" ht="14" customHeight="1">
      <c r="A317" s="10" t="s">
        <v>930</v>
      </c>
      <c r="B317" s="10" t="s">
        <v>131</v>
      </c>
      <c r="C317" s="10" t="s">
        <v>931</v>
      </c>
      <c r="D317" s="10" t="s">
        <v>16</v>
      </c>
    </row>
    <row r="318" spans="1:4" ht="14" customHeight="1">
      <c r="A318" s="10" t="s">
        <v>934</v>
      </c>
      <c r="B318" s="10" t="s">
        <v>131</v>
      </c>
      <c r="C318" s="10" t="s">
        <v>935</v>
      </c>
      <c r="D318" s="10" t="s">
        <v>16</v>
      </c>
    </row>
    <row r="319" spans="1:4" ht="14" customHeight="1">
      <c r="A319" s="10" t="s">
        <v>938</v>
      </c>
      <c r="B319" s="10" t="s">
        <v>131</v>
      </c>
      <c r="C319" s="10" t="s">
        <v>940</v>
      </c>
      <c r="D319" s="10" t="s">
        <v>16</v>
      </c>
    </row>
    <row r="320" spans="1:4" ht="14" customHeight="1">
      <c r="A320" s="10" t="s">
        <v>942</v>
      </c>
      <c r="B320" s="10" t="s">
        <v>131</v>
      </c>
      <c r="C320" s="10" t="s">
        <v>943</v>
      </c>
      <c r="D320" s="10" t="s">
        <v>16</v>
      </c>
    </row>
    <row r="321" spans="1:5" ht="14" customHeight="1">
      <c r="A321" s="10" t="s">
        <v>945</v>
      </c>
      <c r="B321" s="10" t="s">
        <v>131</v>
      </c>
      <c r="C321" s="10" t="s">
        <v>947</v>
      </c>
      <c r="D321" s="10" t="s">
        <v>16</v>
      </c>
    </row>
    <row r="322" spans="1:5" ht="14" customHeight="1">
      <c r="A322" s="10" t="s">
        <v>949</v>
      </c>
      <c r="B322" s="10" t="s">
        <v>220</v>
      </c>
      <c r="C322" s="10" t="s">
        <v>950</v>
      </c>
      <c r="D322" s="10" t="s">
        <v>16</v>
      </c>
    </row>
    <row r="323" spans="1:5" ht="14" customHeight="1">
      <c r="A323" s="10" t="s">
        <v>951</v>
      </c>
      <c r="B323" s="10" t="s">
        <v>220</v>
      </c>
      <c r="C323" s="10" t="s">
        <v>952</v>
      </c>
      <c r="D323" s="10" t="s">
        <v>16</v>
      </c>
    </row>
    <row r="324" spans="1:5" ht="14" customHeight="1">
      <c r="A324" s="10" t="s">
        <v>954</v>
      </c>
      <c r="B324" s="10" t="s">
        <v>23</v>
      </c>
      <c r="C324" s="10" t="s">
        <v>955</v>
      </c>
      <c r="D324" s="10" t="s">
        <v>16</v>
      </c>
    </row>
    <row r="325" spans="1:5" ht="14" customHeight="1">
      <c r="A325" s="10" t="s">
        <v>956</v>
      </c>
      <c r="B325" s="10" t="s">
        <v>23</v>
      </c>
      <c r="C325" s="10" t="s">
        <v>957</v>
      </c>
      <c r="D325" s="10" t="s">
        <v>16</v>
      </c>
    </row>
    <row r="326" spans="1:5" ht="14" customHeight="1">
      <c r="A326" s="10" t="s">
        <v>958</v>
      </c>
      <c r="B326" s="10" t="s">
        <v>45</v>
      </c>
      <c r="C326" s="10" t="s">
        <v>960</v>
      </c>
      <c r="D326" s="10" t="s">
        <v>16</v>
      </c>
    </row>
    <row r="327" spans="1:5" ht="14" customHeight="1">
      <c r="A327" s="10" t="s">
        <v>961</v>
      </c>
      <c r="B327" s="10" t="s">
        <v>62</v>
      </c>
      <c r="C327" s="10" t="s">
        <v>962</v>
      </c>
      <c r="D327" s="10" t="s">
        <v>16</v>
      </c>
    </row>
    <row r="328" spans="1:5" ht="14" customHeight="1">
      <c r="A328" s="10" t="s">
        <v>963</v>
      </c>
      <c r="B328" s="10" t="s">
        <v>62</v>
      </c>
      <c r="C328" s="10" t="s">
        <v>965</v>
      </c>
      <c r="D328" s="10" t="s">
        <v>16</v>
      </c>
      <c r="E328" s="10" t="s">
        <v>441</v>
      </c>
    </row>
    <row r="329" spans="1:5" ht="14" customHeight="1">
      <c r="A329" s="10" t="s">
        <v>966</v>
      </c>
      <c r="B329" s="10" t="s">
        <v>262</v>
      </c>
      <c r="C329" s="10" t="s">
        <v>967</v>
      </c>
      <c r="D329" s="10" t="s">
        <v>16</v>
      </c>
      <c r="E329" s="10" t="s">
        <v>441</v>
      </c>
    </row>
    <row r="330" spans="1:5" ht="14" customHeight="1">
      <c r="A330" s="10" t="s">
        <v>968</v>
      </c>
      <c r="B330" s="10" t="s">
        <v>262</v>
      </c>
      <c r="C330" s="10" t="s">
        <v>969</v>
      </c>
      <c r="D330" s="10" t="s">
        <v>16</v>
      </c>
    </row>
    <row r="331" spans="1:5" ht="14" customHeight="1">
      <c r="A331" s="10" t="s">
        <v>970</v>
      </c>
      <c r="B331" s="10" t="s">
        <v>262</v>
      </c>
      <c r="C331" s="10" t="s">
        <v>971</v>
      </c>
      <c r="D331" s="10" t="s">
        <v>16</v>
      </c>
    </row>
    <row r="332" spans="1:5" ht="14" customHeight="1">
      <c r="A332" s="10" t="s">
        <v>972</v>
      </c>
      <c r="B332" s="10" t="s">
        <v>78</v>
      </c>
      <c r="C332" s="10" t="s">
        <v>973</v>
      </c>
      <c r="D332" s="10" t="s">
        <v>16</v>
      </c>
    </row>
    <row r="333" spans="1:5" ht="14" customHeight="1">
      <c r="A333" s="10" t="s">
        <v>974</v>
      </c>
      <c r="B333" s="10" t="s">
        <v>83</v>
      </c>
      <c r="C333" s="10" t="s">
        <v>976</v>
      </c>
      <c r="D333" s="10" t="s">
        <v>16</v>
      </c>
      <c r="E333" s="10" t="s">
        <v>978</v>
      </c>
    </row>
    <row r="334" spans="1:5" ht="14" customHeight="1">
      <c r="A334" s="10" t="s">
        <v>979</v>
      </c>
      <c r="B334" s="10" t="s">
        <v>89</v>
      </c>
      <c r="C334" s="10" t="s">
        <v>980</v>
      </c>
      <c r="D334" s="10" t="s">
        <v>16</v>
      </c>
    </row>
    <row r="335" spans="1:5" ht="14" customHeight="1">
      <c r="A335" s="10" t="s">
        <v>981</v>
      </c>
      <c r="B335" s="10" t="s">
        <v>99</v>
      </c>
      <c r="C335" s="10" t="s">
        <v>982</v>
      </c>
      <c r="D335" s="10" t="s">
        <v>16</v>
      </c>
    </row>
    <row r="336" spans="1:5" ht="14" customHeight="1">
      <c r="A336" s="10" t="s">
        <v>983</v>
      </c>
      <c r="B336" s="10" t="s">
        <v>99</v>
      </c>
      <c r="C336" s="10" t="s">
        <v>985</v>
      </c>
      <c r="D336" s="10" t="s">
        <v>16</v>
      </c>
    </row>
    <row r="337" spans="1:5" ht="14" customHeight="1">
      <c r="A337" s="10" t="s">
        <v>986</v>
      </c>
      <c r="B337" s="10" t="s">
        <v>99</v>
      </c>
      <c r="C337" s="10" t="s">
        <v>987</v>
      </c>
      <c r="D337" s="10" t="s">
        <v>16</v>
      </c>
    </row>
    <row r="338" spans="1:5" ht="14" customHeight="1">
      <c r="A338" s="10" t="s">
        <v>988</v>
      </c>
      <c r="B338" s="10" t="s">
        <v>345</v>
      </c>
      <c r="C338" s="10" t="s">
        <v>990</v>
      </c>
      <c r="D338" s="10" t="s">
        <v>16</v>
      </c>
      <c r="E338" s="10" t="s">
        <v>991</v>
      </c>
    </row>
    <row r="339" spans="1:5" ht="14" customHeight="1">
      <c r="A339" s="10" t="s">
        <v>992</v>
      </c>
      <c r="B339" s="10" t="s">
        <v>345</v>
      </c>
      <c r="C339" s="10" t="s">
        <v>315</v>
      </c>
      <c r="D339" s="10" t="s">
        <v>16</v>
      </c>
      <c r="E339" s="10" t="s">
        <v>317</v>
      </c>
    </row>
    <row r="340" spans="1:5" ht="14" customHeight="1">
      <c r="A340" s="10" t="s">
        <v>993</v>
      </c>
      <c r="B340" s="10" t="s">
        <v>331</v>
      </c>
      <c r="C340" s="10" t="s">
        <v>994</v>
      </c>
      <c r="D340" s="10" t="s">
        <v>16</v>
      </c>
    </row>
    <row r="341" spans="1:5" ht="14" customHeight="1">
      <c r="A341" s="10" t="s">
        <v>995</v>
      </c>
      <c r="B341" s="10" t="s">
        <v>331</v>
      </c>
      <c r="C341" s="10" t="s">
        <v>997</v>
      </c>
      <c r="D341" s="10" t="s">
        <v>16</v>
      </c>
    </row>
    <row r="342" spans="1:5" ht="14" customHeight="1">
      <c r="A342" s="10" t="s">
        <v>998</v>
      </c>
      <c r="B342" s="10" t="s">
        <v>331</v>
      </c>
      <c r="C342" s="10" t="s">
        <v>999</v>
      </c>
      <c r="D342" s="10" t="s">
        <v>16</v>
      </c>
    </row>
    <row r="343" spans="1:5" ht="14" customHeight="1">
      <c r="A343" s="10" t="s">
        <v>1000</v>
      </c>
      <c r="B343" s="10" t="s">
        <v>865</v>
      </c>
      <c r="C343" s="10" t="s">
        <v>1001</v>
      </c>
      <c r="D343" s="10" t="s">
        <v>16</v>
      </c>
    </row>
    <row r="344" spans="1:5" ht="14" customHeight="1">
      <c r="A344" s="10" t="s">
        <v>1002</v>
      </c>
      <c r="B344" s="10" t="e">
        <v>#VALUE!</v>
      </c>
      <c r="C344" s="10" t="e">
        <v>#VALUE!</v>
      </c>
      <c r="D344" s="10" t="s">
        <v>16</v>
      </c>
    </row>
    <row r="345" spans="1:5" ht="14" customHeight="1">
      <c r="A345" s="10" t="s">
        <v>1003</v>
      </c>
      <c r="B345" s="10" t="e">
        <v>#VALUE!</v>
      </c>
      <c r="C345" s="10" t="e">
        <v>#VALUE!</v>
      </c>
      <c r="D345" s="10" t="s">
        <v>16</v>
      </c>
    </row>
    <row r="346" spans="1:5" ht="14" customHeight="1">
      <c r="A346" s="10" t="s">
        <v>1004</v>
      </c>
      <c r="B346" s="10" t="s">
        <v>12</v>
      </c>
      <c r="C346" s="10" t="s">
        <v>1006</v>
      </c>
      <c r="D346" s="10" t="s">
        <v>16</v>
      </c>
      <c r="E346" s="10" t="s">
        <v>17</v>
      </c>
    </row>
    <row r="347" spans="1:5" ht="14" customHeight="1">
      <c r="A347" s="10" t="s">
        <v>1008</v>
      </c>
      <c r="B347" s="10" t="s">
        <v>12</v>
      </c>
      <c r="C347" s="10" t="s">
        <v>1009</v>
      </c>
      <c r="D347" s="10" t="s">
        <v>16</v>
      </c>
    </row>
    <row r="348" spans="1:5" ht="14" customHeight="1">
      <c r="A348" s="10" t="s">
        <v>1010</v>
      </c>
      <c r="B348" s="10" t="s">
        <v>131</v>
      </c>
      <c r="C348" s="10" t="s">
        <v>1011</v>
      </c>
      <c r="D348" s="10" t="s">
        <v>16</v>
      </c>
    </row>
    <row r="349" spans="1:5" ht="14" customHeight="1">
      <c r="A349" s="10" t="s">
        <v>1012</v>
      </c>
      <c r="B349" s="10" t="s">
        <v>131</v>
      </c>
      <c r="C349" s="10" t="s">
        <v>1013</v>
      </c>
      <c r="D349" s="10" t="s">
        <v>16</v>
      </c>
    </row>
    <row r="350" spans="1:5" ht="14" customHeight="1">
      <c r="A350" s="10" t="s">
        <v>1014</v>
      </c>
      <c r="B350" s="10" t="s">
        <v>202</v>
      </c>
      <c r="C350" s="10" t="s">
        <v>1015</v>
      </c>
      <c r="D350" s="10" t="s">
        <v>16</v>
      </c>
    </row>
    <row r="351" spans="1:5" ht="14" customHeight="1">
      <c r="A351" s="10" t="s">
        <v>1016</v>
      </c>
      <c r="B351" s="10" t="s">
        <v>220</v>
      </c>
      <c r="C351" s="10" t="s">
        <v>1017</v>
      </c>
      <c r="D351" s="10" t="s">
        <v>16</v>
      </c>
    </row>
    <row r="352" spans="1:5" ht="14" customHeight="1">
      <c r="A352" s="10" t="s">
        <v>1018</v>
      </c>
      <c r="B352" s="10" t="s">
        <v>23</v>
      </c>
      <c r="C352" s="10" t="s">
        <v>1019</v>
      </c>
      <c r="D352" s="10" t="s">
        <v>16</v>
      </c>
    </row>
    <row r="353" spans="1:8" ht="14" customHeight="1">
      <c r="A353" s="10" t="s">
        <v>1020</v>
      </c>
      <c r="B353" s="10" t="s">
        <v>252</v>
      </c>
      <c r="C353" s="10" t="s">
        <v>1021</v>
      </c>
      <c r="D353" s="10" t="s">
        <v>16</v>
      </c>
    </row>
    <row r="354" spans="1:8" ht="14" customHeight="1">
      <c r="A354" s="10" t="s">
        <v>1022</v>
      </c>
      <c r="B354" s="10" t="s">
        <v>23</v>
      </c>
      <c r="C354" s="10" t="s">
        <v>1023</v>
      </c>
      <c r="D354" s="10" t="s">
        <v>16</v>
      </c>
    </row>
    <row r="355" spans="1:8" ht="14" customHeight="1">
      <c r="A355" s="10" t="s">
        <v>1024</v>
      </c>
      <c r="B355" s="10" t="s">
        <v>252</v>
      </c>
      <c r="C355" s="10" t="s">
        <v>1025</v>
      </c>
      <c r="D355" s="10" t="s">
        <v>16</v>
      </c>
    </row>
    <row r="356" spans="1:8" ht="14" customHeight="1">
      <c r="A356" s="10" t="s">
        <v>1026</v>
      </c>
      <c r="B356" s="10" t="s">
        <v>62</v>
      </c>
      <c r="C356" s="10" t="s">
        <v>1027</v>
      </c>
      <c r="D356" s="10" t="s">
        <v>16</v>
      </c>
    </row>
    <row r="357" spans="1:8" ht="14" customHeight="1">
      <c r="A357" s="10" t="s">
        <v>1028</v>
      </c>
      <c r="B357" s="10" t="s">
        <v>62</v>
      </c>
      <c r="C357" s="10" t="s">
        <v>1030</v>
      </c>
      <c r="D357" s="10" t="s">
        <v>16</v>
      </c>
      <c r="E357" s="10" t="s">
        <v>70</v>
      </c>
      <c r="F357" s="10" t="s">
        <v>1032</v>
      </c>
      <c r="G357" s="10" t="s">
        <v>17</v>
      </c>
      <c r="H357" s="4" t="s">
        <v>1033</v>
      </c>
    </row>
    <row r="358" spans="1:8" ht="14" customHeight="1">
      <c r="A358" s="10" t="s">
        <v>1034</v>
      </c>
      <c r="B358" s="10" t="s">
        <v>62</v>
      </c>
      <c r="C358" s="10" t="s">
        <v>1036</v>
      </c>
      <c r="D358" s="10" t="s">
        <v>16</v>
      </c>
      <c r="E358" s="10" t="s">
        <v>17</v>
      </c>
      <c r="F358" s="10" t="s">
        <v>1038</v>
      </c>
      <c r="G358" s="10" t="s">
        <v>1039</v>
      </c>
    </row>
    <row r="359" spans="1:8" ht="14" customHeight="1">
      <c r="A359" s="10" t="s">
        <v>1040</v>
      </c>
      <c r="B359" s="10" t="s">
        <v>262</v>
      </c>
      <c r="C359" s="10" t="s">
        <v>1041</v>
      </c>
      <c r="D359" s="10" t="s">
        <v>16</v>
      </c>
    </row>
    <row r="360" spans="1:8" ht="14" customHeight="1">
      <c r="A360" s="10" t="s">
        <v>1042</v>
      </c>
      <c r="B360" s="10" t="s">
        <v>262</v>
      </c>
      <c r="C360" s="10" t="s">
        <v>1044</v>
      </c>
      <c r="D360" s="10" t="s">
        <v>16</v>
      </c>
      <c r="E360" s="10" t="s">
        <v>17</v>
      </c>
    </row>
    <row r="361" spans="1:8" ht="14" customHeight="1">
      <c r="A361" s="10" t="s">
        <v>1046</v>
      </c>
      <c r="B361" s="10" t="s">
        <v>262</v>
      </c>
      <c r="C361" s="10" t="s">
        <v>1047</v>
      </c>
      <c r="D361" s="10" t="s">
        <v>16</v>
      </c>
    </row>
    <row r="362" spans="1:8" ht="14" customHeight="1">
      <c r="A362" s="10" t="s">
        <v>1048</v>
      </c>
      <c r="B362" s="10" t="s">
        <v>262</v>
      </c>
      <c r="C362" s="10" t="s">
        <v>1049</v>
      </c>
      <c r="D362" s="10" t="s">
        <v>16</v>
      </c>
      <c r="E362" s="10" t="s">
        <v>71</v>
      </c>
    </row>
    <row r="363" spans="1:8" ht="14" customHeight="1">
      <c r="A363" s="10" t="s">
        <v>1050</v>
      </c>
      <c r="B363" s="10" t="s">
        <v>262</v>
      </c>
      <c r="C363" s="10" t="s">
        <v>1051</v>
      </c>
      <c r="D363" s="10" t="s">
        <v>16</v>
      </c>
      <c r="E363" s="10" t="s">
        <v>17</v>
      </c>
      <c r="F363" s="10" t="s">
        <v>1038</v>
      </c>
      <c r="G363" s="10" t="s">
        <v>1039</v>
      </c>
    </row>
    <row r="364" spans="1:8" ht="14" customHeight="1">
      <c r="A364" s="10" t="s">
        <v>1052</v>
      </c>
      <c r="B364" s="10" t="s">
        <v>705</v>
      </c>
      <c r="C364" s="10" t="s">
        <v>1053</v>
      </c>
      <c r="D364" s="10" t="s">
        <v>16</v>
      </c>
    </row>
    <row r="365" spans="1:8" ht="14" customHeight="1">
      <c r="A365" s="10" t="s">
        <v>1054</v>
      </c>
      <c r="B365" s="10" t="s">
        <v>266</v>
      </c>
      <c r="C365" s="10" t="s">
        <v>1055</v>
      </c>
      <c r="D365" s="10" t="s">
        <v>16</v>
      </c>
    </row>
    <row r="366" spans="1:8" ht="14" customHeight="1">
      <c r="A366" s="10" t="s">
        <v>1056</v>
      </c>
      <c r="B366" s="10" t="s">
        <v>78</v>
      </c>
      <c r="C366" s="10" t="s">
        <v>1057</v>
      </c>
      <c r="D366" s="10" t="s">
        <v>16</v>
      </c>
    </row>
    <row r="367" spans="1:8" ht="14" customHeight="1">
      <c r="A367" s="10" t="s">
        <v>1059</v>
      </c>
      <c r="B367" s="10" t="s">
        <v>83</v>
      </c>
      <c r="C367" s="10" t="s">
        <v>1060</v>
      </c>
      <c r="D367" s="10" t="s">
        <v>16</v>
      </c>
    </row>
    <row r="368" spans="1:8" ht="14" customHeight="1">
      <c r="A368" s="10" t="s">
        <v>1061</v>
      </c>
      <c r="B368" s="10" t="s">
        <v>83</v>
      </c>
      <c r="C368" s="10" t="s">
        <v>1062</v>
      </c>
      <c r="D368" s="10" t="s">
        <v>16</v>
      </c>
    </row>
    <row r="369" spans="1:7" ht="14" customHeight="1">
      <c r="A369" s="10" t="s">
        <v>1063</v>
      </c>
      <c r="B369" s="10" t="s">
        <v>99</v>
      </c>
      <c r="C369" s="10" t="s">
        <v>821</v>
      </c>
      <c r="D369" s="10" t="s">
        <v>16</v>
      </c>
      <c r="E369" s="10" t="s">
        <v>17</v>
      </c>
    </row>
    <row r="370" spans="1:7" ht="14" customHeight="1">
      <c r="A370" s="10" t="s">
        <v>1064</v>
      </c>
      <c r="B370" s="10" t="s">
        <v>99</v>
      </c>
      <c r="C370" s="10" t="s">
        <v>1065</v>
      </c>
      <c r="D370" s="10" t="s">
        <v>16</v>
      </c>
    </row>
    <row r="371" spans="1:7" ht="14" customHeight="1">
      <c r="A371" s="10" t="s">
        <v>1066</v>
      </c>
      <c r="B371" s="10" t="s">
        <v>99</v>
      </c>
      <c r="C371" s="10" t="s">
        <v>1067</v>
      </c>
      <c r="D371" s="10" t="s">
        <v>16</v>
      </c>
    </row>
    <row r="372" spans="1:7" ht="14" customHeight="1">
      <c r="A372" s="10" t="s">
        <v>1068</v>
      </c>
      <c r="B372" s="10" t="s">
        <v>345</v>
      </c>
      <c r="C372" s="10" t="s">
        <v>1069</v>
      </c>
      <c r="D372" s="10" t="s">
        <v>16</v>
      </c>
    </row>
    <row r="373" spans="1:7" ht="14" customHeight="1">
      <c r="A373" s="10" t="s">
        <v>1070</v>
      </c>
      <c r="B373" s="10" t="s">
        <v>331</v>
      </c>
      <c r="C373" s="10" t="s">
        <v>1071</v>
      </c>
      <c r="D373" s="10" t="s">
        <v>16</v>
      </c>
    </row>
    <row r="374" spans="1:7" ht="14" customHeight="1">
      <c r="A374" s="10" t="s">
        <v>1072</v>
      </c>
      <c r="B374" s="10" t="e">
        <v>#VALUE!</v>
      </c>
      <c r="C374" s="10" t="e">
        <v>#VALUE!</v>
      </c>
      <c r="D374" s="10" t="s">
        <v>16</v>
      </c>
    </row>
    <row r="375" spans="1:7" ht="14" customHeight="1">
      <c r="A375" s="10" t="s">
        <v>1073</v>
      </c>
      <c r="B375" s="10" t="s">
        <v>202</v>
      </c>
      <c r="C375" s="10" t="s">
        <v>1075</v>
      </c>
      <c r="D375" s="10" t="s">
        <v>16</v>
      </c>
    </row>
    <row r="376" spans="1:7" ht="14" customHeight="1">
      <c r="A376" s="10" t="s">
        <v>1076</v>
      </c>
      <c r="B376" s="10" t="s">
        <v>202</v>
      </c>
      <c r="C376" s="10" t="s">
        <v>1077</v>
      </c>
      <c r="D376" s="10" t="s">
        <v>16</v>
      </c>
    </row>
    <row r="377" spans="1:7" ht="14" customHeight="1">
      <c r="A377" s="10" t="s">
        <v>1078</v>
      </c>
      <c r="B377" s="10" t="s">
        <v>202</v>
      </c>
      <c r="C377" s="10" t="s">
        <v>1079</v>
      </c>
      <c r="D377" s="10" t="s">
        <v>16</v>
      </c>
    </row>
    <row r="378" spans="1:7" ht="14" customHeight="1">
      <c r="A378" s="10" t="s">
        <v>1080</v>
      </c>
      <c r="B378" s="10" t="s">
        <v>220</v>
      </c>
      <c r="C378" s="10" t="s">
        <v>1081</v>
      </c>
      <c r="D378" s="10" t="s">
        <v>16</v>
      </c>
    </row>
    <row r="379" spans="1:7" ht="14" customHeight="1">
      <c r="A379" s="10" t="s">
        <v>1082</v>
      </c>
      <c r="B379" s="10" t="s">
        <v>220</v>
      </c>
      <c r="C379" s="10" t="s">
        <v>1083</v>
      </c>
      <c r="D379" s="10" t="s">
        <v>16</v>
      </c>
    </row>
    <row r="380" spans="1:7" ht="14" customHeight="1">
      <c r="A380" s="10" t="s">
        <v>1084</v>
      </c>
      <c r="B380" s="10" t="s">
        <v>220</v>
      </c>
      <c r="C380" s="10" t="s">
        <v>1085</v>
      </c>
      <c r="D380" s="10" t="s">
        <v>16</v>
      </c>
    </row>
    <row r="381" spans="1:7" ht="14" customHeight="1">
      <c r="A381" s="10" t="s">
        <v>1086</v>
      </c>
      <c r="B381" s="10" t="s">
        <v>62</v>
      </c>
      <c r="C381" s="10" t="s">
        <v>1088</v>
      </c>
      <c r="D381" s="10" t="s">
        <v>16</v>
      </c>
      <c r="E381" s="10" t="s">
        <v>1089</v>
      </c>
      <c r="F381" s="10" t="s">
        <v>563</v>
      </c>
      <c r="G381" s="10" t="s">
        <v>1090</v>
      </c>
    </row>
    <row r="382" spans="1:7" ht="14" customHeight="1">
      <c r="A382" s="10" t="s">
        <v>1091</v>
      </c>
      <c r="B382" s="10" t="s">
        <v>462</v>
      </c>
      <c r="C382" s="10" t="s">
        <v>1092</v>
      </c>
      <c r="D382" s="10" t="s">
        <v>16</v>
      </c>
    </row>
    <row r="383" spans="1:7" ht="14" customHeight="1">
      <c r="A383" s="10" t="s">
        <v>1093</v>
      </c>
      <c r="B383" s="10" t="s">
        <v>705</v>
      </c>
      <c r="C383" s="10" t="s">
        <v>1094</v>
      </c>
      <c r="D383" s="10" t="s">
        <v>16</v>
      </c>
    </row>
    <row r="384" spans="1:7" ht="14" customHeight="1">
      <c r="A384" s="10" t="s">
        <v>1095</v>
      </c>
      <c r="B384" s="10" t="s">
        <v>74</v>
      </c>
      <c r="C384" s="10" t="s">
        <v>1096</v>
      </c>
      <c r="D384" s="10" t="s">
        <v>16</v>
      </c>
      <c r="E384" s="10" t="s">
        <v>86</v>
      </c>
    </row>
    <row r="385" spans="1:5" ht="14" customHeight="1">
      <c r="A385" s="10" t="s">
        <v>1097</v>
      </c>
      <c r="B385" s="10" t="s">
        <v>83</v>
      </c>
      <c r="C385" s="10" t="s">
        <v>1099</v>
      </c>
      <c r="D385" s="10" t="s">
        <v>16</v>
      </c>
    </row>
    <row r="386" spans="1:5" ht="14" customHeight="1">
      <c r="A386" s="10" t="s">
        <v>1100</v>
      </c>
      <c r="B386" s="10" t="e">
        <v>#VALUE!</v>
      </c>
      <c r="C386" s="10" t="e">
        <v>#VALUE!</v>
      </c>
      <c r="D386" s="10" t="s">
        <v>16</v>
      </c>
    </row>
    <row r="387" spans="1:5" ht="14" customHeight="1">
      <c r="A387" s="10" t="s">
        <v>1003</v>
      </c>
      <c r="B387" s="10" t="e">
        <v>#VALUE!</v>
      </c>
      <c r="C387" s="10" t="e">
        <v>#VALUE!</v>
      </c>
      <c r="D387" s="10" t="s">
        <v>16</v>
      </c>
    </row>
    <row r="388" spans="1:5" ht="14" customHeight="1">
      <c r="A388" s="10" t="s">
        <v>1101</v>
      </c>
      <c r="B388" s="10" t="s">
        <v>12</v>
      </c>
      <c r="C388" s="10" t="s">
        <v>1102</v>
      </c>
      <c r="D388" s="10" t="s">
        <v>16</v>
      </c>
    </row>
    <row r="389" spans="1:5" ht="14" customHeight="1">
      <c r="A389" s="10" t="s">
        <v>1104</v>
      </c>
      <c r="B389" s="10" t="s">
        <v>12</v>
      </c>
      <c r="C389" s="10" t="s">
        <v>1105</v>
      </c>
      <c r="D389" s="10" t="s">
        <v>16</v>
      </c>
    </row>
    <row r="390" spans="1:5" ht="14" customHeight="1">
      <c r="A390" s="10" t="s">
        <v>1106</v>
      </c>
      <c r="B390" s="10" t="s">
        <v>12</v>
      </c>
      <c r="C390" s="10" t="s">
        <v>1107</v>
      </c>
      <c r="D390" s="10" t="s">
        <v>16</v>
      </c>
    </row>
    <row r="391" spans="1:5" ht="14" customHeight="1">
      <c r="A391" s="10" t="s">
        <v>1108</v>
      </c>
      <c r="B391" s="10" t="s">
        <v>12</v>
      </c>
      <c r="C391" s="10" t="s">
        <v>1110</v>
      </c>
      <c r="D391" s="10" t="s">
        <v>16</v>
      </c>
    </row>
    <row r="392" spans="1:5" ht="14" customHeight="1">
      <c r="A392" s="10" t="s">
        <v>1111</v>
      </c>
      <c r="B392" s="10" t="s">
        <v>12</v>
      </c>
      <c r="C392" s="10" t="s">
        <v>1112</v>
      </c>
      <c r="D392" s="10" t="s">
        <v>16</v>
      </c>
    </row>
    <row r="393" spans="1:5" ht="14" customHeight="1">
      <c r="A393" s="10" t="s">
        <v>1113</v>
      </c>
      <c r="B393" s="10" t="s">
        <v>12</v>
      </c>
      <c r="C393" s="10" t="s">
        <v>1114</v>
      </c>
      <c r="D393" s="10" t="s">
        <v>16</v>
      </c>
    </row>
    <row r="394" spans="1:5" ht="14" customHeight="1">
      <c r="A394" s="10" t="s">
        <v>1115</v>
      </c>
      <c r="B394" s="10" t="s">
        <v>12</v>
      </c>
      <c r="C394" s="10" t="s">
        <v>1117</v>
      </c>
      <c r="D394" s="10" t="s">
        <v>16</v>
      </c>
    </row>
    <row r="395" spans="1:5" ht="14" customHeight="1">
      <c r="A395" s="10" t="s">
        <v>1118</v>
      </c>
      <c r="B395" s="10" t="s">
        <v>12</v>
      </c>
      <c r="C395" s="10" t="s">
        <v>1119</v>
      </c>
      <c r="D395" s="10" t="s">
        <v>16</v>
      </c>
      <c r="E395" s="10" t="s">
        <v>209</v>
      </c>
    </row>
    <row r="396" spans="1:5" ht="14" customHeight="1">
      <c r="A396" s="10" t="s">
        <v>1120</v>
      </c>
      <c r="B396" s="10" t="s">
        <v>131</v>
      </c>
      <c r="C396" s="10" t="s">
        <v>1121</v>
      </c>
      <c r="D396" s="10" t="s">
        <v>16</v>
      </c>
    </row>
    <row r="397" spans="1:5" ht="14" customHeight="1">
      <c r="A397" s="10" t="s">
        <v>1123</v>
      </c>
      <c r="B397" s="10" t="s">
        <v>131</v>
      </c>
      <c r="C397" s="10" t="s">
        <v>1124</v>
      </c>
      <c r="D397" s="10" t="s">
        <v>16</v>
      </c>
    </row>
    <row r="398" spans="1:5" ht="14" customHeight="1">
      <c r="A398" s="10" t="s">
        <v>1125</v>
      </c>
      <c r="B398" s="10" t="s">
        <v>131</v>
      </c>
      <c r="C398" s="10" t="s">
        <v>17</v>
      </c>
      <c r="D398" s="10" t="s">
        <v>16</v>
      </c>
    </row>
    <row r="399" spans="1:5" ht="14" customHeight="1">
      <c r="A399" s="10" t="s">
        <v>1128</v>
      </c>
      <c r="B399" s="10" t="s">
        <v>131</v>
      </c>
      <c r="C399" s="10" t="s">
        <v>1129</v>
      </c>
      <c r="D399" s="10" t="s">
        <v>16</v>
      </c>
    </row>
    <row r="400" spans="1:5" ht="14" customHeight="1">
      <c r="A400" s="10" t="s">
        <v>1130</v>
      </c>
      <c r="B400" s="10" t="s">
        <v>131</v>
      </c>
      <c r="C400" s="10" t="s">
        <v>165</v>
      </c>
      <c r="D400" s="10" t="s">
        <v>16</v>
      </c>
    </row>
    <row r="401" spans="1:5" ht="14" customHeight="1">
      <c r="A401" s="10" t="s">
        <v>1131</v>
      </c>
      <c r="B401" s="10" t="s">
        <v>131</v>
      </c>
      <c r="C401" s="10" t="s">
        <v>1133</v>
      </c>
      <c r="D401" s="10" t="s">
        <v>16</v>
      </c>
      <c r="E401" s="10" t="s">
        <v>1134</v>
      </c>
    </row>
    <row r="402" spans="1:5" ht="14" customHeight="1">
      <c r="A402" s="10" t="s">
        <v>1135</v>
      </c>
      <c r="B402" s="10" t="s">
        <v>131</v>
      </c>
      <c r="C402" s="10" t="s">
        <v>168</v>
      </c>
      <c r="D402" s="10" t="s">
        <v>16</v>
      </c>
    </row>
    <row r="403" spans="1:5" ht="14" customHeight="1">
      <c r="A403" s="10" t="s">
        <v>1136</v>
      </c>
      <c r="B403" s="10" t="s">
        <v>131</v>
      </c>
      <c r="C403" s="10" t="s">
        <v>191</v>
      </c>
      <c r="D403" s="10" t="s">
        <v>16</v>
      </c>
    </row>
    <row r="404" spans="1:5" ht="14" customHeight="1">
      <c r="A404" s="10" t="s">
        <v>1137</v>
      </c>
      <c r="B404" s="10" t="s">
        <v>131</v>
      </c>
      <c r="C404" s="10" t="s">
        <v>161</v>
      </c>
      <c r="D404" s="10" t="s">
        <v>16</v>
      </c>
    </row>
    <row r="405" spans="1:5" ht="14" customHeight="1">
      <c r="A405" s="10" t="s">
        <v>1138</v>
      </c>
      <c r="B405" s="10" t="s">
        <v>131</v>
      </c>
      <c r="C405" s="10" t="s">
        <v>1140</v>
      </c>
      <c r="D405" s="10" t="s">
        <v>16</v>
      </c>
    </row>
    <row r="406" spans="1:5" ht="14" customHeight="1">
      <c r="A406" s="10" t="s">
        <v>1141</v>
      </c>
      <c r="B406" s="10" t="s">
        <v>131</v>
      </c>
      <c r="C406" s="10" t="s">
        <v>1142</v>
      </c>
      <c r="D406" s="10" t="s">
        <v>16</v>
      </c>
      <c r="E406" s="10" t="s">
        <v>209</v>
      </c>
    </row>
    <row r="407" spans="1:5" ht="14" customHeight="1">
      <c r="A407" s="10" t="s">
        <v>1143</v>
      </c>
      <c r="B407" s="10" t="s">
        <v>131</v>
      </c>
      <c r="C407" s="10" t="s">
        <v>1145</v>
      </c>
      <c r="D407" s="10" t="s">
        <v>16</v>
      </c>
    </row>
    <row r="408" spans="1:5" ht="14" customHeight="1">
      <c r="A408" s="10" t="s">
        <v>1146</v>
      </c>
      <c r="B408" s="10" t="s">
        <v>131</v>
      </c>
      <c r="C408" s="10" t="s">
        <v>181</v>
      </c>
      <c r="D408" s="10" t="s">
        <v>16</v>
      </c>
    </row>
    <row r="409" spans="1:5" ht="14" customHeight="1">
      <c r="A409" s="10" t="s">
        <v>1147</v>
      </c>
      <c r="B409" s="10" t="s">
        <v>131</v>
      </c>
      <c r="C409" s="10" t="s">
        <v>1148</v>
      </c>
      <c r="D409" s="10" t="s">
        <v>16</v>
      </c>
    </row>
    <row r="410" spans="1:5" ht="14" customHeight="1">
      <c r="A410" s="10" t="s">
        <v>1149</v>
      </c>
      <c r="B410" s="10" t="s">
        <v>131</v>
      </c>
      <c r="C410" s="10" t="s">
        <v>1150</v>
      </c>
      <c r="D410" s="10" t="s">
        <v>16</v>
      </c>
    </row>
    <row r="411" spans="1:5" ht="14" customHeight="1">
      <c r="A411" s="10" t="s">
        <v>1151</v>
      </c>
      <c r="B411" s="10" t="s">
        <v>131</v>
      </c>
      <c r="C411" s="10" t="s">
        <v>1152</v>
      </c>
      <c r="D411" s="10" t="s">
        <v>16</v>
      </c>
    </row>
    <row r="412" spans="1:5" ht="14" customHeight="1">
      <c r="A412" s="10" t="s">
        <v>1153</v>
      </c>
      <c r="B412" s="10" t="s">
        <v>131</v>
      </c>
      <c r="C412" s="10" t="s">
        <v>1154</v>
      </c>
      <c r="D412" s="10" t="s">
        <v>16</v>
      </c>
      <c r="E412" s="10" t="s">
        <v>155</v>
      </c>
    </row>
    <row r="413" spans="1:5" ht="14" customHeight="1">
      <c r="A413" s="10" t="s">
        <v>1155</v>
      </c>
      <c r="B413" s="10" t="s">
        <v>131</v>
      </c>
      <c r="C413" s="10" t="s">
        <v>1157</v>
      </c>
      <c r="D413" s="10" t="s">
        <v>16</v>
      </c>
    </row>
    <row r="414" spans="1:5" ht="14" customHeight="1">
      <c r="A414" s="10" t="s">
        <v>1158</v>
      </c>
      <c r="B414" s="10" t="s">
        <v>131</v>
      </c>
      <c r="C414" s="10" t="s">
        <v>1160</v>
      </c>
      <c r="D414" s="10" t="s">
        <v>16</v>
      </c>
    </row>
    <row r="415" spans="1:5" ht="14" customHeight="1">
      <c r="A415" s="10" t="s">
        <v>1161</v>
      </c>
      <c r="B415" s="10" t="s">
        <v>131</v>
      </c>
      <c r="C415" s="10" t="s">
        <v>179</v>
      </c>
      <c r="D415" s="10" t="s">
        <v>16</v>
      </c>
    </row>
    <row r="416" spans="1:5" ht="14" customHeight="1">
      <c r="A416" s="10" t="s">
        <v>1162</v>
      </c>
      <c r="B416" s="10" t="s">
        <v>131</v>
      </c>
      <c r="C416" s="10" t="s">
        <v>1163</v>
      </c>
      <c r="D416" s="10" t="s">
        <v>16</v>
      </c>
    </row>
    <row r="417" spans="1:5" ht="14" customHeight="1">
      <c r="A417" s="10" t="s">
        <v>1164</v>
      </c>
      <c r="B417" s="10" t="s">
        <v>131</v>
      </c>
      <c r="C417" s="10" t="s">
        <v>177</v>
      </c>
      <c r="D417" s="10" t="s">
        <v>16</v>
      </c>
    </row>
    <row r="418" spans="1:5" ht="14" customHeight="1">
      <c r="A418" s="10" t="s">
        <v>1165</v>
      </c>
      <c r="B418" s="10" t="s">
        <v>131</v>
      </c>
      <c r="C418" s="10" t="s">
        <v>1167</v>
      </c>
      <c r="D418" s="10" t="s">
        <v>16</v>
      </c>
    </row>
    <row r="419" spans="1:5" ht="14" customHeight="1">
      <c r="A419" s="10" t="s">
        <v>1168</v>
      </c>
      <c r="B419" s="10" t="s">
        <v>131</v>
      </c>
      <c r="C419" s="10" t="s">
        <v>1169</v>
      </c>
      <c r="D419" s="10" t="s">
        <v>16</v>
      </c>
    </row>
    <row r="420" spans="1:5" ht="14" customHeight="1">
      <c r="A420" s="10" t="s">
        <v>1170</v>
      </c>
      <c r="B420" s="10" t="s">
        <v>131</v>
      </c>
      <c r="C420" s="10" t="s">
        <v>1171</v>
      </c>
      <c r="D420" s="10" t="s">
        <v>16</v>
      </c>
    </row>
    <row r="421" spans="1:5" ht="14" customHeight="1">
      <c r="A421" s="10" t="s">
        <v>1172</v>
      </c>
      <c r="B421" s="10" t="s">
        <v>131</v>
      </c>
      <c r="C421" s="10" t="s">
        <v>1173</v>
      </c>
      <c r="D421" s="10" t="s">
        <v>16</v>
      </c>
      <c r="E421" s="10" t="s">
        <v>151</v>
      </c>
    </row>
    <row r="422" spans="1:5" ht="14" customHeight="1">
      <c r="A422" s="10" t="s">
        <v>1174</v>
      </c>
      <c r="B422" s="10" t="s">
        <v>131</v>
      </c>
      <c r="C422" s="10" t="s">
        <v>194</v>
      </c>
      <c r="D422" s="10" t="s">
        <v>16</v>
      </c>
    </row>
    <row r="423" spans="1:5" ht="14" customHeight="1">
      <c r="A423" s="10" t="s">
        <v>1175</v>
      </c>
      <c r="B423" s="10" t="s">
        <v>131</v>
      </c>
      <c r="C423" s="10" t="s">
        <v>1176</v>
      </c>
      <c r="D423" s="10" t="s">
        <v>16</v>
      </c>
    </row>
    <row r="424" spans="1:5" ht="14" customHeight="1">
      <c r="A424" s="10" t="s">
        <v>1177</v>
      </c>
      <c r="B424" s="10" t="s">
        <v>131</v>
      </c>
      <c r="C424" s="10" t="s">
        <v>1178</v>
      </c>
      <c r="D424" s="10" t="s">
        <v>16</v>
      </c>
    </row>
    <row r="425" spans="1:5" ht="14" customHeight="1">
      <c r="A425" s="10" t="s">
        <v>1179</v>
      </c>
      <c r="B425" s="10" t="s">
        <v>131</v>
      </c>
      <c r="C425" s="10" t="s">
        <v>1180</v>
      </c>
      <c r="D425" s="10" t="s">
        <v>16</v>
      </c>
    </row>
    <row r="426" spans="1:5" ht="14" customHeight="1">
      <c r="A426" s="10" t="s">
        <v>1181</v>
      </c>
      <c r="B426" s="10" t="s">
        <v>131</v>
      </c>
      <c r="C426" s="10" t="s">
        <v>1182</v>
      </c>
      <c r="D426" s="10" t="s">
        <v>16</v>
      </c>
    </row>
    <row r="427" spans="1:5" ht="14" customHeight="1">
      <c r="A427" s="10" t="s">
        <v>1184</v>
      </c>
      <c r="B427" s="10" t="s">
        <v>131</v>
      </c>
      <c r="C427" s="10" t="s">
        <v>1186</v>
      </c>
      <c r="D427" s="10" t="s">
        <v>16</v>
      </c>
    </row>
    <row r="428" spans="1:5" ht="14" customHeight="1">
      <c r="A428" s="10" t="s">
        <v>1187</v>
      </c>
      <c r="B428" s="10" t="s">
        <v>202</v>
      </c>
      <c r="C428" s="10" t="s">
        <v>1188</v>
      </c>
      <c r="D428" s="10" t="s">
        <v>16</v>
      </c>
    </row>
    <row r="429" spans="1:5" ht="14" customHeight="1">
      <c r="A429" s="10" t="s">
        <v>1189</v>
      </c>
      <c r="B429" s="10" t="s">
        <v>202</v>
      </c>
      <c r="C429" s="10" t="s">
        <v>1190</v>
      </c>
      <c r="D429" s="10" t="s">
        <v>16</v>
      </c>
    </row>
    <row r="430" spans="1:5" ht="14" customHeight="1">
      <c r="A430" s="10" t="s">
        <v>1191</v>
      </c>
      <c r="B430" s="10" t="s">
        <v>202</v>
      </c>
      <c r="C430" s="10" t="s">
        <v>1192</v>
      </c>
      <c r="D430" s="10" t="s">
        <v>16</v>
      </c>
    </row>
    <row r="431" spans="1:5" ht="14" customHeight="1">
      <c r="A431" s="10" t="s">
        <v>1194</v>
      </c>
      <c r="B431" s="10" t="s">
        <v>202</v>
      </c>
      <c r="C431" s="10" t="s">
        <v>1195</v>
      </c>
      <c r="D431" s="10" t="s">
        <v>16</v>
      </c>
    </row>
    <row r="432" spans="1:5" ht="14" customHeight="1">
      <c r="A432" s="10" t="s">
        <v>1196</v>
      </c>
      <c r="B432" s="10" t="s">
        <v>202</v>
      </c>
      <c r="C432" s="10" t="s">
        <v>1197</v>
      </c>
      <c r="D432" s="10" t="s">
        <v>16</v>
      </c>
    </row>
    <row r="433" spans="1:5" ht="14" customHeight="1">
      <c r="A433" s="10" t="s">
        <v>1198</v>
      </c>
      <c r="B433" s="10" t="s">
        <v>202</v>
      </c>
      <c r="C433" s="10" t="s">
        <v>1199</v>
      </c>
      <c r="D433" s="10" t="s">
        <v>16</v>
      </c>
      <c r="E433" s="10" t="s">
        <v>151</v>
      </c>
    </row>
    <row r="434" spans="1:5" ht="14" customHeight="1">
      <c r="A434" s="10" t="s">
        <v>1200</v>
      </c>
      <c r="B434" s="10" t="s">
        <v>202</v>
      </c>
      <c r="C434" s="10" t="s">
        <v>1201</v>
      </c>
      <c r="D434" s="10" t="s">
        <v>16</v>
      </c>
      <c r="E434" s="10" t="s">
        <v>209</v>
      </c>
    </row>
    <row r="435" spans="1:5" ht="14" customHeight="1">
      <c r="A435" s="10" t="s">
        <v>1202</v>
      </c>
      <c r="B435" s="10" t="s">
        <v>202</v>
      </c>
      <c r="C435" s="10" t="s">
        <v>1203</v>
      </c>
      <c r="D435" s="10" t="s">
        <v>16</v>
      </c>
      <c r="E435" s="10" t="s">
        <v>217</v>
      </c>
    </row>
    <row r="436" spans="1:5" ht="14" customHeight="1">
      <c r="A436" s="10" t="s">
        <v>1204</v>
      </c>
      <c r="B436" s="10" t="s">
        <v>202</v>
      </c>
      <c r="C436" s="10" t="s">
        <v>1205</v>
      </c>
      <c r="D436" s="10" t="s">
        <v>16</v>
      </c>
    </row>
    <row r="437" spans="1:5" ht="14" customHeight="1">
      <c r="A437" s="10" t="s">
        <v>1206</v>
      </c>
      <c r="B437" s="10" t="s">
        <v>202</v>
      </c>
      <c r="C437" s="10" t="s">
        <v>203</v>
      </c>
      <c r="D437" s="10" t="s">
        <v>16</v>
      </c>
    </row>
    <row r="438" spans="1:5" ht="14" customHeight="1">
      <c r="A438" s="10" t="s">
        <v>1207</v>
      </c>
      <c r="B438" s="10" t="s">
        <v>202</v>
      </c>
      <c r="C438" s="10" t="s">
        <v>1208</v>
      </c>
      <c r="D438" s="10" t="s">
        <v>16</v>
      </c>
    </row>
    <row r="439" spans="1:5" ht="14" customHeight="1">
      <c r="A439" s="10" t="s">
        <v>1209</v>
      </c>
      <c r="B439" s="10" t="s">
        <v>202</v>
      </c>
      <c r="C439" s="10" t="s">
        <v>1210</v>
      </c>
      <c r="D439" s="10" t="s">
        <v>16</v>
      </c>
    </row>
    <row r="440" spans="1:5" ht="14" customHeight="1">
      <c r="A440" s="10" t="s">
        <v>1211</v>
      </c>
      <c r="B440" s="10" t="s">
        <v>202</v>
      </c>
      <c r="C440" s="10" t="s">
        <v>1212</v>
      </c>
      <c r="D440" s="10" t="s">
        <v>16</v>
      </c>
    </row>
    <row r="441" spans="1:5" ht="14" customHeight="1">
      <c r="A441" s="10" t="s">
        <v>1213</v>
      </c>
      <c r="B441" s="10" t="s">
        <v>220</v>
      </c>
      <c r="C441" s="10" t="s">
        <v>221</v>
      </c>
      <c r="D441" s="10" t="s">
        <v>16</v>
      </c>
    </row>
    <row r="442" spans="1:5" ht="14" customHeight="1">
      <c r="A442" s="10" t="s">
        <v>1214</v>
      </c>
      <c r="B442" s="10" t="s">
        <v>220</v>
      </c>
      <c r="C442" s="10" t="s">
        <v>1215</v>
      </c>
      <c r="D442" s="10" t="s">
        <v>16</v>
      </c>
    </row>
    <row r="443" spans="1:5" ht="14" customHeight="1">
      <c r="A443" s="10" t="s">
        <v>1216</v>
      </c>
      <c r="B443" s="10" t="s">
        <v>220</v>
      </c>
      <c r="C443" s="10" t="s">
        <v>1217</v>
      </c>
      <c r="D443" s="10" t="s">
        <v>16</v>
      </c>
    </row>
    <row r="444" spans="1:5" ht="14" customHeight="1">
      <c r="A444" s="10" t="s">
        <v>1218</v>
      </c>
      <c r="B444" s="10" t="s">
        <v>220</v>
      </c>
      <c r="C444" s="10" t="s">
        <v>1219</v>
      </c>
      <c r="D444" s="10" t="s">
        <v>16</v>
      </c>
    </row>
    <row r="445" spans="1:5" ht="14" customHeight="1">
      <c r="A445" s="10" t="s">
        <v>1220</v>
      </c>
      <c r="B445" s="10" t="s">
        <v>220</v>
      </c>
      <c r="C445" s="10" t="s">
        <v>1221</v>
      </c>
      <c r="D445" s="10" t="s">
        <v>16</v>
      </c>
    </row>
    <row r="446" spans="1:5" ht="14" customHeight="1">
      <c r="A446" s="10" t="s">
        <v>1222</v>
      </c>
      <c r="B446" s="10" t="s">
        <v>220</v>
      </c>
      <c r="C446" s="10" t="s">
        <v>1223</v>
      </c>
      <c r="D446" s="10" t="s">
        <v>16</v>
      </c>
    </row>
    <row r="447" spans="1:5" ht="14" customHeight="1">
      <c r="A447" s="10" t="s">
        <v>1224</v>
      </c>
      <c r="B447" s="10" t="s">
        <v>220</v>
      </c>
      <c r="C447" s="10" t="s">
        <v>1225</v>
      </c>
      <c r="D447" s="10" t="s">
        <v>16</v>
      </c>
      <c r="E447" s="10" t="s">
        <v>17</v>
      </c>
    </row>
    <row r="448" spans="1:5" ht="14" customHeight="1">
      <c r="A448" s="10" t="s">
        <v>1226</v>
      </c>
      <c r="B448" s="10" t="s">
        <v>220</v>
      </c>
      <c r="C448" s="10" t="s">
        <v>1227</v>
      </c>
      <c r="D448" s="10" t="s">
        <v>16</v>
      </c>
    </row>
    <row r="449" spans="1:4" ht="14" customHeight="1">
      <c r="A449" s="10" t="s">
        <v>1228</v>
      </c>
      <c r="B449" s="10" t="s">
        <v>220</v>
      </c>
      <c r="C449" s="10" t="s">
        <v>1229</v>
      </c>
      <c r="D449" s="10" t="s">
        <v>16</v>
      </c>
    </row>
    <row r="450" spans="1:4" ht="14" customHeight="1">
      <c r="A450" s="10" t="s">
        <v>1230</v>
      </c>
      <c r="B450" s="10" t="s">
        <v>23</v>
      </c>
      <c r="C450" s="10" t="s">
        <v>1231</v>
      </c>
      <c r="D450" s="10" t="s">
        <v>16</v>
      </c>
    </row>
    <row r="451" spans="1:4" ht="14" customHeight="1">
      <c r="A451" s="10" t="s">
        <v>1232</v>
      </c>
      <c r="B451" s="10" t="s">
        <v>23</v>
      </c>
      <c r="C451" s="10" t="s">
        <v>1233</v>
      </c>
      <c r="D451" s="10" t="s">
        <v>16</v>
      </c>
    </row>
    <row r="452" spans="1:4" ht="14" customHeight="1">
      <c r="A452" s="10" t="s">
        <v>879</v>
      </c>
      <c r="B452" s="10" t="s">
        <v>23</v>
      </c>
      <c r="C452" s="10" t="s">
        <v>880</v>
      </c>
      <c r="D452" s="10" t="s">
        <v>16</v>
      </c>
    </row>
    <row r="453" spans="1:4" ht="14" customHeight="1">
      <c r="A453" s="10" t="s">
        <v>1234</v>
      </c>
      <c r="B453" s="10" t="s">
        <v>252</v>
      </c>
      <c r="C453" s="10" t="s">
        <v>1235</v>
      </c>
      <c r="D453" s="10" t="s">
        <v>16</v>
      </c>
    </row>
    <row r="454" spans="1:4" ht="14" customHeight="1">
      <c r="A454" s="10" t="s">
        <v>1024</v>
      </c>
      <c r="B454" s="10" t="s">
        <v>252</v>
      </c>
      <c r="C454" s="10" t="s">
        <v>1025</v>
      </c>
      <c r="D454" s="10" t="s">
        <v>16</v>
      </c>
    </row>
    <row r="455" spans="1:4" ht="14" customHeight="1">
      <c r="A455" s="10" t="s">
        <v>1236</v>
      </c>
      <c r="B455" s="10" t="s">
        <v>252</v>
      </c>
      <c r="C455" s="10" t="s">
        <v>1237</v>
      </c>
      <c r="D455" s="10" t="s">
        <v>16</v>
      </c>
    </row>
    <row r="456" spans="1:4" ht="14" customHeight="1">
      <c r="A456" s="10" t="s">
        <v>1238</v>
      </c>
      <c r="B456" s="10" t="s">
        <v>252</v>
      </c>
      <c r="C456" s="10" t="s">
        <v>1239</v>
      </c>
      <c r="D456" s="10" t="s">
        <v>16</v>
      </c>
    </row>
    <row r="457" spans="1:4" ht="14" customHeight="1">
      <c r="A457" s="10" t="s">
        <v>1240</v>
      </c>
      <c r="B457" s="10" t="s">
        <v>252</v>
      </c>
      <c r="C457" s="10" t="s">
        <v>1241</v>
      </c>
      <c r="D457" s="10" t="s">
        <v>16</v>
      </c>
    </row>
    <row r="458" spans="1:4" ht="14" customHeight="1">
      <c r="A458" s="10" t="s">
        <v>1242</v>
      </c>
      <c r="B458" s="10" t="s">
        <v>252</v>
      </c>
      <c r="C458" s="10" t="s">
        <v>1243</v>
      </c>
      <c r="D458" s="10" t="s">
        <v>16</v>
      </c>
    </row>
    <row r="459" spans="1:4" ht="14" customHeight="1">
      <c r="A459" s="10" t="s">
        <v>1244</v>
      </c>
      <c r="B459" s="10" t="s">
        <v>252</v>
      </c>
      <c r="C459" s="10" t="s">
        <v>1246</v>
      </c>
      <c r="D459" s="10" t="s">
        <v>16</v>
      </c>
    </row>
    <row r="460" spans="1:4" ht="14" customHeight="1">
      <c r="A460" s="10" t="s">
        <v>1247</v>
      </c>
      <c r="B460" s="10" t="s">
        <v>252</v>
      </c>
      <c r="C460" s="10" t="s">
        <v>1248</v>
      </c>
      <c r="D460" s="10" t="s">
        <v>16</v>
      </c>
    </row>
    <row r="461" spans="1:4" ht="14" customHeight="1">
      <c r="A461" s="10" t="s">
        <v>1249</v>
      </c>
      <c r="B461" s="10" t="s">
        <v>45</v>
      </c>
      <c r="C461" s="10" t="s">
        <v>1250</v>
      </c>
      <c r="D461" s="10" t="s">
        <v>16</v>
      </c>
    </row>
    <row r="462" spans="1:4" ht="14" customHeight="1">
      <c r="A462" s="10" t="s">
        <v>1251</v>
      </c>
      <c r="B462" s="10" t="s">
        <v>45</v>
      </c>
      <c r="C462" s="10" t="s">
        <v>1252</v>
      </c>
      <c r="D462" s="10" t="s">
        <v>16</v>
      </c>
    </row>
    <row r="463" spans="1:4" ht="14" customHeight="1">
      <c r="A463" s="10" t="s">
        <v>1253</v>
      </c>
      <c r="B463" s="10" t="s">
        <v>45</v>
      </c>
      <c r="C463" s="10" t="s">
        <v>1254</v>
      </c>
      <c r="D463" s="10" t="s">
        <v>16</v>
      </c>
    </row>
    <row r="464" spans="1:4" ht="14" customHeight="1">
      <c r="A464" s="10" t="s">
        <v>1255</v>
      </c>
      <c r="B464" s="10" t="s">
        <v>45</v>
      </c>
      <c r="C464" s="10" t="s">
        <v>1256</v>
      </c>
      <c r="D464" s="10" t="s">
        <v>16</v>
      </c>
    </row>
    <row r="465" spans="1:4" ht="14" customHeight="1">
      <c r="A465" s="10" t="s">
        <v>1257</v>
      </c>
      <c r="B465" s="10" t="s">
        <v>45</v>
      </c>
      <c r="C465" s="10" t="s">
        <v>1258</v>
      </c>
      <c r="D465" s="10" t="s">
        <v>16</v>
      </c>
    </row>
    <row r="466" spans="1:4" ht="14" customHeight="1">
      <c r="A466" s="10" t="s">
        <v>1259</v>
      </c>
      <c r="B466" s="10" t="s">
        <v>45</v>
      </c>
      <c r="C466" s="10" t="s">
        <v>1260</v>
      </c>
      <c r="D466" s="10" t="s">
        <v>16</v>
      </c>
    </row>
    <row r="467" spans="1:4" ht="14" customHeight="1">
      <c r="A467" s="10" t="s">
        <v>1261</v>
      </c>
      <c r="B467" s="10" t="s">
        <v>53</v>
      </c>
      <c r="C467" s="10" t="s">
        <v>1262</v>
      </c>
      <c r="D467" s="10" t="s">
        <v>16</v>
      </c>
    </row>
    <row r="468" spans="1:4" ht="14" customHeight="1">
      <c r="A468" s="10" t="s">
        <v>1263</v>
      </c>
      <c r="B468" s="10" t="s">
        <v>53</v>
      </c>
      <c r="C468" s="10" t="s">
        <v>1264</v>
      </c>
      <c r="D468" s="10" t="s">
        <v>16</v>
      </c>
    </row>
    <row r="469" spans="1:4" ht="14" customHeight="1">
      <c r="A469" s="10" t="s">
        <v>1265</v>
      </c>
      <c r="B469" s="10" t="s">
        <v>53</v>
      </c>
      <c r="C469" s="10" t="s">
        <v>1266</v>
      </c>
      <c r="D469" s="10" t="s">
        <v>16</v>
      </c>
    </row>
    <row r="470" spans="1:4" ht="14" customHeight="1">
      <c r="A470" s="10" t="s">
        <v>1268</v>
      </c>
      <c r="B470" s="10" t="s">
        <v>62</v>
      </c>
      <c r="C470" s="10" t="s">
        <v>1269</v>
      </c>
      <c r="D470" s="10" t="s">
        <v>16</v>
      </c>
    </row>
    <row r="471" spans="1:4" ht="14" customHeight="1">
      <c r="A471" s="10" t="s">
        <v>1270</v>
      </c>
      <c r="B471" s="10" t="s">
        <v>62</v>
      </c>
      <c r="C471" s="10" t="s">
        <v>1271</v>
      </c>
      <c r="D471" s="10" t="s">
        <v>16</v>
      </c>
    </row>
    <row r="472" spans="1:4" ht="14" customHeight="1">
      <c r="A472" s="10" t="s">
        <v>1272</v>
      </c>
      <c r="B472" s="10" t="s">
        <v>62</v>
      </c>
      <c r="C472" s="10" t="s">
        <v>1273</v>
      </c>
      <c r="D472" s="10" t="s">
        <v>16</v>
      </c>
    </row>
    <row r="473" spans="1:4" ht="14" customHeight="1">
      <c r="A473" s="10" t="s">
        <v>1274</v>
      </c>
      <c r="B473" s="10" t="s">
        <v>62</v>
      </c>
      <c r="C473" s="10" t="s">
        <v>1275</v>
      </c>
      <c r="D473" s="10" t="s">
        <v>16</v>
      </c>
    </row>
    <row r="474" spans="1:4" ht="14" customHeight="1">
      <c r="A474" s="10" t="s">
        <v>1276</v>
      </c>
      <c r="B474" s="10" t="s">
        <v>62</v>
      </c>
      <c r="C474" s="10" t="s">
        <v>1277</v>
      </c>
      <c r="D474" s="10" t="s">
        <v>16</v>
      </c>
    </row>
    <row r="475" spans="1:4" ht="14" customHeight="1">
      <c r="A475" s="10" t="s">
        <v>1279</v>
      </c>
      <c r="B475" s="10" t="s">
        <v>62</v>
      </c>
      <c r="C475" s="10" t="s">
        <v>1280</v>
      </c>
      <c r="D475" s="10" t="s">
        <v>16</v>
      </c>
    </row>
    <row r="476" spans="1:4" ht="14" customHeight="1">
      <c r="A476" s="10" t="s">
        <v>1281</v>
      </c>
      <c r="B476" s="10" t="s">
        <v>62</v>
      </c>
      <c r="C476" s="10" t="s">
        <v>1282</v>
      </c>
      <c r="D476" s="10" t="s">
        <v>16</v>
      </c>
    </row>
    <row r="477" spans="1:4" ht="14" customHeight="1">
      <c r="A477" s="10" t="s">
        <v>1283</v>
      </c>
      <c r="B477" s="10" t="s">
        <v>62</v>
      </c>
      <c r="C477" s="10" t="s">
        <v>1284</v>
      </c>
      <c r="D477" s="10" t="s">
        <v>16</v>
      </c>
    </row>
    <row r="478" spans="1:4" ht="14" customHeight="1">
      <c r="A478" s="10" t="s">
        <v>1285</v>
      </c>
      <c r="B478" s="10" t="s">
        <v>62</v>
      </c>
      <c r="C478" s="10" t="s">
        <v>1286</v>
      </c>
      <c r="D478" s="10" t="s">
        <v>16</v>
      </c>
    </row>
    <row r="479" spans="1:4" ht="14" customHeight="1">
      <c r="A479" s="10" t="s">
        <v>1287</v>
      </c>
      <c r="B479" s="10" t="s">
        <v>62</v>
      </c>
      <c r="C479" s="10" t="s">
        <v>1288</v>
      </c>
      <c r="D479" s="10" t="s">
        <v>16</v>
      </c>
    </row>
    <row r="480" spans="1:4" ht="14" customHeight="1">
      <c r="A480" s="10" t="s">
        <v>1289</v>
      </c>
      <c r="B480" s="10" t="s">
        <v>62</v>
      </c>
      <c r="C480" s="10" t="s">
        <v>1290</v>
      </c>
      <c r="D480" s="10" t="s">
        <v>16</v>
      </c>
    </row>
    <row r="481" spans="1:4" ht="14" customHeight="1">
      <c r="A481" s="10" t="s">
        <v>1291</v>
      </c>
      <c r="B481" s="10" t="s">
        <v>62</v>
      </c>
      <c r="C481" s="10" t="s">
        <v>1292</v>
      </c>
      <c r="D481" s="10" t="s">
        <v>16</v>
      </c>
    </row>
    <row r="482" spans="1:4" ht="14" customHeight="1">
      <c r="A482" s="10" t="s">
        <v>1293</v>
      </c>
      <c r="B482" s="10" t="s">
        <v>62</v>
      </c>
      <c r="C482" s="10" t="s">
        <v>1294</v>
      </c>
      <c r="D482" s="10" t="s">
        <v>16</v>
      </c>
    </row>
    <row r="483" spans="1:4" ht="14" customHeight="1">
      <c r="A483" s="10" t="s">
        <v>1295</v>
      </c>
      <c r="B483" s="10" t="s">
        <v>62</v>
      </c>
      <c r="C483" s="10" t="s">
        <v>1296</v>
      </c>
      <c r="D483" s="10" t="s">
        <v>16</v>
      </c>
    </row>
    <row r="484" spans="1:4" ht="14" customHeight="1">
      <c r="A484" s="10" t="s">
        <v>1297</v>
      </c>
      <c r="B484" s="10" t="s">
        <v>62</v>
      </c>
      <c r="C484" s="10" t="s">
        <v>1298</v>
      </c>
      <c r="D484" s="10" t="s">
        <v>16</v>
      </c>
    </row>
    <row r="485" spans="1:4" ht="14" customHeight="1">
      <c r="A485" s="10" t="s">
        <v>1299</v>
      </c>
      <c r="B485" s="10" t="s">
        <v>62</v>
      </c>
      <c r="C485" s="10" t="s">
        <v>1300</v>
      </c>
      <c r="D485" s="10" t="s">
        <v>16</v>
      </c>
    </row>
    <row r="486" spans="1:4" ht="14" customHeight="1">
      <c r="A486" s="10" t="s">
        <v>1301</v>
      </c>
      <c r="B486" s="10" t="s">
        <v>67</v>
      </c>
      <c r="C486" s="10" t="s">
        <v>1302</v>
      </c>
      <c r="D486" s="10" t="s">
        <v>16</v>
      </c>
    </row>
    <row r="487" spans="1:4" ht="14" customHeight="1">
      <c r="A487" s="10" t="s">
        <v>1303</v>
      </c>
      <c r="B487" s="10" t="s">
        <v>67</v>
      </c>
      <c r="C487" s="10" t="s">
        <v>1304</v>
      </c>
      <c r="D487" s="10" t="s">
        <v>16</v>
      </c>
    </row>
    <row r="488" spans="1:4" ht="14" customHeight="1">
      <c r="A488" s="10" t="s">
        <v>1305</v>
      </c>
      <c r="B488" s="10" t="s">
        <v>67</v>
      </c>
      <c r="C488" s="10" t="s">
        <v>1306</v>
      </c>
      <c r="D488" s="10" t="s">
        <v>16</v>
      </c>
    </row>
    <row r="489" spans="1:4" ht="14" customHeight="1">
      <c r="A489" s="10" t="s">
        <v>1307</v>
      </c>
      <c r="B489" s="10" t="s">
        <v>262</v>
      </c>
      <c r="C489" s="10" t="s">
        <v>1308</v>
      </c>
      <c r="D489" s="10" t="s">
        <v>16</v>
      </c>
    </row>
    <row r="490" spans="1:4" ht="14" customHeight="1">
      <c r="A490" s="10" t="s">
        <v>1309</v>
      </c>
      <c r="B490" s="10" t="s">
        <v>67</v>
      </c>
      <c r="C490" s="10" t="s">
        <v>1310</v>
      </c>
      <c r="D490" s="10" t="s">
        <v>16</v>
      </c>
    </row>
    <row r="491" spans="1:4" ht="14" customHeight="1">
      <c r="A491" s="10" t="s">
        <v>1311</v>
      </c>
      <c r="B491" s="10" t="s">
        <v>262</v>
      </c>
      <c r="C491" s="10" t="s">
        <v>1312</v>
      </c>
      <c r="D491" s="10" t="s">
        <v>16</v>
      </c>
    </row>
    <row r="492" spans="1:4" ht="14" customHeight="1">
      <c r="A492" s="10" t="s">
        <v>1313</v>
      </c>
      <c r="B492" s="10" t="s">
        <v>262</v>
      </c>
      <c r="C492" s="10" t="s">
        <v>1314</v>
      </c>
      <c r="D492" s="10" t="s">
        <v>16</v>
      </c>
    </row>
    <row r="493" spans="1:4" ht="14" customHeight="1">
      <c r="A493" s="10" t="s">
        <v>1315</v>
      </c>
      <c r="B493" s="10" t="s">
        <v>262</v>
      </c>
      <c r="C493" s="10" t="s">
        <v>1316</v>
      </c>
      <c r="D493" s="10" t="s">
        <v>16</v>
      </c>
    </row>
    <row r="494" spans="1:4" ht="14" customHeight="1">
      <c r="A494" s="10" t="s">
        <v>1317</v>
      </c>
      <c r="B494" s="10" t="s">
        <v>705</v>
      </c>
      <c r="C494" s="10" t="s">
        <v>701</v>
      </c>
      <c r="D494" s="10" t="s">
        <v>16</v>
      </c>
    </row>
    <row r="495" spans="1:4" ht="14" customHeight="1">
      <c r="A495" s="10" t="s">
        <v>1319</v>
      </c>
      <c r="B495" s="10" t="s">
        <v>705</v>
      </c>
      <c r="C495" s="10" t="s">
        <v>1320</v>
      </c>
      <c r="D495" s="10" t="s">
        <v>16</v>
      </c>
    </row>
    <row r="496" spans="1:4" ht="14" customHeight="1">
      <c r="A496" s="10" t="s">
        <v>1321</v>
      </c>
      <c r="B496" s="10" t="s">
        <v>266</v>
      </c>
      <c r="C496" s="10" t="s">
        <v>1322</v>
      </c>
      <c r="D496" s="10" t="s">
        <v>16</v>
      </c>
    </row>
    <row r="497" spans="1:4" ht="14" customHeight="1">
      <c r="A497" s="10" t="s">
        <v>1323</v>
      </c>
      <c r="B497" s="10" t="s">
        <v>266</v>
      </c>
      <c r="C497" s="10" t="s">
        <v>1324</v>
      </c>
      <c r="D497" s="10" t="s">
        <v>16</v>
      </c>
    </row>
    <row r="498" spans="1:4" ht="14" customHeight="1">
      <c r="A498" s="10" t="s">
        <v>1325</v>
      </c>
      <c r="B498" s="10" t="s">
        <v>266</v>
      </c>
      <c r="C498" s="10" t="s">
        <v>1326</v>
      </c>
      <c r="D498" s="10" t="s">
        <v>16</v>
      </c>
    </row>
    <row r="499" spans="1:4" ht="14" customHeight="1">
      <c r="A499" s="10" t="s">
        <v>1327</v>
      </c>
      <c r="B499" s="10" t="s">
        <v>266</v>
      </c>
      <c r="C499" s="10" t="s">
        <v>1328</v>
      </c>
      <c r="D499" s="10" t="s">
        <v>16</v>
      </c>
    </row>
    <row r="500" spans="1:4" ht="14" customHeight="1">
      <c r="A500" s="10" t="s">
        <v>1329</v>
      </c>
      <c r="B500" s="10" t="s">
        <v>266</v>
      </c>
      <c r="C500" s="10" t="s">
        <v>1330</v>
      </c>
      <c r="D500" s="10" t="s">
        <v>16</v>
      </c>
    </row>
    <row r="501" spans="1:4" ht="14" customHeight="1">
      <c r="A501" s="10" t="s">
        <v>1331</v>
      </c>
      <c r="B501" s="10" t="s">
        <v>266</v>
      </c>
      <c r="C501" s="10" t="s">
        <v>1332</v>
      </c>
      <c r="D501" s="10" t="s">
        <v>16</v>
      </c>
    </row>
    <row r="502" spans="1:4" ht="14" customHeight="1">
      <c r="A502" s="10" t="s">
        <v>1333</v>
      </c>
      <c r="B502" s="10" t="s">
        <v>266</v>
      </c>
      <c r="C502" s="10" t="s">
        <v>1334</v>
      </c>
      <c r="D502" s="10" t="s">
        <v>16</v>
      </c>
    </row>
    <row r="503" spans="1:4" ht="14" customHeight="1">
      <c r="A503" s="10" t="s">
        <v>1335</v>
      </c>
      <c r="B503" s="10" t="s">
        <v>74</v>
      </c>
      <c r="C503" s="10" t="s">
        <v>1336</v>
      </c>
      <c r="D503" s="10" t="s">
        <v>16</v>
      </c>
    </row>
    <row r="504" spans="1:4" ht="14" customHeight="1">
      <c r="A504" s="10" t="s">
        <v>1337</v>
      </c>
      <c r="B504" s="10" t="s">
        <v>74</v>
      </c>
      <c r="C504" s="10" t="s">
        <v>1338</v>
      </c>
      <c r="D504" s="10" t="s">
        <v>16</v>
      </c>
    </row>
    <row r="505" spans="1:4" ht="14" customHeight="1">
      <c r="A505" s="10" t="s">
        <v>1339</v>
      </c>
      <c r="B505" s="10" t="s">
        <v>74</v>
      </c>
      <c r="C505" s="10" t="s">
        <v>1340</v>
      </c>
      <c r="D505" s="10" t="s">
        <v>16</v>
      </c>
    </row>
    <row r="506" spans="1:4" ht="14" customHeight="1">
      <c r="A506" s="10" t="s">
        <v>1341</v>
      </c>
      <c r="B506" s="10" t="s">
        <v>74</v>
      </c>
      <c r="C506" s="10" t="s">
        <v>1342</v>
      </c>
      <c r="D506" s="10" t="s">
        <v>16</v>
      </c>
    </row>
    <row r="507" spans="1:4" ht="14" customHeight="1">
      <c r="A507" s="10" t="s">
        <v>1343</v>
      </c>
      <c r="B507" s="10" t="s">
        <v>74</v>
      </c>
      <c r="C507" s="10" t="s">
        <v>1344</v>
      </c>
      <c r="D507" s="10" t="s">
        <v>16</v>
      </c>
    </row>
    <row r="508" spans="1:4" ht="14" customHeight="1">
      <c r="A508" s="10" t="s">
        <v>1345</v>
      </c>
      <c r="B508" s="10" t="s">
        <v>78</v>
      </c>
      <c r="C508" s="10" t="s">
        <v>1346</v>
      </c>
      <c r="D508" s="10" t="s">
        <v>16</v>
      </c>
    </row>
    <row r="509" spans="1:4" ht="14" customHeight="1">
      <c r="A509" s="10" t="s">
        <v>1347</v>
      </c>
      <c r="B509" s="10" t="s">
        <v>78</v>
      </c>
      <c r="C509" s="10" t="s">
        <v>1348</v>
      </c>
      <c r="D509" s="10" t="s">
        <v>16</v>
      </c>
    </row>
    <row r="510" spans="1:4" ht="14" customHeight="1">
      <c r="A510" s="10" t="s">
        <v>1349</v>
      </c>
      <c r="B510" s="10" t="s">
        <v>78</v>
      </c>
      <c r="C510" s="10" t="s">
        <v>1350</v>
      </c>
      <c r="D510" s="10" t="s">
        <v>16</v>
      </c>
    </row>
    <row r="511" spans="1:4" ht="14" customHeight="1">
      <c r="A511" s="10" t="s">
        <v>1351</v>
      </c>
      <c r="B511" s="10" t="s">
        <v>83</v>
      </c>
      <c r="C511" s="10" t="s">
        <v>1352</v>
      </c>
      <c r="D511" s="10" t="s">
        <v>16</v>
      </c>
    </row>
    <row r="512" spans="1:4" ht="14" customHeight="1">
      <c r="A512" s="10" t="s">
        <v>1353</v>
      </c>
      <c r="B512" s="10" t="s">
        <v>83</v>
      </c>
      <c r="C512" s="10" t="s">
        <v>1354</v>
      </c>
      <c r="D512" s="10" t="s">
        <v>16</v>
      </c>
    </row>
    <row r="513" spans="1:4" ht="14" customHeight="1">
      <c r="A513" s="10" t="s">
        <v>1355</v>
      </c>
      <c r="B513" s="10" t="s">
        <v>83</v>
      </c>
      <c r="C513" s="10" t="s">
        <v>1356</v>
      </c>
      <c r="D513" s="10" t="s">
        <v>16</v>
      </c>
    </row>
    <row r="514" spans="1:4" ht="14" customHeight="1">
      <c r="A514" s="10" t="s">
        <v>1357</v>
      </c>
      <c r="B514" s="10" t="s">
        <v>83</v>
      </c>
      <c r="C514" s="10" t="s">
        <v>1358</v>
      </c>
      <c r="D514" s="10" t="s">
        <v>16</v>
      </c>
    </row>
    <row r="515" spans="1:4" ht="14" customHeight="1">
      <c r="A515" s="10" t="s">
        <v>1359</v>
      </c>
      <c r="B515" s="10" t="s">
        <v>83</v>
      </c>
      <c r="C515" s="10" t="s">
        <v>1360</v>
      </c>
      <c r="D515" s="10" t="s">
        <v>16</v>
      </c>
    </row>
    <row r="516" spans="1:4" ht="14" customHeight="1">
      <c r="A516" s="10" t="s">
        <v>1361</v>
      </c>
      <c r="B516" s="10" t="s">
        <v>83</v>
      </c>
      <c r="C516" s="10" t="s">
        <v>1362</v>
      </c>
      <c r="D516" s="10" t="s">
        <v>16</v>
      </c>
    </row>
    <row r="517" spans="1:4" ht="14" customHeight="1">
      <c r="A517" s="10" t="s">
        <v>1363</v>
      </c>
      <c r="B517" s="10" t="s">
        <v>83</v>
      </c>
      <c r="C517" s="10" t="s">
        <v>1364</v>
      </c>
      <c r="D517" s="10" t="s">
        <v>16</v>
      </c>
    </row>
    <row r="518" spans="1:4" ht="14" customHeight="1">
      <c r="A518" s="10" t="s">
        <v>1365</v>
      </c>
      <c r="B518" s="10" t="s">
        <v>83</v>
      </c>
      <c r="C518" s="10" t="s">
        <v>1366</v>
      </c>
      <c r="D518" s="10" t="s">
        <v>16</v>
      </c>
    </row>
    <row r="519" spans="1:4" ht="14" customHeight="1">
      <c r="A519" s="10" t="s">
        <v>1367</v>
      </c>
      <c r="B519" s="10" t="s">
        <v>83</v>
      </c>
      <c r="C519" s="10" t="s">
        <v>1368</v>
      </c>
      <c r="D519" s="10" t="s">
        <v>16</v>
      </c>
    </row>
    <row r="520" spans="1:4" ht="14" customHeight="1">
      <c r="A520" s="10" t="s">
        <v>1369</v>
      </c>
      <c r="B520" s="10" t="s">
        <v>83</v>
      </c>
      <c r="C520" s="10" t="s">
        <v>1370</v>
      </c>
      <c r="D520" s="10" t="s">
        <v>16</v>
      </c>
    </row>
    <row r="521" spans="1:4" ht="14" customHeight="1">
      <c r="A521" s="10" t="s">
        <v>1371</v>
      </c>
      <c r="B521" s="10" t="s">
        <v>83</v>
      </c>
      <c r="C521" s="10" t="s">
        <v>1372</v>
      </c>
      <c r="D521" s="10" t="s">
        <v>16</v>
      </c>
    </row>
    <row r="522" spans="1:4" ht="14" customHeight="1">
      <c r="A522" s="10" t="s">
        <v>1373</v>
      </c>
      <c r="B522" s="10" t="s">
        <v>83</v>
      </c>
      <c r="C522" s="10" t="s">
        <v>1374</v>
      </c>
      <c r="D522" s="10" t="s">
        <v>16</v>
      </c>
    </row>
    <row r="523" spans="1:4" ht="14" customHeight="1">
      <c r="A523" s="10" t="s">
        <v>1375</v>
      </c>
      <c r="B523" s="10" t="s">
        <v>83</v>
      </c>
      <c r="C523" s="10" t="s">
        <v>1376</v>
      </c>
      <c r="D523" s="10" t="s">
        <v>16</v>
      </c>
    </row>
    <row r="524" spans="1:4" ht="14" customHeight="1">
      <c r="A524" s="10" t="s">
        <v>1377</v>
      </c>
      <c r="B524" s="10" t="s">
        <v>89</v>
      </c>
      <c r="C524" s="10" t="s">
        <v>1378</v>
      </c>
      <c r="D524" s="10" t="s">
        <v>16</v>
      </c>
    </row>
    <row r="525" spans="1:4" ht="14" customHeight="1">
      <c r="A525" s="10" t="s">
        <v>1379</v>
      </c>
      <c r="B525" s="10" t="s">
        <v>89</v>
      </c>
      <c r="C525" s="10" t="s">
        <v>1380</v>
      </c>
      <c r="D525" s="10" t="s">
        <v>16</v>
      </c>
    </row>
    <row r="526" spans="1:4" ht="14" customHeight="1">
      <c r="A526" s="10" t="s">
        <v>1381</v>
      </c>
      <c r="B526" s="10" t="s">
        <v>89</v>
      </c>
      <c r="C526" s="10" t="s">
        <v>1382</v>
      </c>
      <c r="D526" s="10" t="s">
        <v>16</v>
      </c>
    </row>
    <row r="527" spans="1:4" ht="14" customHeight="1">
      <c r="A527" s="10" t="s">
        <v>1383</v>
      </c>
      <c r="B527" s="10" t="s">
        <v>89</v>
      </c>
      <c r="C527" s="10" t="s">
        <v>1384</v>
      </c>
      <c r="D527" s="10" t="s">
        <v>16</v>
      </c>
    </row>
    <row r="528" spans="1:4" ht="14" customHeight="1">
      <c r="A528" s="10" t="s">
        <v>1385</v>
      </c>
      <c r="B528" s="10" t="s">
        <v>89</v>
      </c>
      <c r="C528" s="10" t="s">
        <v>1386</v>
      </c>
      <c r="D528" s="10" t="s">
        <v>16</v>
      </c>
    </row>
    <row r="529" spans="1:4" ht="14" customHeight="1">
      <c r="A529" s="10" t="s">
        <v>1387</v>
      </c>
      <c r="B529" s="10" t="s">
        <v>89</v>
      </c>
      <c r="C529" s="10" t="s">
        <v>1388</v>
      </c>
      <c r="D529" s="10" t="s">
        <v>16</v>
      </c>
    </row>
    <row r="530" spans="1:4" ht="14" customHeight="1">
      <c r="A530" s="10" t="s">
        <v>1383</v>
      </c>
      <c r="B530" s="10" t="s">
        <v>89</v>
      </c>
      <c r="C530" s="10" t="s">
        <v>1384</v>
      </c>
      <c r="D530" s="10" t="s">
        <v>16</v>
      </c>
    </row>
    <row r="531" spans="1:4" ht="14" customHeight="1">
      <c r="A531" s="10" t="s">
        <v>1389</v>
      </c>
      <c r="B531" s="10" t="s">
        <v>345</v>
      </c>
      <c r="C531" s="10" t="s">
        <v>1390</v>
      </c>
      <c r="D531" s="10" t="s">
        <v>16</v>
      </c>
    </row>
    <row r="532" spans="1:4" ht="14" customHeight="1">
      <c r="A532" s="10" t="s">
        <v>1391</v>
      </c>
      <c r="B532" s="10" t="s">
        <v>345</v>
      </c>
      <c r="C532" s="10" t="s">
        <v>1392</v>
      </c>
      <c r="D532" s="10" t="s">
        <v>16</v>
      </c>
    </row>
    <row r="533" spans="1:4" ht="14" customHeight="1">
      <c r="A533" s="10" t="s">
        <v>1393</v>
      </c>
      <c r="B533" s="10" t="s">
        <v>345</v>
      </c>
      <c r="C533" s="10" t="s">
        <v>1394</v>
      </c>
      <c r="D533" s="10" t="s">
        <v>16</v>
      </c>
    </row>
    <row r="534" spans="1:4" ht="14" customHeight="1">
      <c r="A534" s="10" t="s">
        <v>1395</v>
      </c>
      <c r="B534" s="10" t="s">
        <v>331</v>
      </c>
      <c r="C534" s="10" t="s">
        <v>1396</v>
      </c>
      <c r="D534" s="10" t="s">
        <v>16</v>
      </c>
    </row>
    <row r="535" spans="1:4" ht="14" customHeight="1">
      <c r="A535" s="10" t="s">
        <v>1397</v>
      </c>
      <c r="B535" s="10" t="s">
        <v>331</v>
      </c>
      <c r="C535" s="10" t="s">
        <v>1398</v>
      </c>
      <c r="D535" s="10" t="s">
        <v>16</v>
      </c>
    </row>
    <row r="536" spans="1:4" ht="14" customHeight="1">
      <c r="A536" s="10" t="s">
        <v>1399</v>
      </c>
      <c r="B536" s="10" t="s">
        <v>331</v>
      </c>
      <c r="C536" s="10" t="s">
        <v>1400</v>
      </c>
      <c r="D536" s="10" t="s">
        <v>16</v>
      </c>
    </row>
    <row r="537" spans="1:4" ht="14" customHeight="1">
      <c r="A537" s="10" t="s">
        <v>1401</v>
      </c>
      <c r="B537" s="10" t="s">
        <v>1402</v>
      </c>
      <c r="C537" s="10" t="s">
        <v>1403</v>
      </c>
      <c r="D537" s="10" t="s">
        <v>16</v>
      </c>
    </row>
    <row r="538" spans="1:4" ht="14" customHeight="1">
      <c r="A538" s="10" t="s">
        <v>1404</v>
      </c>
      <c r="B538" s="10" t="s">
        <v>865</v>
      </c>
      <c r="C538" s="10" t="s">
        <v>1405</v>
      </c>
      <c r="D538" s="10" t="s">
        <v>16</v>
      </c>
    </row>
    <row r="539" spans="1:4" ht="14" customHeight="1">
      <c r="A539" s="10" t="s">
        <v>1406</v>
      </c>
      <c r="B539" s="10" t="s">
        <v>865</v>
      </c>
      <c r="C539" s="10" t="s">
        <v>1407</v>
      </c>
      <c r="D539" s="10" t="s">
        <v>16</v>
      </c>
    </row>
    <row r="540" spans="1:4" ht="14" customHeight="1">
      <c r="A540" s="10" t="s">
        <v>1408</v>
      </c>
      <c r="B540" s="10" t="s">
        <v>865</v>
      </c>
      <c r="C540" s="10" t="s">
        <v>1409</v>
      </c>
      <c r="D540" s="10" t="s">
        <v>16</v>
      </c>
    </row>
    <row r="541" spans="1:4" ht="14" customHeight="1">
      <c r="A541" s="10" t="s">
        <v>1410</v>
      </c>
      <c r="B541" s="10" t="s">
        <v>865</v>
      </c>
      <c r="C541" s="10" t="s">
        <v>1411</v>
      </c>
      <c r="D541" s="10" t="s">
        <v>16</v>
      </c>
    </row>
    <row r="542" spans="1:4" ht="14" customHeight="1">
      <c r="A542" s="10" t="s">
        <v>1413</v>
      </c>
      <c r="B542" s="10" t="s">
        <v>865</v>
      </c>
      <c r="C542" s="10" t="s">
        <v>1414</v>
      </c>
      <c r="D542" s="10" t="s">
        <v>16</v>
      </c>
    </row>
    <row r="543" spans="1:4" ht="14" customHeight="1">
      <c r="A543" s="10" t="s">
        <v>1415</v>
      </c>
      <c r="B543" s="10" t="s">
        <v>1416</v>
      </c>
      <c r="C543" s="10" t="s">
        <v>1417</v>
      </c>
      <c r="D543" s="10" t="s">
        <v>16</v>
      </c>
    </row>
    <row r="544" spans="1:4" ht="14" customHeight="1">
      <c r="A544" s="10" t="s">
        <v>1418</v>
      </c>
      <c r="B544" s="10" t="s">
        <v>1419</v>
      </c>
      <c r="C544" s="10" t="s">
        <v>1420</v>
      </c>
      <c r="D544" s="10" t="s">
        <v>16</v>
      </c>
    </row>
    <row r="545" spans="1:4" ht="14" customHeight="1">
      <c r="A545" s="10" t="s">
        <v>1422</v>
      </c>
      <c r="B545" s="10" t="s">
        <v>1423</v>
      </c>
      <c r="C545" s="10" t="s">
        <v>1424</v>
      </c>
      <c r="D545" s="10" t="s">
        <v>16</v>
      </c>
    </row>
    <row r="546" spans="1:4" ht="14" customHeight="1">
      <c r="A546" s="10" t="s">
        <v>1072</v>
      </c>
      <c r="B546" s="10" t="e">
        <v>#VALUE!</v>
      </c>
      <c r="C546" s="10" t="e">
        <v>#VALUE!</v>
      </c>
      <c r="D546" s="10" t="s">
        <v>16</v>
      </c>
    </row>
    <row r="547" spans="1:4" ht="14" customHeight="1">
      <c r="A547" s="10" t="s">
        <v>1426</v>
      </c>
      <c r="B547" s="10" t="s">
        <v>220</v>
      </c>
      <c r="C547" s="10" t="s">
        <v>1427</v>
      </c>
      <c r="D547" s="10" t="s">
        <v>16</v>
      </c>
    </row>
    <row r="548" spans="1:4" ht="14" customHeight="1">
      <c r="A548" s="10" t="s">
        <v>1428</v>
      </c>
      <c r="B548" s="10" t="s">
        <v>23</v>
      </c>
      <c r="C548" s="10" t="s">
        <v>1429</v>
      </c>
      <c r="D548" s="10" t="s">
        <v>16</v>
      </c>
    </row>
    <row r="549" spans="1:4" ht="14" customHeight="1">
      <c r="A549" s="10" t="s">
        <v>1430</v>
      </c>
      <c r="B549" s="10" t="s">
        <v>252</v>
      </c>
      <c r="C549" s="10" t="s">
        <v>1431</v>
      </c>
      <c r="D549" s="10" t="s">
        <v>16</v>
      </c>
    </row>
    <row r="550" spans="1:4" ht="14" customHeight="1">
      <c r="A550" s="10" t="s">
        <v>1432</v>
      </c>
      <c r="B550" s="10" t="s">
        <v>252</v>
      </c>
      <c r="C550" s="10" t="s">
        <v>1433</v>
      </c>
      <c r="D550" s="10" t="s">
        <v>16</v>
      </c>
    </row>
    <row r="551" spans="1:4" ht="14" customHeight="1">
      <c r="A551" s="10" t="s">
        <v>1434</v>
      </c>
      <c r="B551" s="10" t="s">
        <v>45</v>
      </c>
      <c r="C551" s="10" t="s">
        <v>1435</v>
      </c>
      <c r="D551" s="10" t="s">
        <v>16</v>
      </c>
    </row>
    <row r="552" spans="1:4" ht="14" customHeight="1">
      <c r="A552" s="10" t="s">
        <v>1436</v>
      </c>
      <c r="B552" s="10" t="s">
        <v>45</v>
      </c>
      <c r="C552" s="10" t="s">
        <v>1437</v>
      </c>
      <c r="D552" s="10" t="s">
        <v>16</v>
      </c>
    </row>
    <row r="553" spans="1:4" ht="14" customHeight="1">
      <c r="A553" s="10" t="s">
        <v>1438</v>
      </c>
      <c r="B553" s="10" t="s">
        <v>62</v>
      </c>
      <c r="C553" s="10" t="s">
        <v>1439</v>
      </c>
      <c r="D553" s="10" t="s">
        <v>16</v>
      </c>
    </row>
    <row r="554" spans="1:4" ht="14" customHeight="1">
      <c r="A554" s="10" t="s">
        <v>1440</v>
      </c>
      <c r="B554" s="10" t="s">
        <v>62</v>
      </c>
      <c r="C554" s="10" t="s">
        <v>1441</v>
      </c>
      <c r="D554" s="10" t="s">
        <v>16</v>
      </c>
    </row>
    <row r="555" spans="1:4" ht="14" customHeight="1">
      <c r="A555" s="10" t="s">
        <v>1442</v>
      </c>
      <c r="B555" s="10" t="s">
        <v>67</v>
      </c>
      <c r="C555" s="10" t="s">
        <v>1443</v>
      </c>
      <c r="D555" s="10" t="s">
        <v>16</v>
      </c>
    </row>
    <row r="556" spans="1:4" ht="14" customHeight="1">
      <c r="A556" s="10" t="s">
        <v>1444</v>
      </c>
      <c r="B556" s="10" t="s">
        <v>705</v>
      </c>
      <c r="C556" s="10" t="s">
        <v>1445</v>
      </c>
      <c r="D556" s="10" t="s">
        <v>16</v>
      </c>
    </row>
    <row r="557" spans="1:4" ht="14" customHeight="1">
      <c r="A557" s="10" t="s">
        <v>1446</v>
      </c>
      <c r="B557" s="10" t="s">
        <v>705</v>
      </c>
      <c r="C557" s="10" t="s">
        <v>1447</v>
      </c>
      <c r="D557" s="10" t="s">
        <v>16</v>
      </c>
    </row>
    <row r="558" spans="1:4" ht="14" customHeight="1">
      <c r="A558" s="10" t="s">
        <v>1448</v>
      </c>
      <c r="B558" s="10" t="s">
        <v>705</v>
      </c>
      <c r="C558" s="10" t="s">
        <v>1449</v>
      </c>
      <c r="D558" s="10" t="s">
        <v>16</v>
      </c>
    </row>
    <row r="559" spans="1:4" ht="14" customHeight="1">
      <c r="A559" s="10" t="s">
        <v>1450</v>
      </c>
      <c r="B559" s="10" t="s">
        <v>266</v>
      </c>
      <c r="C559" s="10" t="s">
        <v>1452</v>
      </c>
      <c r="D559" s="10" t="s">
        <v>16</v>
      </c>
    </row>
    <row r="560" spans="1:4" ht="14" customHeight="1">
      <c r="A560" s="10" t="s">
        <v>1453</v>
      </c>
      <c r="B560" s="10" t="s">
        <v>266</v>
      </c>
      <c r="C560" s="10" t="s">
        <v>1454</v>
      </c>
      <c r="D560" s="10" t="s">
        <v>16</v>
      </c>
    </row>
    <row r="561" spans="1:4" ht="14" customHeight="1">
      <c r="A561" s="10" t="s">
        <v>1455</v>
      </c>
      <c r="B561" s="10" t="s">
        <v>266</v>
      </c>
      <c r="C561" s="10" t="s">
        <v>1456</v>
      </c>
      <c r="D561" s="10" t="s">
        <v>16</v>
      </c>
    </row>
    <row r="562" spans="1:4" ht="14" customHeight="1">
      <c r="A562" s="10" t="s">
        <v>1457</v>
      </c>
      <c r="B562" s="10" t="s">
        <v>74</v>
      </c>
      <c r="C562" s="10" t="s">
        <v>1458</v>
      </c>
      <c r="D562" s="10" t="s">
        <v>16</v>
      </c>
    </row>
    <row r="563" spans="1:4" ht="14" customHeight="1">
      <c r="A563" s="10" t="s">
        <v>1459</v>
      </c>
      <c r="B563" s="10" t="s">
        <v>83</v>
      </c>
      <c r="C563" s="10" t="s">
        <v>1460</v>
      </c>
      <c r="D563" s="10" t="s">
        <v>16</v>
      </c>
    </row>
    <row r="564" spans="1:4" ht="14" customHeight="1">
      <c r="A564" s="10" t="s">
        <v>1461</v>
      </c>
      <c r="B564" s="10" t="s">
        <v>83</v>
      </c>
      <c r="C564" s="10" t="s">
        <v>1462</v>
      </c>
      <c r="D564" s="10" t="s">
        <v>16</v>
      </c>
    </row>
    <row r="565" spans="1:4" ht="14" customHeight="1">
      <c r="A565" s="10" t="s">
        <v>1463</v>
      </c>
      <c r="B565" s="10" t="s">
        <v>99</v>
      </c>
      <c r="C565" s="10" t="e">
        <v>#VALUE!</v>
      </c>
      <c r="D565" s="10" t="s">
        <v>16</v>
      </c>
    </row>
    <row r="566" spans="1:4" ht="14" customHeight="1">
      <c r="A566" s="10" t="s">
        <v>1464</v>
      </c>
      <c r="B566" s="10" t="e">
        <v>#VALUE!</v>
      </c>
      <c r="C566" s="10" t="e">
        <v>#VALUE!</v>
      </c>
      <c r="D566" s="10" t="s">
        <v>16</v>
      </c>
    </row>
    <row r="567" spans="1:4" ht="14" customHeight="1">
      <c r="A567" s="10" t="s">
        <v>1465</v>
      </c>
      <c r="B567" s="10" t="e">
        <v>#VALUE!</v>
      </c>
      <c r="C567" s="10" t="e">
        <v>#VALUE!</v>
      </c>
      <c r="D567" s="10" t="s">
        <v>16</v>
      </c>
    </row>
    <row r="568" spans="1:4" ht="14" customHeight="1">
      <c r="A568" s="10" t="s">
        <v>1466</v>
      </c>
      <c r="B568" s="10" t="s">
        <v>12</v>
      </c>
      <c r="C568" s="10" t="s">
        <v>1467</v>
      </c>
      <c r="D568" s="10" t="s">
        <v>16</v>
      </c>
    </row>
    <row r="569" spans="1:4" ht="14" customHeight="1">
      <c r="A569" s="10" t="s">
        <v>1468</v>
      </c>
      <c r="B569" s="10" t="s">
        <v>12</v>
      </c>
      <c r="C569" s="10" t="s">
        <v>1469</v>
      </c>
      <c r="D569" s="10" t="s">
        <v>16</v>
      </c>
    </row>
    <row r="570" spans="1:4" ht="14" customHeight="1">
      <c r="A570" s="10" t="s">
        <v>1470</v>
      </c>
      <c r="B570" s="10" t="s">
        <v>12</v>
      </c>
      <c r="C570" s="10" t="s">
        <v>1471</v>
      </c>
      <c r="D570" s="10" t="s">
        <v>16</v>
      </c>
    </row>
    <row r="571" spans="1:4" ht="14" customHeight="1">
      <c r="A571" s="10" t="s">
        <v>1230</v>
      </c>
      <c r="B571" s="10" t="s">
        <v>23</v>
      </c>
      <c r="C571" s="10" t="s">
        <v>1231</v>
      </c>
      <c r="D571" s="10" t="s">
        <v>16</v>
      </c>
    </row>
    <row r="572" spans="1:4" ht="14" customHeight="1">
      <c r="A572" s="10" t="s">
        <v>1472</v>
      </c>
      <c r="B572" s="10" t="s">
        <v>252</v>
      </c>
      <c r="C572" s="10" t="s">
        <v>1474</v>
      </c>
      <c r="D572" s="10" t="s">
        <v>16</v>
      </c>
    </row>
    <row r="573" spans="1:4" ht="14" customHeight="1">
      <c r="A573" s="10" t="s">
        <v>1475</v>
      </c>
      <c r="B573" s="10" t="s">
        <v>252</v>
      </c>
      <c r="C573" s="10" t="s">
        <v>1476</v>
      </c>
      <c r="D573" s="10" t="s">
        <v>16</v>
      </c>
    </row>
    <row r="574" spans="1:4" ht="14" customHeight="1">
      <c r="A574" s="10" t="s">
        <v>1477</v>
      </c>
      <c r="B574" s="10" t="s">
        <v>45</v>
      </c>
      <c r="C574" s="10" t="s">
        <v>1478</v>
      </c>
      <c r="D574" s="10" t="s">
        <v>16</v>
      </c>
    </row>
    <row r="575" spans="1:4" ht="14" customHeight="1">
      <c r="A575" s="10" t="s">
        <v>1479</v>
      </c>
      <c r="B575" s="10" t="s">
        <v>45</v>
      </c>
      <c r="C575" s="10" t="s">
        <v>1480</v>
      </c>
      <c r="D575" s="10" t="s">
        <v>16</v>
      </c>
    </row>
    <row r="576" spans="1:4" ht="14" customHeight="1">
      <c r="A576" s="10" t="s">
        <v>1482</v>
      </c>
      <c r="B576" s="10" t="s">
        <v>45</v>
      </c>
      <c r="C576" s="10" t="s">
        <v>1483</v>
      </c>
      <c r="D576" s="10" t="s">
        <v>16</v>
      </c>
    </row>
    <row r="577" spans="1:4" ht="14" customHeight="1">
      <c r="A577" s="10" t="s">
        <v>1484</v>
      </c>
      <c r="B577" s="10" t="s">
        <v>53</v>
      </c>
      <c r="C577" s="10" t="s">
        <v>1485</v>
      </c>
      <c r="D577" s="10" t="s">
        <v>16</v>
      </c>
    </row>
    <row r="578" spans="1:4" ht="14" customHeight="1">
      <c r="A578" s="10" t="s">
        <v>1487</v>
      </c>
      <c r="B578" s="10" t="s">
        <v>705</v>
      </c>
      <c r="C578" s="10" t="s">
        <v>1488</v>
      </c>
      <c r="D578" s="10" t="s">
        <v>16</v>
      </c>
    </row>
    <row r="579" spans="1:4" ht="14" customHeight="1">
      <c r="A579" s="10" t="s">
        <v>1489</v>
      </c>
      <c r="B579" s="10" t="s">
        <v>705</v>
      </c>
      <c r="C579" s="10" t="s">
        <v>1490</v>
      </c>
      <c r="D579" s="10" t="s">
        <v>16</v>
      </c>
    </row>
    <row r="580" spans="1:4" ht="14" customHeight="1">
      <c r="A580" s="10" t="s">
        <v>1491</v>
      </c>
      <c r="B580" s="10" t="s">
        <v>705</v>
      </c>
      <c r="C580" s="10" t="s">
        <v>1492</v>
      </c>
      <c r="D580" s="10" t="s">
        <v>16</v>
      </c>
    </row>
    <row r="581" spans="1:4" ht="14" customHeight="1">
      <c r="A581" s="10" t="s">
        <v>1493</v>
      </c>
      <c r="B581" s="10" t="s">
        <v>266</v>
      </c>
      <c r="C581" s="10" t="s">
        <v>1494</v>
      </c>
      <c r="D581" s="10" t="s">
        <v>16</v>
      </c>
    </row>
    <row r="582" spans="1:4" ht="14" customHeight="1">
      <c r="A582" s="10" t="s">
        <v>1495</v>
      </c>
      <c r="B582" s="10" t="s">
        <v>266</v>
      </c>
      <c r="C582" s="10" t="s">
        <v>1496</v>
      </c>
      <c r="D582" s="10" t="s">
        <v>16</v>
      </c>
    </row>
    <row r="583" spans="1:4" ht="14" customHeight="1">
      <c r="A583" s="10" t="s">
        <v>1497</v>
      </c>
      <c r="B583" s="10" t="s">
        <v>74</v>
      </c>
      <c r="C583" s="10" t="s">
        <v>1498</v>
      </c>
      <c r="D583" s="10" t="s">
        <v>16</v>
      </c>
    </row>
    <row r="584" spans="1:4" ht="14" customHeight="1">
      <c r="A584" s="10" t="s">
        <v>1499</v>
      </c>
      <c r="B584" s="10" t="s">
        <v>74</v>
      </c>
      <c r="C584" s="10" t="s">
        <v>1500</v>
      </c>
      <c r="D584" s="10" t="s">
        <v>16</v>
      </c>
    </row>
    <row r="585" spans="1:4" ht="14" customHeight="1">
      <c r="A585" s="10" t="s">
        <v>1501</v>
      </c>
      <c r="B585" s="10" t="s">
        <v>78</v>
      </c>
      <c r="C585" s="10" t="s">
        <v>1502</v>
      </c>
      <c r="D585" s="10" t="s">
        <v>16</v>
      </c>
    </row>
    <row r="586" spans="1:4" ht="14" customHeight="1">
      <c r="A586" s="10" t="s">
        <v>1503</v>
      </c>
      <c r="B586" s="10" t="s">
        <v>78</v>
      </c>
      <c r="C586" s="10" t="s">
        <v>1235</v>
      </c>
      <c r="D586" s="10" t="s">
        <v>16</v>
      </c>
    </row>
    <row r="587" spans="1:4" ht="14" customHeight="1">
      <c r="A587" s="10" t="s">
        <v>1504</v>
      </c>
      <c r="B587" s="10" t="s">
        <v>78</v>
      </c>
      <c r="C587" s="10" t="s">
        <v>1505</v>
      </c>
      <c r="D587" s="10" t="s">
        <v>16</v>
      </c>
    </row>
    <row r="588" spans="1:4" ht="14" customHeight="1">
      <c r="A588" s="10" t="s">
        <v>1506</v>
      </c>
      <c r="B588" s="10" t="s">
        <v>78</v>
      </c>
      <c r="C588" s="10" t="s">
        <v>1508</v>
      </c>
      <c r="D588" s="10" t="s">
        <v>16</v>
      </c>
    </row>
    <row r="589" spans="1:4" ht="14" customHeight="1">
      <c r="A589" s="10" t="s">
        <v>1509</v>
      </c>
      <c r="B589" s="10" t="s">
        <v>83</v>
      </c>
      <c r="C589" s="10" t="s">
        <v>1510</v>
      </c>
      <c r="D589" s="10" t="s">
        <v>16</v>
      </c>
    </row>
    <row r="590" spans="1:4" ht="14" customHeight="1">
      <c r="A590" s="10" t="s">
        <v>1511</v>
      </c>
      <c r="B590" s="10" t="s">
        <v>89</v>
      </c>
      <c r="C590" s="10" t="s">
        <v>1513</v>
      </c>
      <c r="D590" s="10" t="s">
        <v>16</v>
      </c>
    </row>
    <row r="591" spans="1:4" ht="14" customHeight="1">
      <c r="A591" s="10" t="s">
        <v>1514</v>
      </c>
      <c r="B591" s="10" t="s">
        <v>89</v>
      </c>
      <c r="C591" s="10" t="s">
        <v>1515</v>
      </c>
      <c r="D591" s="10" t="s">
        <v>16</v>
      </c>
    </row>
    <row r="592" spans="1:4" ht="14" customHeight="1">
      <c r="A592" s="10" t="s">
        <v>1516</v>
      </c>
      <c r="B592" s="10" t="s">
        <v>89</v>
      </c>
      <c r="C592" s="10" t="s">
        <v>1517</v>
      </c>
      <c r="D592" s="10" t="s">
        <v>16</v>
      </c>
    </row>
    <row r="593" spans="1:4" ht="14" customHeight="1">
      <c r="A593" s="10" t="s">
        <v>1518</v>
      </c>
      <c r="B593" s="10" t="s">
        <v>99</v>
      </c>
      <c r="C593" s="10" t="s">
        <v>1519</v>
      </c>
      <c r="D593" s="10" t="s">
        <v>16</v>
      </c>
    </row>
    <row r="594" spans="1:4" ht="14" customHeight="1">
      <c r="A594" s="10" t="s">
        <v>1520</v>
      </c>
      <c r="B594" s="10" t="s">
        <v>331</v>
      </c>
      <c r="C594" s="10" t="s">
        <v>1521</v>
      </c>
      <c r="D594" s="10" t="s">
        <v>16</v>
      </c>
    </row>
    <row r="595" spans="1:4" ht="14" customHeight="1">
      <c r="A595" s="10" t="s">
        <v>1522</v>
      </c>
      <c r="B595" s="10" t="s">
        <v>331</v>
      </c>
      <c r="C595" s="10" t="s">
        <v>1523</v>
      </c>
      <c r="D595" s="10" t="s">
        <v>16</v>
      </c>
    </row>
    <row r="596" spans="1:4" ht="14" customHeight="1">
      <c r="A596" s="10" t="s">
        <v>1524</v>
      </c>
      <c r="B596" s="10" t="s">
        <v>1402</v>
      </c>
      <c r="C596" s="10" t="s">
        <v>1525</v>
      </c>
      <c r="D596" s="10" t="s">
        <v>16</v>
      </c>
    </row>
    <row r="597" spans="1:4" ht="14" customHeight="1">
      <c r="A597" s="10" t="s">
        <v>1526</v>
      </c>
      <c r="B597" s="10" t="s">
        <v>1402</v>
      </c>
      <c r="C597" s="10" t="s">
        <v>1527</v>
      </c>
      <c r="D597" s="10" t="s">
        <v>16</v>
      </c>
    </row>
    <row r="598" spans="1:4" ht="14" customHeight="1">
      <c r="A598" s="10" t="s">
        <v>1528</v>
      </c>
      <c r="B598" s="10" t="s">
        <v>1402</v>
      </c>
      <c r="C598" s="10" t="s">
        <v>1529</v>
      </c>
      <c r="D598" s="10" t="s">
        <v>16</v>
      </c>
    </row>
    <row r="599" spans="1:4" ht="14" customHeight="1">
      <c r="A599" s="10" t="s">
        <v>1530</v>
      </c>
      <c r="B599" s="10" t="s">
        <v>865</v>
      </c>
      <c r="C599" s="10" t="s">
        <v>1531</v>
      </c>
      <c r="D599" s="10" t="s">
        <v>16</v>
      </c>
    </row>
    <row r="600" spans="1:4" ht="14" customHeight="1">
      <c r="A600" s="10" t="s">
        <v>1532</v>
      </c>
      <c r="B600" s="10" t="s">
        <v>1419</v>
      </c>
      <c r="C600" s="10" t="s">
        <v>1533</v>
      </c>
      <c r="D600" s="10" t="s">
        <v>16</v>
      </c>
    </row>
    <row r="601" spans="1:4" ht="14" customHeight="1">
      <c r="A601" s="10" t="s">
        <v>1534</v>
      </c>
      <c r="B601" s="10" t="s">
        <v>354</v>
      </c>
      <c r="C601" s="10" t="s">
        <v>1535</v>
      </c>
      <c r="D601" s="10" t="s">
        <v>16</v>
      </c>
    </row>
    <row r="602" spans="1:4" ht="14" customHeight="1">
      <c r="A602" s="10" t="s">
        <v>1536</v>
      </c>
      <c r="B602" s="10" t="e">
        <v>#VALUE!</v>
      </c>
      <c r="C602" s="10" t="e">
        <v>#VALUE!</v>
      </c>
      <c r="D602" s="10" t="s">
        <v>16</v>
      </c>
    </row>
    <row r="603" spans="1:4" ht="14" customHeight="1">
      <c r="A603" s="10" t="s">
        <v>1537</v>
      </c>
      <c r="B603" s="10" t="s">
        <v>705</v>
      </c>
      <c r="C603" s="10" t="s">
        <v>1538</v>
      </c>
      <c r="D603" s="10" t="s">
        <v>16</v>
      </c>
    </row>
    <row r="604" spans="1:4" ht="14" customHeight="1">
      <c r="A604" s="10" t="s">
        <v>1540</v>
      </c>
      <c r="B604" s="10" t="s">
        <v>705</v>
      </c>
      <c r="C604" s="10" t="s">
        <v>1541</v>
      </c>
      <c r="D604" s="10" t="s">
        <v>16</v>
      </c>
    </row>
    <row r="605" spans="1:4" ht="14" customHeight="1">
      <c r="A605" s="10" t="s">
        <v>1542</v>
      </c>
      <c r="B605" s="10" t="s">
        <v>266</v>
      </c>
      <c r="C605" s="10" t="s">
        <v>1543</v>
      </c>
      <c r="D605" s="10" t="s">
        <v>16</v>
      </c>
    </row>
    <row r="606" spans="1:4" ht="14" customHeight="1">
      <c r="A606" s="10" t="s">
        <v>1544</v>
      </c>
      <c r="B606" s="10" t="s">
        <v>74</v>
      </c>
      <c r="C606" s="10" t="s">
        <v>1545</v>
      </c>
      <c r="D606" s="10" t="s">
        <v>16</v>
      </c>
    </row>
    <row r="607" spans="1:4" ht="14" customHeight="1">
      <c r="A607" s="10" t="s">
        <v>1546</v>
      </c>
      <c r="B607" s="10" t="s">
        <v>78</v>
      </c>
      <c r="C607" s="10" t="s">
        <v>1547</v>
      </c>
      <c r="D607" s="10" t="s">
        <v>16</v>
      </c>
    </row>
    <row r="608" spans="1:4" ht="14" customHeight="1">
      <c r="A608" s="10" t="s">
        <v>1548</v>
      </c>
      <c r="B608" s="10" t="s">
        <v>89</v>
      </c>
      <c r="C608" s="10" t="s">
        <v>1386</v>
      </c>
      <c r="D608" s="10" t="s">
        <v>16</v>
      </c>
    </row>
    <row r="609" spans="1:4" ht="14" customHeight="1">
      <c r="A609" s="10" t="s">
        <v>1549</v>
      </c>
      <c r="B609" s="10" t="s">
        <v>99</v>
      </c>
      <c r="C609" s="10" t="e">
        <v>#VALUE!</v>
      </c>
      <c r="D609" s="10" t="s">
        <v>16</v>
      </c>
    </row>
    <row r="610" spans="1:4" ht="14" customHeight="1">
      <c r="A610" s="10" t="s">
        <v>1550</v>
      </c>
      <c r="B610" s="10" t="s">
        <v>99</v>
      </c>
      <c r="C610" s="10" t="e">
        <v>#VALUE!</v>
      </c>
      <c r="D610" s="10" t="s">
        <v>16</v>
      </c>
    </row>
    <row r="611" spans="1:4" ht="14" customHeight="1">
      <c r="A611" s="10" t="s">
        <v>1551</v>
      </c>
      <c r="B611" s="10" t="s">
        <v>320</v>
      </c>
      <c r="C611" s="10" t="s">
        <v>1552</v>
      </c>
      <c r="D611" s="10" t="s">
        <v>16</v>
      </c>
    </row>
    <row r="612" spans="1:4" ht="14" customHeight="1">
      <c r="A612" s="10" t="s">
        <v>1553</v>
      </c>
      <c r="B612" s="10" t="s">
        <v>345</v>
      </c>
      <c r="C612" s="10" t="s">
        <v>1554</v>
      </c>
      <c r="D612" s="10" t="s">
        <v>16</v>
      </c>
    </row>
    <row r="613" spans="1:4" ht="14" customHeight="1">
      <c r="A613" s="10" t="s">
        <v>1555</v>
      </c>
      <c r="B613" s="10" t="e">
        <v>#VALUE!</v>
      </c>
      <c r="C613" s="10" t="e">
        <v>#VALUE!</v>
      </c>
      <c r="D613" s="10" t="s">
        <v>16</v>
      </c>
    </row>
    <row r="614" spans="1:4" ht="14" customHeight="1">
      <c r="A614" s="10" t="s">
        <v>1556</v>
      </c>
      <c r="B614" s="10" t="s">
        <v>131</v>
      </c>
      <c r="C614" s="10" t="s">
        <v>1557</v>
      </c>
      <c r="D614" s="10" t="s">
        <v>16</v>
      </c>
    </row>
    <row r="615" spans="1:4" ht="14" customHeight="1">
      <c r="A615" s="10" t="s">
        <v>1558</v>
      </c>
      <c r="B615" s="10" t="s">
        <v>131</v>
      </c>
      <c r="C615" s="10" t="s">
        <v>1559</v>
      </c>
      <c r="D615" s="10" t="s">
        <v>16</v>
      </c>
    </row>
    <row r="616" spans="1:4" ht="14" customHeight="1">
      <c r="A616" s="10" t="s">
        <v>1560</v>
      </c>
      <c r="B616" s="10" t="s">
        <v>131</v>
      </c>
      <c r="C616" s="10" t="s">
        <v>1561</v>
      </c>
      <c r="D616" s="10" t="s">
        <v>16</v>
      </c>
    </row>
    <row r="617" spans="1:4" ht="14" customHeight="1">
      <c r="A617" s="10" t="s">
        <v>1562</v>
      </c>
      <c r="B617" s="10" t="s">
        <v>131</v>
      </c>
      <c r="C617" s="10" t="s">
        <v>1563</v>
      </c>
      <c r="D617" s="10" t="s">
        <v>16</v>
      </c>
    </row>
    <row r="618" spans="1:4" ht="14" customHeight="1">
      <c r="A618" s="10" t="s">
        <v>1564</v>
      </c>
      <c r="B618" s="10" t="s">
        <v>131</v>
      </c>
      <c r="C618" s="10" t="s">
        <v>1565</v>
      </c>
      <c r="D618" s="10" t="s">
        <v>16</v>
      </c>
    </row>
    <row r="619" spans="1:4" ht="14" customHeight="1">
      <c r="A619" s="10" t="s">
        <v>1566</v>
      </c>
      <c r="B619" s="10" t="s">
        <v>220</v>
      </c>
      <c r="C619" s="10" t="s">
        <v>1567</v>
      </c>
      <c r="D619" s="10" t="s">
        <v>16</v>
      </c>
    </row>
    <row r="620" spans="1:4" ht="14" customHeight="1">
      <c r="A620" s="10" t="s">
        <v>1568</v>
      </c>
      <c r="B620" s="10" t="s">
        <v>220</v>
      </c>
      <c r="C620" s="10" t="s">
        <v>1569</v>
      </c>
      <c r="D620" s="10" t="s">
        <v>16</v>
      </c>
    </row>
    <row r="621" spans="1:4" ht="14" customHeight="1">
      <c r="A621" s="10" t="s">
        <v>1570</v>
      </c>
      <c r="B621" s="10" t="s">
        <v>220</v>
      </c>
      <c r="C621" s="10" t="s">
        <v>1571</v>
      </c>
      <c r="D621" s="10" t="s">
        <v>16</v>
      </c>
    </row>
    <row r="622" spans="1:4" ht="14" customHeight="1">
      <c r="A622" s="10" t="s">
        <v>1572</v>
      </c>
      <c r="B622" s="10" t="s">
        <v>220</v>
      </c>
      <c r="C622" s="10" t="s">
        <v>1573</v>
      </c>
      <c r="D622" s="10" t="s">
        <v>16</v>
      </c>
    </row>
    <row r="623" spans="1:4" ht="14" customHeight="1">
      <c r="A623" s="10" t="s">
        <v>1574</v>
      </c>
      <c r="B623" s="10" t="s">
        <v>220</v>
      </c>
      <c r="C623" s="10" t="s">
        <v>1575</v>
      </c>
      <c r="D623" s="10" t="s">
        <v>16</v>
      </c>
    </row>
    <row r="624" spans="1:4" ht="14" customHeight="1">
      <c r="A624" s="10" t="s">
        <v>1576</v>
      </c>
      <c r="B624" s="10" t="s">
        <v>220</v>
      </c>
      <c r="C624" s="10" t="s">
        <v>1577</v>
      </c>
      <c r="D624" s="10" t="s">
        <v>16</v>
      </c>
    </row>
    <row r="625" spans="1:4" ht="14" customHeight="1">
      <c r="A625" s="10" t="s">
        <v>1578</v>
      </c>
      <c r="B625" s="10" t="s">
        <v>220</v>
      </c>
      <c r="C625" s="10" t="s">
        <v>1579</v>
      </c>
      <c r="D625" s="10" t="s">
        <v>16</v>
      </c>
    </row>
    <row r="626" spans="1:4" ht="14" customHeight="1">
      <c r="A626" s="10" t="s">
        <v>1580</v>
      </c>
      <c r="B626" s="10" t="s">
        <v>220</v>
      </c>
      <c r="C626" s="10" t="s">
        <v>1581</v>
      </c>
      <c r="D626" s="10" t="s">
        <v>16</v>
      </c>
    </row>
    <row r="627" spans="1:4" ht="14" customHeight="1">
      <c r="A627" s="10" t="s">
        <v>1582</v>
      </c>
      <c r="B627" s="10" t="s">
        <v>220</v>
      </c>
      <c r="C627" s="10" t="s">
        <v>1583</v>
      </c>
      <c r="D627" s="10" t="s">
        <v>16</v>
      </c>
    </row>
    <row r="628" spans="1:4" ht="14" customHeight="1">
      <c r="A628" s="10" t="s">
        <v>1584</v>
      </c>
      <c r="B628" s="10" t="s">
        <v>23</v>
      </c>
      <c r="C628" s="10" t="s">
        <v>1585</v>
      </c>
      <c r="D628" s="10" t="s">
        <v>16</v>
      </c>
    </row>
    <row r="629" spans="1:4" ht="14" customHeight="1">
      <c r="A629" s="10" t="s">
        <v>1587</v>
      </c>
      <c r="B629" s="10" t="s">
        <v>266</v>
      </c>
      <c r="C629" s="10" t="s">
        <v>1588</v>
      </c>
      <c r="D629" s="10" t="s">
        <v>16</v>
      </c>
    </row>
    <row r="630" spans="1:4" ht="14" customHeight="1">
      <c r="A630" s="10" t="s">
        <v>1589</v>
      </c>
      <c r="B630" s="10" t="s">
        <v>74</v>
      </c>
      <c r="C630" s="10" t="s">
        <v>1590</v>
      </c>
      <c r="D630" s="10" t="s">
        <v>16</v>
      </c>
    </row>
    <row r="631" spans="1:4" ht="14" customHeight="1">
      <c r="A631" s="10" t="s">
        <v>1591</v>
      </c>
      <c r="B631" s="10" t="s">
        <v>74</v>
      </c>
      <c r="C631" s="10" t="s">
        <v>1592</v>
      </c>
      <c r="D631" s="10" t="s">
        <v>16</v>
      </c>
    </row>
    <row r="632" spans="1:4" ht="14" customHeight="1">
      <c r="A632" s="10" t="s">
        <v>1593</v>
      </c>
      <c r="B632" s="10" t="s">
        <v>74</v>
      </c>
      <c r="C632" s="10" t="s">
        <v>1594</v>
      </c>
      <c r="D632" s="10" t="s">
        <v>16</v>
      </c>
    </row>
    <row r="633" spans="1:4" ht="14" customHeight="1">
      <c r="A633" s="10" t="s">
        <v>1595</v>
      </c>
      <c r="B633" s="10" t="s">
        <v>78</v>
      </c>
      <c r="C633" s="10" t="s">
        <v>1596</v>
      </c>
      <c r="D633" s="10" t="s">
        <v>16</v>
      </c>
    </row>
    <row r="634" spans="1:4" ht="14" customHeight="1">
      <c r="A634" s="10" t="s">
        <v>1597</v>
      </c>
      <c r="B634" s="10" t="s">
        <v>83</v>
      </c>
      <c r="C634" s="10" t="s">
        <v>1598</v>
      </c>
      <c r="D634" s="10" t="s">
        <v>16</v>
      </c>
    </row>
    <row r="635" spans="1:4" ht="14" customHeight="1">
      <c r="A635" s="10" t="s">
        <v>1599</v>
      </c>
      <c r="B635" s="10" t="s">
        <v>83</v>
      </c>
      <c r="C635" s="10" t="s">
        <v>1600</v>
      </c>
      <c r="D635" s="10" t="s">
        <v>16</v>
      </c>
    </row>
    <row r="636" spans="1:4" ht="14" customHeight="1">
      <c r="A636" s="10" t="s">
        <v>1601</v>
      </c>
      <c r="B636" s="10" t="s">
        <v>83</v>
      </c>
      <c r="C636" s="10" t="s">
        <v>1603</v>
      </c>
      <c r="D636" s="10" t="s">
        <v>16</v>
      </c>
    </row>
    <row r="637" spans="1:4" ht="14" customHeight="1">
      <c r="A637" s="10" t="s">
        <v>1604</v>
      </c>
      <c r="B637" s="10" t="s">
        <v>83</v>
      </c>
      <c r="C637" s="10" t="s">
        <v>1605</v>
      </c>
      <c r="D637" s="10" t="s">
        <v>16</v>
      </c>
    </row>
    <row r="638" spans="1:4" ht="14" customHeight="1">
      <c r="A638" s="10" t="s">
        <v>1606</v>
      </c>
      <c r="B638" s="10" t="s">
        <v>83</v>
      </c>
      <c r="C638" s="10" t="s">
        <v>1607</v>
      </c>
      <c r="D638" s="10" t="s">
        <v>16</v>
      </c>
    </row>
    <row r="639" spans="1:4" ht="14" customHeight="1">
      <c r="A639" s="10" t="s">
        <v>1608</v>
      </c>
      <c r="B639" s="10" t="s">
        <v>83</v>
      </c>
      <c r="C639" s="10" t="s">
        <v>1609</v>
      </c>
      <c r="D639" s="10" t="s">
        <v>16</v>
      </c>
    </row>
    <row r="640" spans="1:4" ht="14" customHeight="1">
      <c r="A640" s="10" t="s">
        <v>1610</v>
      </c>
      <c r="B640" s="10" t="s">
        <v>89</v>
      </c>
      <c r="C640" s="10" t="s">
        <v>1611</v>
      </c>
      <c r="D640" s="10" t="s">
        <v>16</v>
      </c>
    </row>
    <row r="641" spans="1:4" ht="14" customHeight="1">
      <c r="A641" s="10" t="s">
        <v>1612</v>
      </c>
      <c r="B641" s="10" t="s">
        <v>320</v>
      </c>
      <c r="C641" s="10" t="s">
        <v>1613</v>
      </c>
      <c r="D641" s="10" t="s">
        <v>16</v>
      </c>
    </row>
    <row r="642" spans="1:4" ht="14" customHeight="1">
      <c r="A642" s="10" t="s">
        <v>1614</v>
      </c>
      <c r="B642" s="10" t="s">
        <v>345</v>
      </c>
      <c r="C642" s="10" t="s">
        <v>1615</v>
      </c>
      <c r="D642" s="10" t="s">
        <v>16</v>
      </c>
    </row>
    <row r="643" spans="1:4" ht="14" customHeight="1">
      <c r="A643" s="10" t="s">
        <v>1616</v>
      </c>
      <c r="B643" s="10" t="s">
        <v>345</v>
      </c>
      <c r="C643" s="10" t="s">
        <v>1617</v>
      </c>
      <c r="D643" s="10" t="s">
        <v>16</v>
      </c>
    </row>
    <row r="644" spans="1:4" ht="14" customHeight="1">
      <c r="A644" s="10" t="s">
        <v>1618</v>
      </c>
      <c r="B644" s="10" t="s">
        <v>345</v>
      </c>
      <c r="C644" s="10" t="s">
        <v>1619</v>
      </c>
      <c r="D644" s="10" t="s">
        <v>16</v>
      </c>
    </row>
    <row r="645" spans="1:4" ht="14" customHeight="1">
      <c r="A645" s="10" t="s">
        <v>1620</v>
      </c>
      <c r="B645" s="10" t="s">
        <v>345</v>
      </c>
      <c r="C645" s="10" t="s">
        <v>1621</v>
      </c>
      <c r="D645" s="10" t="s">
        <v>16</v>
      </c>
    </row>
    <row r="646" spans="1:4" ht="14" customHeight="1">
      <c r="A646" s="10" t="s">
        <v>1622</v>
      </c>
      <c r="B646" s="10" t="s">
        <v>345</v>
      </c>
      <c r="C646" s="10" t="s">
        <v>1623</v>
      </c>
      <c r="D646" s="10" t="s">
        <v>16</v>
      </c>
    </row>
    <row r="647" spans="1:4" ht="14" customHeight="1">
      <c r="A647" s="10" t="s">
        <v>1624</v>
      </c>
      <c r="B647" s="10" t="s">
        <v>331</v>
      </c>
      <c r="C647" s="10" t="s">
        <v>1625</v>
      </c>
      <c r="D647" s="10" t="s">
        <v>16</v>
      </c>
    </row>
    <row r="648" spans="1:4" ht="14" customHeight="1">
      <c r="A648" s="10" t="s">
        <v>1626</v>
      </c>
      <c r="B648" s="10" t="s">
        <v>331</v>
      </c>
      <c r="C648" s="10" t="s">
        <v>1627</v>
      </c>
      <c r="D648" s="10" t="s">
        <v>16</v>
      </c>
    </row>
    <row r="649" spans="1:4" ht="14" customHeight="1">
      <c r="A649" s="10" t="s">
        <v>1628</v>
      </c>
      <c r="B649" s="10" t="s">
        <v>1402</v>
      </c>
      <c r="C649" s="10" t="s">
        <v>1629</v>
      </c>
      <c r="D649" s="10" t="s">
        <v>16</v>
      </c>
    </row>
    <row r="650" spans="1:4" ht="14" customHeight="1">
      <c r="A650" s="10" t="s">
        <v>1630</v>
      </c>
      <c r="B650" s="10" t="s">
        <v>1402</v>
      </c>
      <c r="C650" s="10" t="s">
        <v>1631</v>
      </c>
      <c r="D650" s="10" t="s">
        <v>16</v>
      </c>
    </row>
    <row r="651" spans="1:4" ht="14" customHeight="1">
      <c r="A651" s="10" t="s">
        <v>1632</v>
      </c>
      <c r="B651" s="10" t="s">
        <v>1402</v>
      </c>
      <c r="C651" s="10" t="s">
        <v>1633</v>
      </c>
      <c r="D651" s="10" t="s">
        <v>16</v>
      </c>
    </row>
    <row r="652" spans="1:4" ht="14" customHeight="1">
      <c r="A652" s="10" t="s">
        <v>1634</v>
      </c>
      <c r="B652" s="10" t="s">
        <v>1402</v>
      </c>
      <c r="C652" s="10" t="s">
        <v>1635</v>
      </c>
      <c r="D652" s="10" t="s">
        <v>16</v>
      </c>
    </row>
    <row r="653" spans="1:4" ht="14" customHeight="1">
      <c r="A653" s="10" t="s">
        <v>1636</v>
      </c>
      <c r="B653" s="10" t="s">
        <v>1402</v>
      </c>
      <c r="C653" s="10" t="s">
        <v>1637</v>
      </c>
      <c r="D653" s="10" t="s">
        <v>16</v>
      </c>
    </row>
    <row r="654" spans="1:4" ht="14" customHeight="1">
      <c r="A654" s="10" t="s">
        <v>1638</v>
      </c>
      <c r="B654" s="10" t="s">
        <v>865</v>
      </c>
      <c r="C654" s="10" t="s">
        <v>1639</v>
      </c>
      <c r="D654" s="10" t="s">
        <v>16</v>
      </c>
    </row>
    <row r="655" spans="1:4" ht="14" customHeight="1">
      <c r="A655" s="10" t="s">
        <v>1640</v>
      </c>
      <c r="B655" s="10" t="s">
        <v>865</v>
      </c>
      <c r="C655" s="10" t="s">
        <v>1641</v>
      </c>
      <c r="D655" s="10" t="s">
        <v>16</v>
      </c>
    </row>
    <row r="656" spans="1:4" ht="14" customHeight="1">
      <c r="A656" s="10" t="s">
        <v>1642</v>
      </c>
      <c r="B656" s="10" t="s">
        <v>865</v>
      </c>
      <c r="C656" s="10" t="s">
        <v>1643</v>
      </c>
      <c r="D656" s="10" t="s">
        <v>16</v>
      </c>
    </row>
    <row r="657" spans="1:4" ht="14" customHeight="1">
      <c r="A657" s="10" t="s">
        <v>1644</v>
      </c>
      <c r="B657" s="10" t="s">
        <v>865</v>
      </c>
      <c r="C657" s="10" t="e">
        <v>#VALUE!</v>
      </c>
      <c r="D657" s="10" t="s">
        <v>16</v>
      </c>
    </row>
    <row r="658" spans="1:4" ht="14" customHeight="1">
      <c r="A658" s="10" t="s">
        <v>1645</v>
      </c>
      <c r="B658" s="10" t="s">
        <v>865</v>
      </c>
      <c r="C658" s="10" t="s">
        <v>1646</v>
      </c>
      <c r="D658" s="10" t="s">
        <v>16</v>
      </c>
    </row>
    <row r="659" spans="1:4" ht="14" customHeight="1">
      <c r="A659" s="10" t="s">
        <v>1647</v>
      </c>
      <c r="B659" s="10" t="s">
        <v>350</v>
      </c>
      <c r="C659" s="10" t="s">
        <v>1648</v>
      </c>
      <c r="D659" s="10" t="s">
        <v>16</v>
      </c>
    </row>
    <row r="660" spans="1:4" ht="14" customHeight="1">
      <c r="A660" s="10" t="s">
        <v>1649</v>
      </c>
      <c r="B660" s="10" t="s">
        <v>1650</v>
      </c>
      <c r="C660" s="10" t="s">
        <v>1651</v>
      </c>
      <c r="D660" s="10" t="s">
        <v>16</v>
      </c>
    </row>
    <row r="661" spans="1:4" ht="14" customHeight="1">
      <c r="A661" s="10" t="s">
        <v>1652</v>
      </c>
    </row>
    <row r="662" spans="1:4" ht="14" customHeight="1">
      <c r="A662" s="10" t="s">
        <v>1653</v>
      </c>
    </row>
    <row r="663" spans="1:4" ht="14" customHeight="1">
      <c r="A663" s="10" t="s">
        <v>1654</v>
      </c>
    </row>
    <row r="664" spans="1:4" ht="14" customHeight="1">
      <c r="A664" s="10" t="s">
        <v>1126</v>
      </c>
    </row>
  </sheetData>
  <mergeCells count="1">
    <mergeCell ref="D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 (2)</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Gonçalo Paiva</dc:creator>
  <cp:lastModifiedBy>Gonçalo Paiva</cp:lastModifiedBy>
  <dcterms:created xsi:type="dcterms:W3CDTF">2019-03-26T15:06:36Z</dcterms:created>
  <dcterms:modified xsi:type="dcterms:W3CDTF">2020-03-19T15:23:06Z</dcterms:modified>
</cp:coreProperties>
</file>