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total" sheetId="1" r:id="rId4"/>
    <sheet state="visible" name="Covariables_CSV" sheetId="2" r:id="rId5"/>
    <sheet state="visible" name="Bambú" sheetId="3" r:id="rId6"/>
    <sheet state="visible" name="arboles" sheetId="4" r:id="rId7"/>
    <sheet state="visible" name="Indice_Biodiversidad_(IB)" sheetId="5" r:id="rId8"/>
    <sheet state="visible" name="IB_Formato CSV" sheetId="6" r:id="rId9"/>
    <sheet state="visible" name="DAP" sheetId="7" r:id="rId10"/>
    <sheet state="visible" name="Sheet10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1">
      <text>
        <t xml:space="preserve">DECAY CLASS: 
1
2 (2a. 2b 2c)
3 (3 y 4)
4 (5 y 6)
	-Fernanda Barz</t>
      </text>
    </comment>
    <comment authorId="0" ref="Z1">
      <text>
        <t xml:space="preserve">Numero de cavidades presentes en arboles medidos con DAP superior  a 12.5
	-Fernanda Barz</t>
      </text>
    </comment>
    <comment authorId="0" ref="O1">
      <text>
        <t xml:space="preserve">zarzamora o rosa mosqueta
	-Fernanda Barz</t>
      </text>
    </comment>
    <comment authorId="0" ref="I1">
      <text>
        <t xml:space="preserve">promedio de los toques de 0-1 de los 5 puntos
	-Fernanda Barz</t>
      </text>
    </comment>
    <comment authorId="0" ref="N1">
      <text>
        <t xml:space="preserve">Hay presencia de bambu en la parcela
0: no
1: si
	-Fernanda Barz</t>
      </text>
    </comment>
    <comment authorId="0" ref="H1">
      <text>
        <t xml:space="preserve">Código Pendiente
0: 0-10% Plano.
1: 11-35% Ondulado.
2: 36-70% Serrano.
3: 70-100% Montano.
4: &gt;100% Pendiente extrema.
	-Fernanda Barz</t>
      </text>
    </comment>
    <comment authorId="0" ref="A1">
      <text>
        <t xml:space="preserve">suma total presentes en parcela por casa
	-Fernanda Barz
----
suma total presentes en parcela de casa
	-Fernanda Barz</t>
      </text>
    </comment>
    <comment authorId="0" ref="R1">
      <text>
        <t xml:space="preserve">criterio experto, inspeccion visual
	-Fernanda Barz</t>
      </text>
    </comment>
    <comment authorId="0" ref="X1">
      <text>
        <t xml:space="preserve">Diversidad de especies: 15 especies arbóreas más cercanas alrededor de la casa, independiente de su DAP
	-Fernanda Barz</t>
      </text>
    </comment>
    <comment authorId="0" ref="V1">
      <text>
        <t xml:space="preserve">Arboles con DAP superior a 12.5. Dentro de un buffer de 5.6 metros de radio con la casas en el centro. Se considera ese DAP minimo para ser un arbol contenedor de cavidades
	-Fernanda Barz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Cavidad Natural: originada por caida de ramas de arboles. 
Cavidad Excavada: Creada por aves como el carpintero
	-Fernanda Barz</t>
      </text>
    </comment>
    <comment authorId="0" ref="F1">
      <text>
        <t xml:space="preserve">Trepadoras y/o epifitas leñosas
	-Fernanda Barz</t>
      </text>
    </comment>
    <comment authorId="0" ref="E1">
      <text>
        <t xml:space="preserve">1, 2a(2.1), 2b(2.2), 2c(2.3), 3, 4 y 5
	-Fernanda Barz
Decay class
1
2 (2a. 2b 2c)
3 (3 y 4)
4 (5 y 6)
	-Fernanda Barz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0">
      <text>
        <t xml:space="preserve">hartos
	-Fernanda Barz</t>
      </text>
    </comment>
    <comment authorId="0" ref="C93">
      <text>
        <t xml:space="preserve">mucho
	-Fernanda Barz</t>
      </text>
    </comment>
    <comment authorId="0" ref="C21">
      <text>
        <t xml:space="preserve">mucho
	-Fernanda Barz</t>
      </text>
    </comment>
  </commentList>
</comments>
</file>

<file path=xl/sharedStrings.xml><?xml version="1.0" encoding="utf-8"?>
<sst xmlns="http://schemas.openxmlformats.org/spreadsheetml/2006/main" count="8996" uniqueCount="400">
  <si>
    <t>N°</t>
  </si>
  <si>
    <t>Lugar</t>
  </si>
  <si>
    <t>Sitio</t>
  </si>
  <si>
    <t>Casa</t>
  </si>
  <si>
    <t>Coordenada X</t>
  </si>
  <si>
    <t>Coordenada Y</t>
  </si>
  <si>
    <t>Altitud</t>
  </si>
  <si>
    <t>Pendiente</t>
  </si>
  <si>
    <t>cnts 0UKN1</t>
  </si>
  <si>
    <t>cnts 1UKN2</t>
  </si>
  <si>
    <t>cnts 2UKN3</t>
  </si>
  <si>
    <t>Prom_sotob</t>
  </si>
  <si>
    <t>Toques bambu</t>
  </si>
  <si>
    <t>Presencia bambu</t>
  </si>
  <si>
    <t>Toques mur/mos</t>
  </si>
  <si>
    <t>Presencia mur</t>
  </si>
  <si>
    <t>N_cavidades_DL</t>
  </si>
  <si>
    <t>Cob_dosel_Superior</t>
  </si>
  <si>
    <t>Cob_dosel_Python</t>
  </si>
  <si>
    <t>Cob_Suelo</t>
  </si>
  <si>
    <t>Abundacia_spp</t>
  </si>
  <si>
    <t>Tree_spp_grandes</t>
  </si>
  <si>
    <t>Tree_spp_chicas</t>
  </si>
  <si>
    <t>Tree_Riqueza</t>
  </si>
  <si>
    <t>Dap</t>
  </si>
  <si>
    <t>Prom_Trepadoras</t>
  </si>
  <si>
    <t>Descomposición</t>
  </si>
  <si>
    <t>Sum_Trepadoras</t>
  </si>
  <si>
    <t xml:space="preserve">KAW </t>
  </si>
  <si>
    <t>UKN71.875548</t>
  </si>
  <si>
    <t>UKN39.319731</t>
  </si>
  <si>
    <t>UKN71.87568</t>
  </si>
  <si>
    <t>UKN39.319538</t>
  </si>
  <si>
    <t>UKN71.875717</t>
  </si>
  <si>
    <t>UKN39.31933</t>
  </si>
  <si>
    <t>UKN71.87587</t>
  </si>
  <si>
    <t>UKN39.319092</t>
  </si>
  <si>
    <t>UKN71.875155</t>
  </si>
  <si>
    <t>UKN39.319767</t>
  </si>
  <si>
    <t>UKN71.875275</t>
  </si>
  <si>
    <t>UKN39.319575</t>
  </si>
  <si>
    <t>UKN71.875442</t>
  </si>
  <si>
    <t>UKN39.319409</t>
  </si>
  <si>
    <t>UKN71.875263</t>
  </si>
  <si>
    <t>UKN39.319389</t>
  </si>
  <si>
    <t>UKN71.874637</t>
  </si>
  <si>
    <t>UKN39.319573</t>
  </si>
  <si>
    <t>UKN71.874825</t>
  </si>
  <si>
    <t>UKN39.319352</t>
  </si>
  <si>
    <t>UKN71.875189</t>
  </si>
  <si>
    <t>UKN39.318893</t>
  </si>
  <si>
    <t>UKN71.875481</t>
  </si>
  <si>
    <t>UKN39.318651</t>
  </si>
  <si>
    <t>UKN71.874348</t>
  </si>
  <si>
    <t>UKN39.319598</t>
  </si>
  <si>
    <t>UKN71.87422</t>
  </si>
  <si>
    <t>UKN39.319304</t>
  </si>
  <si>
    <t>UKN71.874095</t>
  </si>
  <si>
    <t>UKN39.319073</t>
  </si>
  <si>
    <t>UKN71.874087</t>
  </si>
  <si>
    <t>UKN71.874124</t>
  </si>
  <si>
    <t>UKN39.318649</t>
  </si>
  <si>
    <t>UKN71.873952</t>
  </si>
  <si>
    <t>UKN39.319545</t>
  </si>
  <si>
    <t>UKN71.873839</t>
  </si>
  <si>
    <t>UKN39.31907</t>
  </si>
  <si>
    <t>UKN71.873576</t>
  </si>
  <si>
    <t>UKN39.318879</t>
  </si>
  <si>
    <t>UKN71.873142</t>
  </si>
  <si>
    <t>UKN39.318736</t>
  </si>
  <si>
    <t>UKN71.873261</t>
  </si>
  <si>
    <t>UKN39.31967</t>
  </si>
  <si>
    <t>UKN71.873017</t>
  </si>
  <si>
    <t>UKN39.318811</t>
  </si>
  <si>
    <t>UKN71.873151</t>
  </si>
  <si>
    <t>UKN39.319817</t>
  </si>
  <si>
    <t>UKN71.872663</t>
  </si>
  <si>
    <t>UKN39.319523</t>
  </si>
  <si>
    <t>UKN71.872158</t>
  </si>
  <si>
    <t>UKN39.319085</t>
  </si>
  <si>
    <t xml:space="preserve">PIC </t>
  </si>
  <si>
    <t>UKN71.769201</t>
  </si>
  <si>
    <t>UKN39.257835</t>
  </si>
  <si>
    <t>UKN71.768839</t>
  </si>
  <si>
    <t>UKN39.257763</t>
  </si>
  <si>
    <t>UKN71.768733</t>
  </si>
  <si>
    <t>UKN39.257423</t>
  </si>
  <si>
    <t>UKN71.768677</t>
  </si>
  <si>
    <t>UKN39.257199</t>
  </si>
  <si>
    <t>UKN71.768652</t>
  </si>
  <si>
    <t>UKN39.256848</t>
  </si>
  <si>
    <t>UKN71.768857</t>
  </si>
  <si>
    <t>UKN39.257924</t>
  </si>
  <si>
    <t>UKN71.768511</t>
  </si>
  <si>
    <t>UKN39.25768</t>
  </si>
  <si>
    <t>UKN71.76839</t>
  </si>
  <si>
    <t>UKN39.257539</t>
  </si>
  <si>
    <t>UKN71.76805</t>
  </si>
  <si>
    <t>UKN39.25716</t>
  </si>
  <si>
    <t>UKN71.76812</t>
  </si>
  <si>
    <t>UKN39.256879</t>
  </si>
  <si>
    <t>UKN71.768569</t>
  </si>
  <si>
    <t>UKN39.257967</t>
  </si>
  <si>
    <t>UKN71.767329</t>
  </si>
  <si>
    <t>UKN39.257393</t>
  </si>
  <si>
    <t>UKN71.76858</t>
  </si>
  <si>
    <t>UKN39.258255</t>
  </si>
  <si>
    <t>UKN71.768229</t>
  </si>
  <si>
    <t>UKN39.257885</t>
  </si>
  <si>
    <t>UKN71.767937</t>
  </si>
  <si>
    <t>UKN39.25782</t>
  </si>
  <si>
    <t>UKN71.767735</t>
  </si>
  <si>
    <t>UKN39.257699</t>
  </si>
  <si>
    <t>UKN71.76766</t>
  </si>
  <si>
    <t>UKN39.257556</t>
  </si>
  <si>
    <t>UKN71.768411</t>
  </si>
  <si>
    <t>UKN39.258367</t>
  </si>
  <si>
    <t>UKN71.768119</t>
  </si>
  <si>
    <t>UKN39.258311</t>
  </si>
  <si>
    <t>UKN71.767882</t>
  </si>
  <si>
    <t>UKN71.767593</t>
  </si>
  <si>
    <t>UKN39.257621</t>
  </si>
  <si>
    <t>UKN71.767206</t>
  </si>
  <si>
    <t>UKN39.257207</t>
  </si>
  <si>
    <t>UKN71.767047</t>
  </si>
  <si>
    <t>UKN39.256994</t>
  </si>
  <si>
    <t>UKN71.766748</t>
  </si>
  <si>
    <t>UKN39.256767</t>
  </si>
  <si>
    <t>UKN71.766394</t>
  </si>
  <si>
    <t>UKN39.256289</t>
  </si>
  <si>
    <t>UKN71.766161</t>
  </si>
  <si>
    <t>UKN39.256277</t>
  </si>
  <si>
    <t>UKN71.765743</t>
  </si>
  <si>
    <t>UKN39.255953</t>
  </si>
  <si>
    <t>UKN71.765376</t>
  </si>
  <si>
    <t>UKN39.255764</t>
  </si>
  <si>
    <t>UKN71.766295</t>
  </si>
  <si>
    <t>UKN39.255832</t>
  </si>
  <si>
    <t>UKN71.766638</t>
  </si>
  <si>
    <t>UKN39.256031</t>
  </si>
  <si>
    <t xml:space="preserve">LLA </t>
  </si>
  <si>
    <t>UKN71.532851</t>
  </si>
  <si>
    <t>UKN39.204973</t>
  </si>
  <si>
    <t>UKN71.532833</t>
  </si>
  <si>
    <t>UKN39.204903</t>
  </si>
  <si>
    <t>UKN71.53335</t>
  </si>
  <si>
    <t>UKN39.205117</t>
  </si>
  <si>
    <t>UKN71.533529</t>
  </si>
  <si>
    <t>UKN39.205239</t>
  </si>
  <si>
    <t>UKN71.533145</t>
  </si>
  <si>
    <t>UKN39.205211</t>
  </si>
  <si>
    <t>UKN71.532947</t>
  </si>
  <si>
    <t>UKN39.20518</t>
  </si>
  <si>
    <t>UKN71.533031</t>
  </si>
  <si>
    <t>UKN39.205574</t>
  </si>
  <si>
    <t>UKN71.53276</t>
  </si>
  <si>
    <t>UKN39.205445</t>
  </si>
  <si>
    <t>UKN71.532171</t>
  </si>
  <si>
    <t>UKN39.204845</t>
  </si>
  <si>
    <t>UKN71.532806</t>
  </si>
  <si>
    <t>UKN39.20575</t>
  </si>
  <si>
    <t>UKN71.532595</t>
  </si>
  <si>
    <t>UKN39.205674</t>
  </si>
  <si>
    <t>UKN71.532436</t>
  </si>
  <si>
    <t>UKN39.205434</t>
  </si>
  <si>
    <t>UKN71.532627</t>
  </si>
  <si>
    <t>UKN39.205934</t>
  </si>
  <si>
    <t>UKN71.532538</t>
  </si>
  <si>
    <t>UKN39.20572</t>
  </si>
  <si>
    <t>UKN71.532302</t>
  </si>
  <si>
    <t>UKN39.205896</t>
  </si>
  <si>
    <t>UKN71.532856</t>
  </si>
  <si>
    <t>UKN39.20456</t>
  </si>
  <si>
    <t>UKN71.532629</t>
  </si>
  <si>
    <t>UKN39.204385</t>
  </si>
  <si>
    <t>UKN71.532439</t>
  </si>
  <si>
    <t>UKN39.204236</t>
  </si>
  <si>
    <t>UKN71.532305</t>
  </si>
  <si>
    <t>UKN39.204058</t>
  </si>
  <si>
    <t>UKN71.532181</t>
  </si>
  <si>
    <t>UKN39.203827</t>
  </si>
  <si>
    <t>UKN71.531853</t>
  </si>
  <si>
    <t>UKN39.203726</t>
  </si>
  <si>
    <t>UKN71.531811</t>
  </si>
  <si>
    <t>UKN39.203511</t>
  </si>
  <si>
    <t>UKN71.533054</t>
  </si>
  <si>
    <t>UKN39.204276</t>
  </si>
  <si>
    <t>UKN71.532652</t>
  </si>
  <si>
    <t>UKN39.203393</t>
  </si>
  <si>
    <t>UKN71.532744</t>
  </si>
  <si>
    <t>UKN39.203076</t>
  </si>
  <si>
    <t>UKN71.532635</t>
  </si>
  <si>
    <t>UKN39.202943</t>
  </si>
  <si>
    <t>UKN71.532365</t>
  </si>
  <si>
    <t>UKN39.202841</t>
  </si>
  <si>
    <t>UKN71.533884</t>
  </si>
  <si>
    <t>UKN39.204826</t>
  </si>
  <si>
    <t>UKN71.533963</t>
  </si>
  <si>
    <t>UKN39.205094</t>
  </si>
  <si>
    <t>UKN71.532199</t>
  </si>
  <si>
    <t>UKN39.205619</t>
  </si>
  <si>
    <t>PROM_BAMBU</t>
  </si>
  <si>
    <t>Riqueza_ARB</t>
  </si>
  <si>
    <t>DAP</t>
  </si>
  <si>
    <t>Cavidades</t>
  </si>
  <si>
    <t>SUM_TOQUE_BAMBU</t>
  </si>
  <si>
    <t>PRESENCIA_SITIO</t>
  </si>
  <si>
    <t>Casas</t>
  </si>
  <si>
    <t>Cuadrante</t>
  </si>
  <si>
    <t>spp</t>
  </si>
  <si>
    <t xml:space="preserve"> Clase Descomposicion</t>
  </si>
  <si>
    <t>Presencia trep/epif</t>
  </si>
  <si>
    <t>N° Cavidad</t>
  </si>
  <si>
    <t>Cavidad N/E</t>
  </si>
  <si>
    <t>Diametro</t>
  </si>
  <si>
    <t>Largo cm</t>
  </si>
  <si>
    <t>N° cavidades</t>
  </si>
  <si>
    <t>Casa 15</t>
  </si>
  <si>
    <t>NE</t>
  </si>
  <si>
    <t>Laurel</t>
  </si>
  <si>
    <t>Lingue</t>
  </si>
  <si>
    <t>NW</t>
  </si>
  <si>
    <t>Roble</t>
  </si>
  <si>
    <t>2N</t>
  </si>
  <si>
    <t>Tepa</t>
  </si>
  <si>
    <t>SW</t>
  </si>
  <si>
    <t>SE</t>
  </si>
  <si>
    <t>Piñol</t>
  </si>
  <si>
    <t>Casa 14</t>
  </si>
  <si>
    <t>Tocon</t>
  </si>
  <si>
    <t>Casa 5</t>
  </si>
  <si>
    <t>Arrayan</t>
  </si>
  <si>
    <t>Casa 4</t>
  </si>
  <si>
    <t>Coigue</t>
  </si>
  <si>
    <t>1N</t>
  </si>
  <si>
    <t>Canelo</t>
  </si>
  <si>
    <t>Olivillo</t>
  </si>
  <si>
    <t>Casa 8</t>
  </si>
  <si>
    <t>Casa 10</t>
  </si>
  <si>
    <t>Peumo</t>
  </si>
  <si>
    <t>Casa 3</t>
  </si>
  <si>
    <t>Trevo</t>
  </si>
  <si>
    <t>NO</t>
  </si>
  <si>
    <t>Casa 7</t>
  </si>
  <si>
    <t>Radal</t>
  </si>
  <si>
    <t>Casa 6</t>
  </si>
  <si>
    <t>Temu</t>
  </si>
  <si>
    <t>Casa 2</t>
  </si>
  <si>
    <t>Casa 12</t>
  </si>
  <si>
    <t>Casa 11</t>
  </si>
  <si>
    <t>3E</t>
  </si>
  <si>
    <t>Avellano</t>
  </si>
  <si>
    <t>3(2N Y 1E)</t>
  </si>
  <si>
    <t>Casa 18</t>
  </si>
  <si>
    <t>6E</t>
  </si>
  <si>
    <t>Casa 19</t>
  </si>
  <si>
    <t>tocon n</t>
  </si>
  <si>
    <t>5N</t>
  </si>
  <si>
    <t>Casa 16</t>
  </si>
  <si>
    <t>Casa 17</t>
  </si>
  <si>
    <t>NNE</t>
  </si>
  <si>
    <t>tocon cortado</t>
  </si>
  <si>
    <t>3N</t>
  </si>
  <si>
    <t>2 (1N Y 1E)</t>
  </si>
  <si>
    <t>Casa 20</t>
  </si>
  <si>
    <t>Casa 24</t>
  </si>
  <si>
    <t>Casa 23</t>
  </si>
  <si>
    <t>Casa 21</t>
  </si>
  <si>
    <t>Casa 31</t>
  </si>
  <si>
    <t>2n</t>
  </si>
  <si>
    <t>1n</t>
  </si>
  <si>
    <t>Casa 38</t>
  </si>
  <si>
    <t>Maiten</t>
  </si>
  <si>
    <t>Maqui</t>
  </si>
  <si>
    <t>Casa 34</t>
  </si>
  <si>
    <t>Casa 40</t>
  </si>
  <si>
    <t>Casa 30</t>
  </si>
  <si>
    <t>tocon art</t>
  </si>
  <si>
    <t>Casa 36</t>
  </si>
  <si>
    <t>Casa 85</t>
  </si>
  <si>
    <t>Casa 84</t>
  </si>
  <si>
    <t>Casa 83</t>
  </si>
  <si>
    <t>Casa 155</t>
  </si>
  <si>
    <t>Casa 156</t>
  </si>
  <si>
    <t>Casa 125</t>
  </si>
  <si>
    <t>Casa 128</t>
  </si>
  <si>
    <t>quemado</t>
  </si>
  <si>
    <t>Casa 133</t>
  </si>
  <si>
    <t>Casa 136</t>
  </si>
  <si>
    <t>Casa 134</t>
  </si>
  <si>
    <t>2e</t>
  </si>
  <si>
    <t>Casa 137</t>
  </si>
  <si>
    <t>Casa 124</t>
  </si>
  <si>
    <t>Casa 138</t>
  </si>
  <si>
    <t>Casa 132</t>
  </si>
  <si>
    <t>Casa 159</t>
  </si>
  <si>
    <t>Casa 135</t>
  </si>
  <si>
    <t>Casa 129</t>
  </si>
  <si>
    <t>Casa 123</t>
  </si>
  <si>
    <t>casa 121</t>
  </si>
  <si>
    <t>Casa 127</t>
  </si>
  <si>
    <t>5n</t>
  </si>
  <si>
    <t>Mañio</t>
  </si>
  <si>
    <t>Casa 122</t>
  </si>
  <si>
    <t>casa 140</t>
  </si>
  <si>
    <t>Casa 141</t>
  </si>
  <si>
    <t>Casa 142</t>
  </si>
  <si>
    <t>tocon</t>
  </si>
  <si>
    <t>Casa 144</t>
  </si>
  <si>
    <t>Casa 143</t>
  </si>
  <si>
    <t>Casa 145</t>
  </si>
  <si>
    <t>Casa 146</t>
  </si>
  <si>
    <t>2 n</t>
  </si>
  <si>
    <t>Casa 147</t>
  </si>
  <si>
    <t>Casa 151</t>
  </si>
  <si>
    <t>Casa 152</t>
  </si>
  <si>
    <t>2 tocon Mañio</t>
  </si>
  <si>
    <t>LAUREL</t>
  </si>
  <si>
    <t>Casa 154</t>
  </si>
  <si>
    <t>1e</t>
  </si>
  <si>
    <t>Casa 153</t>
  </si>
  <si>
    <t>PODRIDO</t>
  </si>
  <si>
    <t xml:space="preserve"> NE</t>
  </si>
  <si>
    <t>Casa 92</t>
  </si>
  <si>
    <t>Casa 82</t>
  </si>
  <si>
    <t>Casa 81</t>
  </si>
  <si>
    <t>Casa 87</t>
  </si>
  <si>
    <t>Casa 99</t>
  </si>
  <si>
    <t>Casa 105</t>
  </si>
  <si>
    <t>Casa 91</t>
  </si>
  <si>
    <t>TOCON</t>
  </si>
  <si>
    <t>Casa 89</t>
  </si>
  <si>
    <t>Casa 88</t>
  </si>
  <si>
    <t>Casa 94</t>
  </si>
  <si>
    <t>Casa 101</t>
  </si>
  <si>
    <t>Casa 108</t>
  </si>
  <si>
    <t>Casa 102</t>
  </si>
  <si>
    <t>Casa 120</t>
  </si>
  <si>
    <t>Casa 119</t>
  </si>
  <si>
    <t>Casa 106</t>
  </si>
  <si>
    <t>Casa 118</t>
  </si>
  <si>
    <t>Casa 117</t>
  </si>
  <si>
    <t>2 (1e y 1n)</t>
  </si>
  <si>
    <t>3n</t>
  </si>
  <si>
    <t>Casa 115</t>
  </si>
  <si>
    <t>Casa 114</t>
  </si>
  <si>
    <t>Casa 112</t>
  </si>
  <si>
    <t>Casa 111</t>
  </si>
  <si>
    <t>Casa 103</t>
  </si>
  <si>
    <t>Casa 109</t>
  </si>
  <si>
    <t>Casa 104</t>
  </si>
  <si>
    <t>5 e</t>
  </si>
  <si>
    <t>5e</t>
  </si>
  <si>
    <t>casa 98</t>
  </si>
  <si>
    <t>3 (2n y 1e)</t>
  </si>
  <si>
    <t>Casa 110</t>
  </si>
  <si>
    <t>quemados</t>
  </si>
  <si>
    <t>N_comun</t>
  </si>
  <si>
    <t>N_cientifico</t>
  </si>
  <si>
    <t>N_indv</t>
  </si>
  <si>
    <t>Abun_Relativa</t>
  </si>
  <si>
    <t>KW</t>
  </si>
  <si>
    <t>Laurelia sempervirens</t>
  </si>
  <si>
    <t>Aextoxicon punctatum</t>
  </si>
  <si>
    <t>Luma apiculata</t>
  </si>
  <si>
    <t>Persea Lingue</t>
  </si>
  <si>
    <t>Nothofagus oblicua</t>
  </si>
  <si>
    <t>L. philippiana</t>
  </si>
  <si>
    <t>Lomatia dentata</t>
  </si>
  <si>
    <t>Peumus boldus</t>
  </si>
  <si>
    <t>Rhaphithamnus spinosus</t>
  </si>
  <si>
    <t>Gevuina avellana</t>
  </si>
  <si>
    <t>Drimys winteri</t>
  </si>
  <si>
    <t>Nothofagus dombeyi</t>
  </si>
  <si>
    <t>Cryptocaria alba</t>
  </si>
  <si>
    <t>Dasyphyllum diacanthoides</t>
  </si>
  <si>
    <t>Boldo</t>
  </si>
  <si>
    <t>Lomatia hirsuta</t>
  </si>
  <si>
    <t>Blepharocalyx cruckshanksii</t>
  </si>
  <si>
    <t>Arrayan_macho</t>
  </si>
  <si>
    <t>Aristotelia chilensis</t>
  </si>
  <si>
    <t>Maytenus boaria</t>
  </si>
  <si>
    <t>Saxegothaea conspicua</t>
  </si>
  <si>
    <t>Acer pseudoplatanus</t>
  </si>
  <si>
    <t>Pitavia punctata</t>
  </si>
  <si>
    <t>Ind_total</t>
  </si>
  <si>
    <t>PIC</t>
  </si>
  <si>
    <t>LLA</t>
  </si>
  <si>
    <t>Acer</t>
  </si>
  <si>
    <t>Pitao</t>
  </si>
  <si>
    <t xml:space="preserve">Sitio </t>
  </si>
  <si>
    <t>Tipo de habitat</t>
  </si>
  <si>
    <t>Densidad de sotobosque   (# contactos)</t>
  </si>
  <si>
    <t>Densidad de sotobosque de bambu (# contactos)</t>
  </si>
  <si>
    <t>Kawelluco</t>
  </si>
  <si>
    <t>Bosque secundario con sotobosque de otras especies</t>
  </si>
  <si>
    <t>Kodkod</t>
  </si>
  <si>
    <t>Bosque secundario con sotobosque de bambu, zarzamora y otras especies</t>
  </si>
  <si>
    <t>Llancalil</t>
  </si>
  <si>
    <t>Bosque antiguo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</si>
</sst>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1">
    <font>
      <sz val="10.0"/>
      <color rgb="FF000000"/>
      <name val="Arial"/>
      <scheme val="minor"/>
    </font>
    <font>
      <b/>
      <sz val="11.0"/>
      <color theme="1"/>
      <name val="Times New Roman"/>
    </font>
    <font>
      <color theme="1"/>
      <name val="Arial"/>
      <scheme val="minor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Arial"/>
      <scheme val="minor"/>
    </font>
    <font>
      <color theme="1"/>
      <name val="Times New Roman"/>
    </font>
    <font>
      <sz val="10.0"/>
      <color theme="1"/>
      <name val="Arial"/>
      <scheme val="minor"/>
    </font>
    <font>
      <b/>
      <color theme="1"/>
      <name val="Times New Roman"/>
    </font>
    <font>
      <i/>
      <color theme="1"/>
      <name val="Times New Roman"/>
    </font>
    <font>
      <sz val="9.0"/>
      <color rgb="FF000000"/>
      <name val="&quot;Google Sans Mono&quot;"/>
    </font>
    <font>
      <sz val="9.0"/>
      <color rgb="FF1F1F1F"/>
      <name val="Times New Roman"/>
    </font>
    <font>
      <b/>
      <sz val="10.0"/>
      <color theme="1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i/>
      <sz val="10.0"/>
      <color theme="1"/>
      <name val="Times New Roman"/>
    </font>
    <font>
      <i/>
      <sz val="10.0"/>
      <color rgb="FF000000"/>
      <name val="Times New Roman"/>
    </font>
    <font>
      <color theme="1"/>
      <name val="Arial"/>
    </font>
    <font>
      <sz val="10.0"/>
      <color rgb="FF1F1F1F"/>
      <name val="Times New Roman"/>
    </font>
    <font>
      <color rgb="FF000000"/>
      <name val="Calibri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8"/>
        <bgColor rgb="FFFFFFF8"/>
      </patternFill>
    </fill>
    <fill>
      <patternFill patternType="solid">
        <fgColor rgb="FFF3F5F6"/>
        <bgColor rgb="FFF3F5F6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3" numFmtId="0" xfId="0" applyBorder="1" applyFont="1"/>
    <xf borderId="6" fillId="0" fontId="3" numFmtId="0" xfId="0" applyAlignment="1" applyBorder="1" applyFont="1">
      <alignment readingOrder="0"/>
    </xf>
    <xf borderId="7" fillId="4" fontId="3" numFmtId="0" xfId="0" applyAlignment="1" applyBorder="1" applyFill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Font="1"/>
    <xf borderId="0" fillId="0" fontId="2" numFmtId="0" xfId="0" applyFont="1"/>
    <xf borderId="1" fillId="0" fontId="4" numFmtId="0" xfId="0" applyBorder="1" applyFont="1"/>
    <xf borderId="0" fillId="0" fontId="4" numFmtId="0" xfId="0" applyFont="1"/>
    <xf borderId="1" fillId="0" fontId="3" numFmtId="2" xfId="0" applyBorder="1" applyFont="1" applyNumberFormat="1"/>
    <xf borderId="0" fillId="0" fontId="3" numFmtId="2" xfId="0" applyFont="1" applyNumberFormat="1"/>
    <xf borderId="8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8" fillId="0" fontId="4" numFmtId="0" xfId="0" applyAlignment="1" applyBorder="1" applyFont="1">
      <alignment horizontal="left" readingOrder="0" shrinkToFit="0" vertical="bottom" wrapText="0"/>
    </xf>
    <xf borderId="8" fillId="0" fontId="3" numFmtId="0" xfId="0" applyBorder="1" applyFont="1"/>
    <xf borderId="9" fillId="0" fontId="3" numFmtId="0" xfId="0" applyAlignment="1" applyBorder="1" applyFont="1">
      <alignment readingOrder="0"/>
    </xf>
    <xf borderId="10" fillId="4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8" fillId="4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0" fontId="4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Font="1"/>
    <xf borderId="0" fillId="0" fontId="6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7" numFmtId="0" xfId="0" applyFont="1"/>
    <xf borderId="14" fillId="0" fontId="1" numFmtId="0" xfId="0" applyAlignment="1" applyBorder="1" applyFont="1">
      <alignment vertical="bottom"/>
    </xf>
    <xf borderId="14" fillId="4" fontId="1" numFmtId="0" xfId="0" applyAlignment="1" applyBorder="1" applyFont="1">
      <alignment vertical="bottom"/>
    </xf>
    <xf borderId="14" fillId="0" fontId="1" numFmtId="0" xfId="0" applyAlignment="1" applyBorder="1" applyFont="1">
      <alignment readingOrder="0"/>
    </xf>
    <xf borderId="14" fillId="0" fontId="3" numFmtId="0" xfId="0" applyAlignment="1" applyBorder="1" applyFont="1">
      <alignment vertical="bottom"/>
    </xf>
    <xf borderId="14" fillId="0" fontId="3" numFmtId="0" xfId="0" applyAlignment="1" applyBorder="1" applyFont="1">
      <alignment horizontal="right" vertical="bottom"/>
    </xf>
    <xf borderId="14" fillId="4" fontId="3" numFmtId="0" xfId="0" applyAlignment="1" applyBorder="1" applyFont="1">
      <alignment horizontal="right" vertical="bottom"/>
    </xf>
    <xf borderId="14" fillId="0" fontId="3" numFmtId="0" xfId="0" applyAlignment="1" applyBorder="1" applyFont="1">
      <alignment readingOrder="0"/>
    </xf>
    <xf borderId="0" fillId="0" fontId="2" numFmtId="10" xfId="0" applyFont="1" applyNumberFormat="1"/>
    <xf borderId="14" fillId="0" fontId="3" numFmtId="0" xfId="0" applyBorder="1" applyFont="1"/>
    <xf borderId="1" fillId="0" fontId="8" numFmtId="0" xfId="0" applyAlignment="1" applyBorder="1" applyFont="1">
      <alignment horizontal="left" readingOrder="0"/>
    </xf>
    <xf borderId="15" fillId="0" fontId="8" numFmtId="0" xfId="0" applyAlignment="1" applyBorder="1" applyFont="1">
      <alignment horizontal="left" readingOrder="0"/>
    </xf>
    <xf borderId="15" fillId="0" fontId="6" numFmtId="0" xfId="0" applyAlignment="1" applyBorder="1" applyFont="1">
      <alignment horizontal="left" readingOrder="0"/>
    </xf>
    <xf borderId="16" fillId="0" fontId="6" numFmtId="0" xfId="0" applyAlignment="1" applyBorder="1" applyFont="1">
      <alignment horizontal="left" readingOrder="0"/>
    </xf>
    <xf borderId="17" fillId="0" fontId="6" numFmtId="0" xfId="0" applyAlignment="1" applyBorder="1" applyFont="1">
      <alignment horizontal="left" readingOrder="0"/>
    </xf>
    <xf borderId="18" fillId="0" fontId="6" numFmtId="0" xfId="0" applyAlignment="1" applyBorder="1" applyFont="1">
      <alignment horizontal="left"/>
    </xf>
    <xf borderId="19" fillId="0" fontId="6" numFmtId="0" xfId="0" applyAlignment="1" applyBorder="1" applyFont="1">
      <alignment horizontal="left" readingOrder="0"/>
    </xf>
    <xf borderId="19" fillId="0" fontId="9" numFmtId="0" xfId="0" applyAlignment="1" applyBorder="1" applyFont="1">
      <alignment horizontal="left" readingOrder="0"/>
    </xf>
    <xf borderId="19" fillId="0" fontId="6" numFmtId="2" xfId="0" applyAlignment="1" applyBorder="1" applyFont="1" applyNumberFormat="1">
      <alignment horizontal="left" readingOrder="0"/>
    </xf>
    <xf borderId="0" fillId="4" fontId="10" numFmtId="0" xfId="0" applyFont="1"/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17" fillId="0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20" fillId="0" fontId="6" numFmtId="0" xfId="0" applyAlignment="1" applyBorder="1" applyFont="1">
      <alignment horizontal="left"/>
    </xf>
    <xf borderId="21" fillId="0" fontId="6" numFmtId="0" xfId="0" applyAlignment="1" applyBorder="1" applyFont="1">
      <alignment horizontal="left" readingOrder="0"/>
    </xf>
    <xf borderId="21" fillId="0" fontId="9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/>
    </xf>
    <xf borderId="21" fillId="0" fontId="6" numFmtId="0" xfId="0" applyAlignment="1" applyBorder="1" applyFont="1">
      <alignment horizontal="left"/>
    </xf>
    <xf borderId="22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/>
    </xf>
    <xf borderId="19" fillId="0" fontId="6" numFmtId="0" xfId="0" applyAlignment="1" applyBorder="1" applyFont="1">
      <alignment horizontal="left"/>
    </xf>
    <xf borderId="16" fillId="0" fontId="6" numFmtId="0" xfId="0" applyAlignment="1" applyBorder="1" applyFont="1">
      <alignment horizontal="left"/>
    </xf>
    <xf borderId="22" fillId="0" fontId="6" numFmtId="0" xfId="0" applyAlignment="1" applyBorder="1" applyFont="1">
      <alignment horizontal="left"/>
    </xf>
    <xf borderId="20" fillId="0" fontId="6" numFmtId="0" xfId="0" applyAlignment="1" applyBorder="1" applyFont="1">
      <alignment horizontal="left"/>
    </xf>
    <xf borderId="22" fillId="0" fontId="6" numFmtId="0" xfId="0" applyAlignment="1" applyBorder="1" applyFont="1">
      <alignment horizontal="left" readingOrder="0"/>
    </xf>
    <xf borderId="20" fillId="0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 readingOrder="0"/>
    </xf>
    <xf borderId="22" fillId="4" fontId="11" numFmtId="0" xfId="0" applyBorder="1" applyFont="1"/>
    <xf borderId="20" fillId="4" fontId="11" numFmtId="0" xfId="0" applyBorder="1" applyFont="1"/>
    <xf borderId="12" fillId="0" fontId="6" numFmtId="0" xfId="0" applyAlignment="1" applyBorder="1" applyFont="1">
      <alignment horizontal="left"/>
    </xf>
    <xf borderId="15" fillId="0" fontId="6" numFmtId="0" xfId="0" applyAlignment="1" applyBorder="1" applyFont="1">
      <alignment horizontal="left"/>
    </xf>
    <xf borderId="19" fillId="0" fontId="6" numFmtId="0" xfId="0" applyAlignment="1" applyBorder="1" applyFont="1">
      <alignment horizontal="left" vertical="bottom"/>
    </xf>
    <xf borderId="0" fillId="0" fontId="6" numFmtId="0" xfId="0" applyAlignment="1" applyFont="1">
      <alignment horizontal="left" vertical="bottom"/>
    </xf>
    <xf borderId="21" fillId="0" fontId="6" numFmtId="0" xfId="0" applyAlignment="1" applyBorder="1" applyFont="1">
      <alignment horizontal="left" vertical="bottom"/>
    </xf>
    <xf borderId="18" fillId="0" fontId="6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left"/>
    </xf>
    <xf borderId="1" fillId="4" fontId="11" numFmtId="0" xfId="0" applyBorder="1" applyFont="1"/>
    <xf borderId="23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/>
    </xf>
    <xf borderId="23" fillId="0" fontId="6" numFmtId="0" xfId="0" applyAlignment="1" applyBorder="1" applyFont="1">
      <alignment horizontal="left"/>
    </xf>
    <xf borderId="5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8" fillId="0" fontId="6" numFmtId="0" xfId="0" applyAlignment="1" applyBorder="1" applyFont="1">
      <alignment horizontal="left" vertical="bottom"/>
    </xf>
    <xf borderId="18" fillId="0" fontId="6" numFmtId="0" xfId="0" applyAlignment="1" applyBorder="1" applyFont="1">
      <alignment horizontal="left" vertical="bottom"/>
    </xf>
    <xf borderId="0" fillId="0" fontId="6" numFmtId="0" xfId="0" applyAlignment="1" applyFont="1">
      <alignment horizontal="left" vertical="bottom"/>
    </xf>
    <xf borderId="2" fillId="0" fontId="6" numFmtId="0" xfId="0" applyAlignment="1" applyBorder="1" applyFont="1">
      <alignment horizontal="left" vertical="bottom"/>
    </xf>
    <xf borderId="21" fillId="0" fontId="6" numFmtId="0" xfId="0" applyAlignment="1" applyBorder="1" applyFont="1">
      <alignment horizontal="left" vertical="bottom"/>
    </xf>
    <xf borderId="15" fillId="0" fontId="6" numFmtId="0" xfId="0" applyBorder="1" applyFont="1"/>
    <xf borderId="19" fillId="0" fontId="6" numFmtId="0" xfId="0" applyAlignment="1" applyBorder="1" applyFont="1">
      <alignment readingOrder="0"/>
    </xf>
    <xf borderId="16" fillId="0" fontId="6" numFmtId="0" xfId="0" applyBorder="1" applyFont="1"/>
    <xf borderId="19" fillId="0" fontId="6" numFmtId="0" xfId="0" applyBorder="1" applyFont="1"/>
    <xf borderId="22" fillId="0" fontId="6" numFmtId="0" xfId="0" applyBorder="1" applyFont="1"/>
    <xf borderId="18" fillId="0" fontId="6" numFmtId="0" xfId="0" applyBorder="1" applyFont="1"/>
    <xf borderId="0" fillId="0" fontId="6" numFmtId="0" xfId="0" applyAlignment="1" applyFont="1">
      <alignment readingOrder="0"/>
    </xf>
    <xf borderId="17" fillId="0" fontId="6" numFmtId="0" xfId="0" applyBorder="1" applyFont="1"/>
    <xf borderId="20" fillId="0" fontId="6" numFmtId="0" xfId="0" applyBorder="1" applyFont="1"/>
    <xf borderId="2" fillId="0" fontId="6" numFmtId="0" xfId="0" applyBorder="1" applyFont="1"/>
    <xf borderId="21" fillId="0" fontId="6" numFmtId="0" xfId="0" applyAlignment="1" applyBorder="1" applyFont="1">
      <alignment readingOrder="0"/>
    </xf>
    <xf borderId="21" fillId="0" fontId="6" numFmtId="0" xfId="0" applyBorder="1" applyFont="1"/>
    <xf borderId="3" fillId="0" fontId="6" numFmtId="0" xfId="0" applyBorder="1" applyFont="1"/>
    <xf borderId="12" fillId="0" fontId="6" numFmtId="0" xfId="0" applyBorder="1" applyFont="1"/>
    <xf borderId="1" fillId="0" fontId="6" numFmtId="0" xfId="0" applyBorder="1" applyFont="1"/>
    <xf borderId="23" fillId="0" fontId="6" numFmtId="0" xfId="0" applyAlignment="1" applyBorder="1" applyFont="1">
      <alignment readingOrder="0"/>
    </xf>
    <xf borderId="6" fillId="0" fontId="6" numFmtId="0" xfId="0" applyBorder="1" applyFont="1"/>
    <xf borderId="23" fillId="0" fontId="6" numFmtId="0" xfId="0" applyBorder="1" applyFont="1"/>
    <xf borderId="5" fillId="0" fontId="6" numFmtId="0" xfId="0" applyBorder="1" applyFont="1"/>
    <xf borderId="16" fillId="0" fontId="6" numFmtId="0" xfId="0" applyAlignment="1" applyBorder="1" applyFont="1">
      <alignment readingOrder="0"/>
    </xf>
    <xf borderId="22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17" fillId="0" fontId="6" numFmtId="0" xfId="0" applyAlignment="1" applyBorder="1" applyFont="1">
      <alignment readingOrder="0"/>
    </xf>
    <xf borderId="20" fillId="0" fontId="6" numFmtId="0" xfId="0" applyAlignment="1" applyBorder="1" applyFont="1">
      <alignment readingOrder="0"/>
    </xf>
    <xf borderId="0" fillId="0" fontId="12" numFmtId="0" xfId="0" applyAlignment="1" applyFont="1">
      <alignment horizontal="left" readingOrder="0"/>
    </xf>
    <xf borderId="1" fillId="0" fontId="1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1" fillId="4" fontId="13" numFmtId="0" xfId="0" applyBorder="1" applyFont="1"/>
    <xf borderId="1" fillId="0" fontId="16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0" fillId="0" fontId="9" numFmtId="0" xfId="0" applyAlignment="1" applyFont="1">
      <alignment shrinkToFit="0" vertical="bottom" wrapText="0"/>
    </xf>
    <xf borderId="0" fillId="5" fontId="15" numFmtId="0" xfId="0" applyAlignment="1" applyFill="1" applyFont="1">
      <alignment horizontal="left" readingOrder="0"/>
    </xf>
    <xf borderId="1" fillId="0" fontId="13" numFmtId="0" xfId="0" applyBorder="1" applyFont="1"/>
    <xf borderId="1" fillId="0" fontId="16" numFmtId="0" xfId="0" applyAlignment="1" applyBorder="1" applyFont="1">
      <alignment readingOrder="0"/>
    </xf>
    <xf borderId="1" fillId="6" fontId="16" numFmtId="0" xfId="0" applyAlignment="1" applyBorder="1" applyFill="1" applyFont="1">
      <alignment readingOrder="0" shrinkToFit="0" vertical="bottom" wrapText="0"/>
    </xf>
    <xf borderId="0" fillId="0" fontId="13" numFmtId="0" xfId="0" applyFont="1"/>
    <xf borderId="1" fillId="0" fontId="13" numFmtId="0" xfId="0" applyAlignment="1" applyBorder="1" applyFont="1">
      <alignment readingOrder="0" shrinkToFit="0" vertical="bottom" wrapText="0"/>
    </xf>
    <xf borderId="0" fillId="0" fontId="2" numFmtId="164" xfId="0" applyFont="1" applyNumberFormat="1"/>
    <xf borderId="0" fillId="0" fontId="17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readingOrder="0"/>
    </xf>
    <xf borderId="0" fillId="0" fontId="9" numFmtId="0" xfId="0" applyAlignment="1" applyFont="1">
      <alignment vertical="bottom"/>
    </xf>
    <xf borderId="0" fillId="7" fontId="9" numFmtId="0" xfId="0" applyAlignment="1" applyFill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18" numFmtId="0" xfId="0" applyFont="1"/>
    <xf borderId="0" fillId="0" fontId="18" numFmtId="0" xfId="0" applyAlignment="1" applyFont="1">
      <alignment readingOrder="0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readingOrder="0"/>
    </xf>
    <xf borderId="0" fillId="0" fontId="14" numFmtId="0" xfId="0" applyFont="1"/>
    <xf borderId="0" fillId="5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5" fontId="15" numFmtId="0" xfId="0" applyAlignment="1" applyFont="1">
      <alignment readingOrder="0" vertical="bottom"/>
    </xf>
    <xf borderId="0" fillId="5" fontId="15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4" numFmtId="0" xfId="0" applyFont="1"/>
    <xf borderId="0" fillId="4" fontId="14" numFmtId="0" xfId="0" applyAlignment="1" applyFont="1">
      <alignment horizontal="left" readingOrder="0"/>
    </xf>
    <xf borderId="0" fillId="4" fontId="2" numFmtId="0" xfId="0" applyFont="1"/>
    <xf borderId="0" fillId="4" fontId="13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14" numFmtId="0" xfId="0" applyAlignment="1" applyFont="1">
      <alignment horizontal="left"/>
    </xf>
    <xf borderId="0" fillId="4" fontId="13" numFmtId="0" xfId="0" applyFont="1"/>
    <xf borderId="0" fillId="4" fontId="13" numFmtId="0" xfId="0" applyAlignment="1" applyFont="1">
      <alignment horizontal="left" readingOrder="0" shrinkToFit="0" wrapText="0"/>
    </xf>
    <xf borderId="0" fillId="4" fontId="2" numFmtId="164" xfId="0" applyFont="1" applyNumberFormat="1"/>
    <xf borderId="0" fillId="4" fontId="19" numFmtId="0" xfId="0" applyAlignment="1" applyFont="1">
      <alignment horizontal="left" readingOrder="0" shrinkToFit="0" wrapText="0"/>
    </xf>
    <xf borderId="0" fillId="4" fontId="18" numFmtId="0" xfId="0" applyFont="1"/>
    <xf borderId="0" fillId="4" fontId="18" numFmtId="0" xfId="0" applyAlignment="1" applyFont="1">
      <alignment readingOrder="0"/>
    </xf>
    <xf borderId="0" fillId="4" fontId="14" numFmtId="0" xfId="0" applyAlignment="1" applyFont="1">
      <alignment horizontal="left" vertical="bottom"/>
    </xf>
    <xf borderId="0" fillId="4" fontId="14" numFmtId="0" xfId="0" applyAlignment="1" applyFont="1">
      <alignment horizontal="left" vertical="bottom"/>
    </xf>
    <xf borderId="0" fillId="4" fontId="14" numFmtId="0" xfId="0" applyAlignment="1" applyFont="1">
      <alignment readingOrder="0"/>
    </xf>
    <xf borderId="0" fillId="4" fontId="14" numFmtId="0" xfId="0" applyFont="1"/>
    <xf borderId="0" fillId="4" fontId="14" numFmtId="0" xfId="0" applyAlignment="1" applyFont="1">
      <alignment vertical="bottom"/>
    </xf>
    <xf borderId="0" fillId="4" fontId="14" numFmtId="0" xfId="0" applyAlignment="1" applyFont="1">
      <alignment readingOrder="0" vertical="bottom"/>
    </xf>
    <xf borderId="0" fillId="0" fontId="2" numFmtId="2" xfId="0" applyAlignment="1" applyFont="1" applyNumberFormat="1">
      <alignment readingOrder="0"/>
    </xf>
    <xf borderId="0" fillId="0" fontId="2" numFmtId="0" xfId="0" applyFont="1"/>
    <xf borderId="0" fillId="0" fontId="20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0</xdr:row>
      <xdr:rowOff>123825</xdr:rowOff>
    </xdr:from>
    <xdr:ext cx="6143625" cy="3028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8.13"/>
    <col customWidth="1" min="2" max="2" width="8.63"/>
    <col customWidth="1" min="3" max="3" width="4.63"/>
    <col customWidth="1" min="4" max="4" width="5.0"/>
    <col customWidth="1" min="7" max="7" width="6.63"/>
    <col customWidth="1" min="8" max="8" width="8.75"/>
    <col customWidth="1" min="9" max="9" width="10.5"/>
    <col customWidth="1" min="14" max="14" width="13.38"/>
    <col customWidth="1" min="18" max="18" width="17.63"/>
    <col customWidth="1" min="21" max="22" width="15.63"/>
    <col customWidth="1" min="27" max="27" width="13.5"/>
    <col customWidth="1" min="28" max="29" width="14.5"/>
    <col customWidth="1" min="30" max="32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25</v>
      </c>
      <c r="AC1" s="6" t="s">
        <v>27</v>
      </c>
      <c r="AD1" s="7"/>
      <c r="AE1" s="7"/>
      <c r="AF1" s="8"/>
    </row>
    <row r="2">
      <c r="A2" s="9">
        <v>1.0</v>
      </c>
      <c r="B2" s="10" t="s">
        <v>28</v>
      </c>
      <c r="C2" s="10">
        <v>1.0</v>
      </c>
      <c r="D2" s="11">
        <v>2.0</v>
      </c>
      <c r="E2" s="12" t="s">
        <v>29</v>
      </c>
      <c r="F2" s="12" t="s">
        <v>30</v>
      </c>
      <c r="G2" s="12">
        <v>419.1</v>
      </c>
      <c r="H2" s="10">
        <f>SUMIF(G:G,Sitio)</f>
        <v>0</v>
      </c>
      <c r="I2" s="13">
        <f>AVERAGE(1,2,1,1,0)</f>
        <v>1</v>
      </c>
      <c r="J2" s="13">
        <f>AVERAGE(1,3,2,0,0)</f>
        <v>1.2</v>
      </c>
      <c r="K2" s="13">
        <f>AVERAGE(4,0,0,1,2)</f>
        <v>1.4</v>
      </c>
      <c r="L2" s="10">
        <f t="shared" ref="L2:L87" si="1">SUM(I2:K2)</f>
        <v>3.6</v>
      </c>
      <c r="M2" s="10">
        <v>0.0</v>
      </c>
      <c r="N2" s="10">
        <v>0.0</v>
      </c>
      <c r="O2" s="14">
        <v>0.0</v>
      </c>
      <c r="P2" s="15">
        <v>0.0</v>
      </c>
      <c r="Q2" s="16">
        <v>0.0</v>
      </c>
      <c r="R2" s="10">
        <v>4.0</v>
      </c>
      <c r="S2" s="13"/>
      <c r="T2" s="13"/>
      <c r="U2" s="10">
        <v>8.0</v>
      </c>
      <c r="V2" s="10">
        <v>3.0</v>
      </c>
      <c r="W2" s="10">
        <v>1.0</v>
      </c>
      <c r="X2" s="13">
        <v>3.0</v>
      </c>
      <c r="Y2" s="13">
        <v>17.749713521772346</v>
      </c>
      <c r="Z2" s="13">
        <v>4.0</v>
      </c>
      <c r="AA2" s="13">
        <f>AVERAGE(arboles!E63:E70)</f>
        <v>1</v>
      </c>
      <c r="AB2" s="13">
        <f>AVERAGE(arboles!F63:F70)</f>
        <v>0.375</v>
      </c>
      <c r="AC2" s="13">
        <f>SUM(arboles!F63:F70)</f>
        <v>3</v>
      </c>
      <c r="AD2" s="17"/>
      <c r="AE2" s="18"/>
      <c r="AF2" s="17"/>
    </row>
    <row r="3">
      <c r="A3" s="9">
        <v>2.0</v>
      </c>
      <c r="B3" s="10" t="s">
        <v>28</v>
      </c>
      <c r="C3" s="10">
        <v>1.0</v>
      </c>
      <c r="D3" s="11">
        <v>3.0</v>
      </c>
      <c r="E3" s="12" t="s">
        <v>31</v>
      </c>
      <c r="F3" s="12" t="s">
        <v>32</v>
      </c>
      <c r="G3" s="12">
        <v>418.2</v>
      </c>
      <c r="H3" s="10">
        <v>0.0</v>
      </c>
      <c r="I3" s="13">
        <f>AVERAGE(2,3,1,1,1)</f>
        <v>1.6</v>
      </c>
      <c r="J3" s="13">
        <f>AVERAGE(0,2,0,0,1)</f>
        <v>0.6</v>
      </c>
      <c r="K3" s="13">
        <f>AVERAGE(2,0,0,0,0)</f>
        <v>0.4</v>
      </c>
      <c r="L3" s="10">
        <f t="shared" si="1"/>
        <v>2.6</v>
      </c>
      <c r="M3" s="10">
        <v>0.0</v>
      </c>
      <c r="N3" s="10">
        <v>1.0</v>
      </c>
      <c r="O3" s="14">
        <v>0.0</v>
      </c>
      <c r="P3" s="15">
        <v>0.0</v>
      </c>
      <c r="Q3" s="16">
        <v>0.0</v>
      </c>
      <c r="R3" s="10">
        <v>3.0</v>
      </c>
      <c r="S3" s="13"/>
      <c r="T3" s="13"/>
      <c r="U3" s="10">
        <v>10.0</v>
      </c>
      <c r="V3" s="10">
        <v>4.0</v>
      </c>
      <c r="W3" s="10">
        <v>2.0</v>
      </c>
      <c r="X3" s="13">
        <v>5.0</v>
      </c>
      <c r="Y3" s="13">
        <v>16.64756811815635</v>
      </c>
      <c r="Z3" s="13">
        <v>1.0</v>
      </c>
      <c r="AA3" s="13">
        <f>AVERAGE(arboles!E36:E45)</f>
        <v>1.4</v>
      </c>
      <c r="AB3" s="13">
        <f>AVERAGE(arboles!F36:F45)</f>
        <v>0.2</v>
      </c>
      <c r="AC3" s="13">
        <f>SUM(arboles!F36:F45)</f>
        <v>2</v>
      </c>
      <c r="AD3" s="17"/>
      <c r="AE3" s="18"/>
      <c r="AF3" s="17"/>
    </row>
    <row r="4">
      <c r="A4" s="9">
        <v>3.0</v>
      </c>
      <c r="B4" s="10" t="s">
        <v>28</v>
      </c>
      <c r="C4" s="10">
        <v>1.0</v>
      </c>
      <c r="D4" s="11">
        <v>4.0</v>
      </c>
      <c r="E4" s="12" t="s">
        <v>33</v>
      </c>
      <c r="F4" s="12" t="s">
        <v>34</v>
      </c>
      <c r="G4" s="12">
        <v>418.0</v>
      </c>
      <c r="H4" s="10">
        <v>0.0</v>
      </c>
      <c r="I4" s="13">
        <f>AVERAGE(3,1,12,7,10)</f>
        <v>6.6</v>
      </c>
      <c r="J4" s="13">
        <f>AVERAGE(0,3,2,2,2)</f>
        <v>1.8</v>
      </c>
      <c r="K4" s="13">
        <f>AVERAGE(3,1,0,3,0)</f>
        <v>1.4</v>
      </c>
      <c r="L4" s="10">
        <f t="shared" si="1"/>
        <v>9.8</v>
      </c>
      <c r="M4" s="10">
        <v>0.0</v>
      </c>
      <c r="N4" s="10">
        <v>0.0</v>
      </c>
      <c r="O4" s="14">
        <v>0.0</v>
      </c>
      <c r="P4" s="15">
        <v>0.0</v>
      </c>
      <c r="Q4" s="16">
        <v>0.0</v>
      </c>
      <c r="R4" s="10">
        <v>3.0</v>
      </c>
      <c r="S4" s="13"/>
      <c r="T4" s="13"/>
      <c r="U4" s="10">
        <v>8.0</v>
      </c>
      <c r="V4" s="10">
        <v>5.0</v>
      </c>
      <c r="W4" s="10">
        <v>4.0</v>
      </c>
      <c r="X4" s="10">
        <v>7.0</v>
      </c>
      <c r="Y4" s="13">
        <v>28.76037768900264</v>
      </c>
      <c r="Z4" s="13">
        <v>3.0</v>
      </c>
      <c r="AA4" s="13">
        <f>AVERAGE(arboles!E16:E23)</f>
        <v>1.5</v>
      </c>
      <c r="AB4" s="13">
        <f>AVERAGE(arboles!F16:F23)</f>
        <v>0.625</v>
      </c>
      <c r="AC4" s="13">
        <f>SUM(arboles!F16:F23)</f>
        <v>5</v>
      </c>
      <c r="AD4" s="17"/>
      <c r="AE4" s="18"/>
      <c r="AF4" s="17"/>
    </row>
    <row r="5">
      <c r="A5" s="9">
        <v>4.0</v>
      </c>
      <c r="B5" s="10" t="s">
        <v>28</v>
      </c>
      <c r="C5" s="10">
        <v>1.0</v>
      </c>
      <c r="D5" s="11">
        <v>5.0</v>
      </c>
      <c r="E5" s="12" t="s">
        <v>35</v>
      </c>
      <c r="F5" s="12" t="s">
        <v>36</v>
      </c>
      <c r="G5" s="12">
        <v>415.6</v>
      </c>
      <c r="H5" s="10">
        <v>0.0</v>
      </c>
      <c r="I5" s="13">
        <f>AVERAGE(1,0,1,6,4)</f>
        <v>2.4</v>
      </c>
      <c r="J5" s="13">
        <f>AVERAGE(6,0,1,0,2)</f>
        <v>1.8</v>
      </c>
      <c r="K5" s="13">
        <f>AVERAGE(5,2,3,4,7)</f>
        <v>4.2</v>
      </c>
      <c r="L5" s="10">
        <f t="shared" si="1"/>
        <v>8.4</v>
      </c>
      <c r="M5" s="10">
        <v>0.0</v>
      </c>
      <c r="N5" s="10">
        <v>0.0</v>
      </c>
      <c r="O5" s="14">
        <v>0.0</v>
      </c>
      <c r="P5" s="15">
        <v>0.0</v>
      </c>
      <c r="Q5" s="16">
        <v>0.0</v>
      </c>
      <c r="R5" s="10">
        <v>3.0</v>
      </c>
      <c r="S5" s="13"/>
      <c r="T5" s="13"/>
      <c r="U5" s="10">
        <v>3.0</v>
      </c>
      <c r="V5" s="10">
        <v>3.0</v>
      </c>
      <c r="W5" s="10">
        <v>5.0</v>
      </c>
      <c r="X5" s="10">
        <v>6.0</v>
      </c>
      <c r="Y5" s="13">
        <v>31.910788557847383</v>
      </c>
      <c r="Z5" s="13">
        <v>2.0</v>
      </c>
      <c r="AA5" s="13">
        <f>AVERAGE(arboles!E13:E15)</f>
        <v>1</v>
      </c>
      <c r="AB5" s="13">
        <f>AVERAGE(arboles!F13:F15)</f>
        <v>0.3333333333</v>
      </c>
      <c r="AC5" s="13">
        <f>SUM(arboles!F13:F15)</f>
        <v>1</v>
      </c>
      <c r="AD5" s="17"/>
      <c r="AE5" s="18"/>
      <c r="AF5" s="17"/>
    </row>
    <row r="6">
      <c r="A6" s="9">
        <v>5.0</v>
      </c>
      <c r="B6" s="10" t="s">
        <v>28</v>
      </c>
      <c r="C6" s="10">
        <v>1.0</v>
      </c>
      <c r="D6" s="11">
        <v>6.0</v>
      </c>
      <c r="E6" s="12" t="s">
        <v>37</v>
      </c>
      <c r="F6" s="12" t="s">
        <v>38</v>
      </c>
      <c r="G6" s="12">
        <v>424.8</v>
      </c>
      <c r="H6" s="10">
        <v>0.0</v>
      </c>
      <c r="I6" s="13">
        <f>AVERAGE(6,5,2,1,0)</f>
        <v>2.8</v>
      </c>
      <c r="J6" s="13">
        <f>AVERAGE(0,7,0,0,0)</f>
        <v>1.4</v>
      </c>
      <c r="K6" s="13">
        <f>AVERAGE(0,0,0,0,0)</f>
        <v>0</v>
      </c>
      <c r="L6" s="10">
        <f t="shared" si="1"/>
        <v>4.2</v>
      </c>
      <c r="M6" s="10">
        <v>0.0</v>
      </c>
      <c r="N6" s="10">
        <v>0.0</v>
      </c>
      <c r="O6" s="14">
        <v>0.0</v>
      </c>
      <c r="P6" s="15">
        <v>1.0</v>
      </c>
      <c r="Q6" s="16">
        <v>0.0</v>
      </c>
      <c r="R6" s="10">
        <v>3.0</v>
      </c>
      <c r="S6" s="13"/>
      <c r="T6" s="13"/>
      <c r="U6" s="10">
        <v>7.0</v>
      </c>
      <c r="V6" s="10">
        <v>3.0</v>
      </c>
      <c r="W6" s="10">
        <v>4.0</v>
      </c>
      <c r="X6" s="13">
        <v>5.0</v>
      </c>
      <c r="Y6" s="13">
        <v>35.77019898868639</v>
      </c>
      <c r="Z6" s="13">
        <v>1.0</v>
      </c>
      <c r="AA6" s="13">
        <f>AVERAGE(arboles!E56:E62)</f>
        <v>1.142857143</v>
      </c>
      <c r="AB6" s="13">
        <f>AVERAGE(arboles!F56:F62)</f>
        <v>0.2857142857</v>
      </c>
      <c r="AC6" s="13">
        <f>SUM(arboles!F56:F62)</f>
        <v>2</v>
      </c>
      <c r="AD6" s="17"/>
      <c r="AE6" s="18"/>
      <c r="AF6" s="17"/>
    </row>
    <row r="7">
      <c r="A7" s="9">
        <v>6.0</v>
      </c>
      <c r="B7" s="10" t="s">
        <v>28</v>
      </c>
      <c r="C7" s="10">
        <v>1.0</v>
      </c>
      <c r="D7" s="11">
        <v>7.0</v>
      </c>
      <c r="E7" s="12" t="s">
        <v>39</v>
      </c>
      <c r="F7" s="12" t="s">
        <v>40</v>
      </c>
      <c r="G7" s="12">
        <v>424.0</v>
      </c>
      <c r="H7" s="10">
        <v>0.0</v>
      </c>
      <c r="I7" s="13">
        <f>AVERAGE(1,4,2,3,3)</f>
        <v>2.6</v>
      </c>
      <c r="J7" s="13">
        <f>AVERAGE(0,1,0,1,0)</f>
        <v>0.4</v>
      </c>
      <c r="K7" s="13">
        <f>AVERAGE(0,0,1,1,0)</f>
        <v>0.4</v>
      </c>
      <c r="L7" s="10">
        <f t="shared" si="1"/>
        <v>3.4</v>
      </c>
      <c r="M7" s="10">
        <v>0.0</v>
      </c>
      <c r="N7" s="10">
        <v>1.0</v>
      </c>
      <c r="O7" s="14">
        <v>0.0</v>
      </c>
      <c r="P7" s="15">
        <v>0.0</v>
      </c>
      <c r="Q7" s="16">
        <v>0.0</v>
      </c>
      <c r="R7" s="10">
        <v>3.0</v>
      </c>
      <c r="S7" s="13"/>
      <c r="T7" s="13"/>
      <c r="U7" s="10">
        <v>10.0</v>
      </c>
      <c r="V7" s="10">
        <v>2.0</v>
      </c>
      <c r="W7" s="10">
        <v>3.0</v>
      </c>
      <c r="X7" s="13">
        <v>3.0</v>
      </c>
      <c r="Y7" s="19">
        <v>23.771517697988294</v>
      </c>
      <c r="Z7" s="13">
        <v>3.0</v>
      </c>
      <c r="AA7" s="19">
        <f>AVERAGE(arboles!E46:E55)</f>
        <v>1.3</v>
      </c>
      <c r="AB7" s="19">
        <f>AVERAGE(arboles!F46:F55)</f>
        <v>0.8</v>
      </c>
      <c r="AC7" s="19">
        <f>SUM(arboles!F46:F55)</f>
        <v>8</v>
      </c>
      <c r="AD7" s="20"/>
      <c r="AE7" s="18"/>
      <c r="AF7" s="20"/>
    </row>
    <row r="8">
      <c r="A8" s="9">
        <v>7.0</v>
      </c>
      <c r="B8" s="10" t="s">
        <v>28</v>
      </c>
      <c r="C8" s="10">
        <v>1.0</v>
      </c>
      <c r="D8" s="11">
        <v>8.0</v>
      </c>
      <c r="E8" s="12" t="s">
        <v>41</v>
      </c>
      <c r="F8" s="12" t="s">
        <v>42</v>
      </c>
      <c r="G8" s="12">
        <v>421.6</v>
      </c>
      <c r="H8" s="10">
        <v>0.0</v>
      </c>
      <c r="I8" s="13">
        <f>AVERAGE(2,4,1,3,2)</f>
        <v>2.4</v>
      </c>
      <c r="J8" s="13">
        <f>AVERAGE(0,1,2,0,3)</f>
        <v>1.2</v>
      </c>
      <c r="K8" s="13">
        <f>AVERAGE(0,0,0,0,1)</f>
        <v>0.2</v>
      </c>
      <c r="L8" s="10">
        <f t="shared" si="1"/>
        <v>3.8</v>
      </c>
      <c r="M8" s="10">
        <v>1.0</v>
      </c>
      <c r="N8" s="10">
        <v>1.0</v>
      </c>
      <c r="O8" s="14">
        <v>0.0</v>
      </c>
      <c r="P8" s="15">
        <v>0.0</v>
      </c>
      <c r="Q8" s="16">
        <v>0.0</v>
      </c>
      <c r="R8" s="10">
        <v>2.0</v>
      </c>
      <c r="S8" s="13"/>
      <c r="T8" s="13"/>
      <c r="U8" s="10">
        <v>7.0</v>
      </c>
      <c r="V8" s="10">
        <v>2.0</v>
      </c>
      <c r="W8" s="10">
        <v>4.0</v>
      </c>
      <c r="X8" s="13">
        <v>5.0</v>
      </c>
      <c r="Y8" s="13">
        <v>35.44182764014697</v>
      </c>
      <c r="Z8" s="13">
        <v>3.0</v>
      </c>
      <c r="AA8" s="13">
        <f>AVERAGE(arboles!E24:E30)</f>
        <v>1.714285714</v>
      </c>
      <c r="AB8" s="13">
        <f>AVERAGE(arboles!F24:F30)</f>
        <v>0.5714285714</v>
      </c>
      <c r="AC8" s="13">
        <f> SUM(arboles!F24:F30)</f>
        <v>4</v>
      </c>
      <c r="AD8" s="17"/>
      <c r="AE8" s="18"/>
      <c r="AF8" s="17"/>
    </row>
    <row r="9">
      <c r="A9" s="9">
        <v>8.0</v>
      </c>
      <c r="B9" s="10" t="s">
        <v>28</v>
      </c>
      <c r="C9" s="10">
        <v>1.0</v>
      </c>
      <c r="D9" s="11">
        <v>10.0</v>
      </c>
      <c r="E9" s="12" t="s">
        <v>43</v>
      </c>
      <c r="F9" s="12" t="s">
        <v>44</v>
      </c>
      <c r="G9" s="12">
        <v>423.8</v>
      </c>
      <c r="H9" s="10">
        <v>0.0</v>
      </c>
      <c r="I9" s="13">
        <f>AVERAGE(0,3,5,3,0)</f>
        <v>2.2</v>
      </c>
      <c r="J9" s="13">
        <f>AVERAGE(0,1,2,2,0)</f>
        <v>1</v>
      </c>
      <c r="K9" s="13">
        <f>AVERAGE(0,2,1,4,0)</f>
        <v>1.4</v>
      </c>
      <c r="L9" s="10">
        <f t="shared" si="1"/>
        <v>4.6</v>
      </c>
      <c r="M9" s="10">
        <v>0.0</v>
      </c>
      <c r="N9" s="10">
        <v>1.0</v>
      </c>
      <c r="O9" s="14">
        <v>0.0</v>
      </c>
      <c r="P9" s="15">
        <v>0.0</v>
      </c>
      <c r="Q9" s="16">
        <v>0.0</v>
      </c>
      <c r="R9" s="10">
        <v>4.0</v>
      </c>
      <c r="S9" s="13"/>
      <c r="T9" s="13"/>
      <c r="U9" s="10">
        <v>5.0</v>
      </c>
      <c r="V9" s="10">
        <v>3.0</v>
      </c>
      <c r="W9" s="10">
        <v>3.0</v>
      </c>
      <c r="X9" s="13">
        <v>4.0</v>
      </c>
      <c r="Y9" s="13">
        <v>35.09291723962313</v>
      </c>
      <c r="Z9" s="13">
        <v>0.0</v>
      </c>
      <c r="AA9" s="13">
        <f>AVERAGE(arboles!E31:E35)</f>
        <v>1</v>
      </c>
      <c r="AB9" s="13">
        <f>AVERAGE(arboles!F31:F35)</f>
        <v>0.2</v>
      </c>
      <c r="AC9" s="13">
        <f>AVERAGE(arboles!F31:F35)</f>
        <v>0.2</v>
      </c>
      <c r="AD9" s="17"/>
      <c r="AE9" s="18"/>
      <c r="AF9" s="17"/>
    </row>
    <row r="10">
      <c r="A10" s="9">
        <v>9.0</v>
      </c>
      <c r="B10" s="10" t="s">
        <v>28</v>
      </c>
      <c r="C10" s="10">
        <v>1.0</v>
      </c>
      <c r="D10" s="11">
        <v>11.0</v>
      </c>
      <c r="E10" s="12" t="s">
        <v>45</v>
      </c>
      <c r="F10" s="12" t="s">
        <v>46</v>
      </c>
      <c r="G10" s="12">
        <v>426.1</v>
      </c>
      <c r="H10" s="10">
        <v>0.0</v>
      </c>
      <c r="I10" s="13">
        <f>AVERAGE(1,3,1,3,0)</f>
        <v>1.6</v>
      </c>
      <c r="J10" s="13">
        <f>AVERAGE(0,2,0,4,3)</f>
        <v>1.8</v>
      </c>
      <c r="K10" s="13">
        <f>AVERAGE(1,1,0,3,3)</f>
        <v>1.6</v>
      </c>
      <c r="L10" s="10">
        <f t="shared" si="1"/>
        <v>5</v>
      </c>
      <c r="M10" s="10">
        <v>0.0</v>
      </c>
      <c r="N10" s="10">
        <v>0.0</v>
      </c>
      <c r="O10" s="14">
        <v>0.0</v>
      </c>
      <c r="P10" s="15">
        <v>0.0</v>
      </c>
      <c r="Q10" s="16">
        <v>0.0</v>
      </c>
      <c r="R10" s="10">
        <v>3.0</v>
      </c>
      <c r="S10" s="13"/>
      <c r="T10" s="13"/>
      <c r="U10" s="10">
        <v>8.0</v>
      </c>
      <c r="V10" s="10">
        <v>4.0</v>
      </c>
      <c r="W10" s="10">
        <v>1.0</v>
      </c>
      <c r="X10" s="13">
        <v>5.0</v>
      </c>
      <c r="Y10" s="13">
        <v>19.361153552330023</v>
      </c>
      <c r="Z10" s="13">
        <v>11.0</v>
      </c>
      <c r="AA10" s="13">
        <f>AVERAGE(arboles!E79:E86)</f>
        <v>1.375</v>
      </c>
      <c r="AB10" s="13">
        <f>AVERAGE(arboles!F79:F86)</f>
        <v>0.125</v>
      </c>
      <c r="AC10" s="13">
        <f>SUM(arboles!F79:F86)</f>
        <v>1</v>
      </c>
      <c r="AD10" s="17"/>
      <c r="AE10" s="18"/>
      <c r="AF10" s="17"/>
    </row>
    <row r="11">
      <c r="A11" s="9">
        <v>10.0</v>
      </c>
      <c r="B11" s="10" t="s">
        <v>28</v>
      </c>
      <c r="C11" s="10">
        <v>1.0</v>
      </c>
      <c r="D11" s="11">
        <v>12.0</v>
      </c>
      <c r="E11" s="12" t="s">
        <v>47</v>
      </c>
      <c r="F11" s="12" t="s">
        <v>48</v>
      </c>
      <c r="G11" s="12">
        <v>424.3</v>
      </c>
      <c r="H11" s="10">
        <v>0.0</v>
      </c>
      <c r="I11" s="13">
        <f>AVERAGE(1,3,2,4,0)</f>
        <v>2</v>
      </c>
      <c r="J11" s="13">
        <f>AVERAGE(0,7,1,0,0)</f>
        <v>1.6</v>
      </c>
      <c r="K11" s="13">
        <f>AVERAGE(4,0,0,0,2)</f>
        <v>1.2</v>
      </c>
      <c r="L11" s="10">
        <f t="shared" si="1"/>
        <v>4.8</v>
      </c>
      <c r="M11" s="10">
        <v>0.0</v>
      </c>
      <c r="N11" s="10">
        <v>1.0</v>
      </c>
      <c r="O11" s="14">
        <v>0.0</v>
      </c>
      <c r="P11" s="15">
        <v>0.0</v>
      </c>
      <c r="Q11" s="16">
        <v>0.0</v>
      </c>
      <c r="R11" s="10">
        <v>3.0</v>
      </c>
      <c r="S11" s="13"/>
      <c r="T11" s="13"/>
      <c r="U11" s="10">
        <v>8.0</v>
      </c>
      <c r="V11" s="10">
        <v>3.0</v>
      </c>
      <c r="W11" s="10">
        <v>2.0</v>
      </c>
      <c r="X11" s="13">
        <v>4.0</v>
      </c>
      <c r="Y11" s="13">
        <v>21.71664120193532</v>
      </c>
      <c r="Z11" s="13">
        <v>3.0</v>
      </c>
      <c r="AA11" s="13">
        <f>AVERAGE(arboles!E71:E78)</f>
        <v>1.5</v>
      </c>
      <c r="AB11" s="13">
        <f>AVERAGE(arboles!F71:F78)</f>
        <v>0.375</v>
      </c>
      <c r="AC11" s="13">
        <f>SUM(arboles!F71:F78)</f>
        <v>3</v>
      </c>
      <c r="AD11" s="17"/>
      <c r="AE11" s="18"/>
      <c r="AF11" s="17"/>
    </row>
    <row r="12">
      <c r="A12" s="9">
        <v>11.0</v>
      </c>
      <c r="B12" s="10" t="s">
        <v>28</v>
      </c>
      <c r="C12" s="10">
        <v>1.0</v>
      </c>
      <c r="D12" s="11">
        <v>14.0</v>
      </c>
      <c r="E12" s="12" t="s">
        <v>49</v>
      </c>
      <c r="F12" s="12" t="s">
        <v>50</v>
      </c>
      <c r="G12" s="12">
        <v>420.0</v>
      </c>
      <c r="H12" s="10">
        <v>0.0</v>
      </c>
      <c r="I12" s="13">
        <f>AVERAGE(7,0,0,1,0)</f>
        <v>1.6</v>
      </c>
      <c r="J12" s="13">
        <f>AVERAGE(0,1,2,2,0)</f>
        <v>1</v>
      </c>
      <c r="K12" s="13">
        <f>AVERAGE(1,2,0,0,6)</f>
        <v>1.8</v>
      </c>
      <c r="L12" s="10">
        <f t="shared" si="1"/>
        <v>4.4</v>
      </c>
      <c r="M12" s="10">
        <v>1.0</v>
      </c>
      <c r="N12" s="10">
        <v>1.0</v>
      </c>
      <c r="O12" s="14">
        <v>0.0</v>
      </c>
      <c r="P12" s="15">
        <v>0.0</v>
      </c>
      <c r="Q12" s="16">
        <v>0.0</v>
      </c>
      <c r="R12" s="10">
        <v>3.0</v>
      </c>
      <c r="S12" s="13"/>
      <c r="T12" s="13"/>
      <c r="U12" s="10">
        <v>2.0</v>
      </c>
      <c r="V12" s="10">
        <v>2.0</v>
      </c>
      <c r="W12" s="10">
        <v>4.0</v>
      </c>
      <c r="X12" s="10">
        <v>5.0</v>
      </c>
      <c r="Y12" s="13">
        <v>17.427425515660808</v>
      </c>
      <c r="Z12" s="13">
        <v>0.0</v>
      </c>
      <c r="AA12" s="13">
        <f>AVERAGE(arboles!E11:E12)</f>
        <v>1</v>
      </c>
      <c r="AB12" s="13">
        <f>AVERAGE(arboles!F11:F12)</f>
        <v>0.5</v>
      </c>
      <c r="AC12" s="13">
        <f>SUM(arboles!F11:F12)</f>
        <v>1</v>
      </c>
      <c r="AD12" s="17"/>
      <c r="AE12" s="18"/>
      <c r="AF12" s="17"/>
    </row>
    <row r="13">
      <c r="A13" s="9">
        <v>12.0</v>
      </c>
      <c r="B13" s="10" t="s">
        <v>28</v>
      </c>
      <c r="C13" s="10">
        <v>1.0</v>
      </c>
      <c r="D13" s="11">
        <v>15.0</v>
      </c>
      <c r="E13" s="12" t="s">
        <v>51</v>
      </c>
      <c r="F13" s="12" t="s">
        <v>52</v>
      </c>
      <c r="G13" s="12">
        <v>416.4</v>
      </c>
      <c r="H13" s="10">
        <v>0.0</v>
      </c>
      <c r="I13" s="13">
        <f>AVERAGE(4,2,0,3,0)</f>
        <v>1.8</v>
      </c>
      <c r="J13" s="13">
        <f>AVERAGE(1,0,0,5,0)</f>
        <v>1.2</v>
      </c>
      <c r="K13" s="13">
        <f>AVERAGE(0,2,0,1,2)</f>
        <v>1</v>
      </c>
      <c r="L13" s="10">
        <f t="shared" si="1"/>
        <v>4</v>
      </c>
      <c r="M13" s="10">
        <v>0.0</v>
      </c>
      <c r="N13" s="10">
        <v>0.0</v>
      </c>
      <c r="O13" s="14">
        <v>0.0</v>
      </c>
      <c r="P13" s="15">
        <v>0.0</v>
      </c>
      <c r="Q13" s="16">
        <v>0.0</v>
      </c>
      <c r="R13" s="10">
        <v>3.0</v>
      </c>
      <c r="S13" s="13"/>
      <c r="T13" s="13"/>
      <c r="U13" s="10">
        <v>9.0</v>
      </c>
      <c r="V13" s="10">
        <v>6.0</v>
      </c>
      <c r="W13" s="10">
        <v>4.0</v>
      </c>
      <c r="X13" s="10">
        <v>8.0</v>
      </c>
      <c r="Y13" s="21">
        <v>81.3752652576182</v>
      </c>
      <c r="Z13" s="21">
        <v>4.0</v>
      </c>
      <c r="AA13" s="13">
        <f>AVERAGE(arboles!E2:E10)</f>
        <v>1.222222222</v>
      </c>
      <c r="AB13" s="13">
        <f>AVERAGE(arboles!F2:F10)</f>
        <v>0.6666666667</v>
      </c>
      <c r="AC13" s="21">
        <f>SUM(arboles!F2:F10)</f>
        <v>6</v>
      </c>
      <c r="AD13" s="22"/>
      <c r="AE13" s="18"/>
      <c r="AF13" s="22"/>
    </row>
    <row r="14">
      <c r="A14" s="9">
        <v>13.0</v>
      </c>
      <c r="B14" s="10" t="s">
        <v>28</v>
      </c>
      <c r="C14" s="10">
        <v>1.0</v>
      </c>
      <c r="D14" s="11">
        <v>16.0</v>
      </c>
      <c r="E14" s="12" t="s">
        <v>53</v>
      </c>
      <c r="F14" s="12" t="s">
        <v>54</v>
      </c>
      <c r="G14" s="12">
        <v>426.2</v>
      </c>
      <c r="H14" s="10">
        <v>0.0</v>
      </c>
      <c r="I14" s="13">
        <f>AVERAGE(1,9,3,0,2)</f>
        <v>3</v>
      </c>
      <c r="J14" s="13">
        <f>AVERAGE(2,5,3,4,12)</f>
        <v>5.2</v>
      </c>
      <c r="K14" s="13">
        <f>AVERAGE(3,5,1,3,6)</f>
        <v>3.6</v>
      </c>
      <c r="L14" s="10">
        <f t="shared" si="1"/>
        <v>11.8</v>
      </c>
      <c r="M14" s="10">
        <v>0.0</v>
      </c>
      <c r="N14" s="10">
        <v>0.0</v>
      </c>
      <c r="O14" s="14">
        <v>0.0</v>
      </c>
      <c r="P14" s="15">
        <v>0.0</v>
      </c>
      <c r="Q14" s="16">
        <v>0.0</v>
      </c>
      <c r="R14" s="10">
        <v>2.0</v>
      </c>
      <c r="S14" s="13"/>
      <c r="T14" s="13"/>
      <c r="U14" s="10">
        <v>9.0</v>
      </c>
      <c r="V14" s="10">
        <v>3.0</v>
      </c>
      <c r="W14" s="10">
        <v>3.0</v>
      </c>
      <c r="X14" s="13">
        <v>4.0</v>
      </c>
      <c r="Y14" s="13">
        <v>19.484042101689163</v>
      </c>
      <c r="Z14" s="13">
        <v>1.0</v>
      </c>
      <c r="AA14" s="13">
        <f>AVERAGE(arboles!E103:E111)</f>
        <v>1.555555556</v>
      </c>
      <c r="AB14" s="13">
        <f>AVERAGE(arboles!F103:F111)</f>
        <v>0.7777777778</v>
      </c>
      <c r="AC14" s="13">
        <f>SUM(arboles!F103:F111)</f>
        <v>7</v>
      </c>
      <c r="AD14" s="17"/>
      <c r="AE14" s="18"/>
      <c r="AF14" s="17"/>
    </row>
    <row r="15">
      <c r="A15" s="9">
        <v>14.0</v>
      </c>
      <c r="B15" s="10" t="s">
        <v>28</v>
      </c>
      <c r="C15" s="10">
        <v>1.0</v>
      </c>
      <c r="D15" s="11">
        <v>17.0</v>
      </c>
      <c r="E15" s="12" t="s">
        <v>55</v>
      </c>
      <c r="F15" s="12" t="s">
        <v>56</v>
      </c>
      <c r="G15" s="12">
        <v>424.1</v>
      </c>
      <c r="H15" s="10">
        <v>0.0</v>
      </c>
      <c r="I15" s="13">
        <f>AVERAGE(0,0,4,5,7)</f>
        <v>3.2</v>
      </c>
      <c r="J15" s="13">
        <f>AVERAGE(0,0,1,0,0)</f>
        <v>0.2</v>
      </c>
      <c r="K15" s="13">
        <f>AVERAGE(1,0,2,1,2)</f>
        <v>1.2</v>
      </c>
      <c r="L15" s="10">
        <f t="shared" si="1"/>
        <v>4.6</v>
      </c>
      <c r="M15" s="10">
        <v>0.0</v>
      </c>
      <c r="N15" s="10">
        <v>0.0</v>
      </c>
      <c r="O15" s="14">
        <v>0.0</v>
      </c>
      <c r="P15" s="15">
        <v>0.0</v>
      </c>
      <c r="Q15" s="16">
        <v>0.0</v>
      </c>
      <c r="R15" s="10">
        <v>3.0</v>
      </c>
      <c r="S15" s="13"/>
      <c r="T15" s="13"/>
      <c r="U15" s="10">
        <v>5.0</v>
      </c>
      <c r="V15" s="10">
        <v>2.0</v>
      </c>
      <c r="W15" s="10">
        <v>5.0</v>
      </c>
      <c r="X15" s="13">
        <v>5.0</v>
      </c>
      <c r="Y15" s="13">
        <v>31.61089890501655</v>
      </c>
      <c r="Z15" s="13">
        <v>5.0</v>
      </c>
      <c r="AA15" s="13">
        <f>AVERAGE(arboles!E112:E116)</f>
        <v>1.2</v>
      </c>
      <c r="AB15" s="13">
        <f>AVERAGE(arboles!F112:F116)</f>
        <v>0.2</v>
      </c>
      <c r="AC15" s="13">
        <f>SUM(arboles!F112:F116)</f>
        <v>1</v>
      </c>
      <c r="AD15" s="17"/>
      <c r="AE15" s="18"/>
      <c r="AF15" s="17"/>
    </row>
    <row r="16">
      <c r="A16" s="9">
        <v>15.0</v>
      </c>
      <c r="B16" s="10" t="s">
        <v>28</v>
      </c>
      <c r="C16" s="10">
        <v>1.0</v>
      </c>
      <c r="D16" s="11">
        <v>18.0</v>
      </c>
      <c r="E16" s="12" t="s">
        <v>57</v>
      </c>
      <c r="F16" s="12" t="s">
        <v>58</v>
      </c>
      <c r="G16" s="12">
        <v>422.2</v>
      </c>
      <c r="H16" s="10">
        <v>0.0</v>
      </c>
      <c r="I16" s="13">
        <f>AVERAGE(2,3,5,2,2)</f>
        <v>2.8</v>
      </c>
      <c r="J16" s="13">
        <f>AVERAGE(1,1,0,2,0)</f>
        <v>0.8</v>
      </c>
      <c r="K16" s="13">
        <f>AVERAGE(3,4,1,0,2)</f>
        <v>2</v>
      </c>
      <c r="L16" s="10">
        <f t="shared" si="1"/>
        <v>5.6</v>
      </c>
      <c r="M16" s="10">
        <v>0.0</v>
      </c>
      <c r="N16" s="10">
        <v>0.0</v>
      </c>
      <c r="O16" s="14">
        <v>0.0</v>
      </c>
      <c r="P16" s="15">
        <v>0.0</v>
      </c>
      <c r="Q16" s="16">
        <v>1.0</v>
      </c>
      <c r="R16" s="10">
        <v>2.0</v>
      </c>
      <c r="S16" s="13"/>
      <c r="T16" s="13"/>
      <c r="U16" s="10">
        <v>9.0</v>
      </c>
      <c r="V16" s="10">
        <v>4.0</v>
      </c>
      <c r="W16" s="10">
        <v>3.0</v>
      </c>
      <c r="X16" s="13">
        <v>5.0</v>
      </c>
      <c r="Y16" s="13">
        <v>49.082222222222214</v>
      </c>
      <c r="Z16" s="13">
        <v>7.0</v>
      </c>
      <c r="AA16" s="13">
        <f>AVERAGE(arboles!E87:E95)</f>
        <v>1.444444444</v>
      </c>
      <c r="AB16" s="13">
        <f>AVERAGE(arboles!F87:F95)</f>
        <v>0.2222222222</v>
      </c>
      <c r="AC16" s="13">
        <f>SUM(arboles!F87:F95)</f>
        <v>2</v>
      </c>
      <c r="AD16" s="17"/>
      <c r="AE16" s="18"/>
      <c r="AF16" s="17"/>
    </row>
    <row r="17">
      <c r="A17" s="9">
        <v>16.0</v>
      </c>
      <c r="B17" s="10" t="s">
        <v>28</v>
      </c>
      <c r="C17" s="10">
        <v>1.0</v>
      </c>
      <c r="D17" s="11">
        <v>19.0</v>
      </c>
      <c r="E17" s="12" t="s">
        <v>59</v>
      </c>
      <c r="F17" s="12" t="s">
        <v>50</v>
      </c>
      <c r="G17" s="12">
        <v>421.0</v>
      </c>
      <c r="H17" s="10">
        <v>0.0</v>
      </c>
      <c r="I17" s="13">
        <f>AVERAGE(2,1,9,3,0)</f>
        <v>3</v>
      </c>
      <c r="J17" s="13">
        <f>AVERAGE(0,2,1,0,1)</f>
        <v>0.8</v>
      </c>
      <c r="K17" s="13">
        <f>AVERAGE(1,2,3,2,3)</f>
        <v>2.2</v>
      </c>
      <c r="L17" s="10">
        <f t="shared" si="1"/>
        <v>6</v>
      </c>
      <c r="M17" s="10">
        <v>0.0</v>
      </c>
      <c r="N17" s="10">
        <v>0.0</v>
      </c>
      <c r="O17" s="14">
        <v>0.0</v>
      </c>
      <c r="P17" s="15">
        <v>0.0</v>
      </c>
      <c r="Q17" s="16">
        <v>1.0</v>
      </c>
      <c r="R17" s="10">
        <v>2.0</v>
      </c>
      <c r="S17" s="13"/>
      <c r="T17" s="13"/>
      <c r="U17" s="10">
        <v>7.0</v>
      </c>
      <c r="V17" s="10">
        <v>4.0</v>
      </c>
      <c r="W17" s="10">
        <v>1.0</v>
      </c>
      <c r="X17" s="13">
        <v>5.0</v>
      </c>
      <c r="Y17" s="13">
        <v>28.436210847975556</v>
      </c>
      <c r="Z17" s="13">
        <v>10.0</v>
      </c>
      <c r="AA17" s="13">
        <f>AVERAGE(arboles!E96:E102)</f>
        <v>1.428571429</v>
      </c>
      <c r="AB17" s="13">
        <f>AVERAGE(arboles!F96:F102)</f>
        <v>0.1428571429</v>
      </c>
      <c r="AC17" s="13">
        <f>SUM(arboles!F96:F102)</f>
        <v>1</v>
      </c>
      <c r="AD17" s="17"/>
      <c r="AE17" s="18"/>
      <c r="AF17" s="17"/>
    </row>
    <row r="18">
      <c r="A18" s="9">
        <v>17.0</v>
      </c>
      <c r="B18" s="10" t="s">
        <v>28</v>
      </c>
      <c r="C18" s="10">
        <v>1.0</v>
      </c>
      <c r="D18" s="11">
        <v>20.0</v>
      </c>
      <c r="E18" s="12" t="s">
        <v>60</v>
      </c>
      <c r="F18" s="12" t="s">
        <v>61</v>
      </c>
      <c r="G18" s="12">
        <v>418.7</v>
      </c>
      <c r="H18" s="10">
        <v>0.0</v>
      </c>
      <c r="I18" s="13">
        <f>AVERAGE(0,6,2,3,5)</f>
        <v>3.2</v>
      </c>
      <c r="J18" s="13">
        <f>AVERAGE(0,0,0,0,0)</f>
        <v>0</v>
      </c>
      <c r="K18" s="13">
        <f>AVERAGE(0,2,1,2,2)</f>
        <v>1.4</v>
      </c>
      <c r="L18" s="10">
        <f t="shared" si="1"/>
        <v>4.6</v>
      </c>
      <c r="M18" s="10">
        <v>0.0</v>
      </c>
      <c r="N18" s="10">
        <v>0.0</v>
      </c>
      <c r="O18" s="14">
        <v>0.0</v>
      </c>
      <c r="P18" s="15">
        <v>0.0</v>
      </c>
      <c r="Q18" s="16">
        <v>0.0</v>
      </c>
      <c r="R18" s="10">
        <v>4.0</v>
      </c>
      <c r="S18" s="13"/>
      <c r="T18" s="13"/>
      <c r="U18" s="10">
        <v>6.0</v>
      </c>
      <c r="V18" s="10">
        <v>4.0</v>
      </c>
      <c r="W18" s="10">
        <v>3.0</v>
      </c>
      <c r="X18" s="13">
        <v>6.0</v>
      </c>
      <c r="Y18" s="13">
        <v>22.280112044817926</v>
      </c>
      <c r="Z18" s="13">
        <v>5.0</v>
      </c>
      <c r="AA18" s="13">
        <f>AVERAGE(arboles!E117:E122)</f>
        <v>1.333333333</v>
      </c>
      <c r="AB18" s="13">
        <f>AVERAGE(arboles!F117:F122)</f>
        <v>0.5</v>
      </c>
      <c r="AC18" s="13">
        <f>SUM(arboles!F117:F122)</f>
        <v>3</v>
      </c>
      <c r="AD18" s="17"/>
      <c r="AE18" s="18"/>
      <c r="AF18" s="17"/>
    </row>
    <row r="19">
      <c r="A19" s="9">
        <v>18.0</v>
      </c>
      <c r="B19" s="10" t="s">
        <v>28</v>
      </c>
      <c r="C19" s="10">
        <v>1.0</v>
      </c>
      <c r="D19" s="11">
        <v>21.0</v>
      </c>
      <c r="E19" s="12" t="s">
        <v>62</v>
      </c>
      <c r="F19" s="12" t="s">
        <v>63</v>
      </c>
      <c r="G19" s="12">
        <v>424.4</v>
      </c>
      <c r="H19" s="10">
        <v>0.0</v>
      </c>
      <c r="I19" s="13">
        <f>AVERAGE(2,0,2,3,8)</f>
        <v>3</v>
      </c>
      <c r="J19" s="13">
        <f>AVERAGE(0,4,0,12,0)</f>
        <v>3.2</v>
      </c>
      <c r="K19" s="13">
        <f>AVERAGE(1,2,5,10,5)</f>
        <v>4.6</v>
      </c>
      <c r="L19" s="10">
        <f t="shared" si="1"/>
        <v>10.8</v>
      </c>
      <c r="M19" s="10">
        <v>0.0</v>
      </c>
      <c r="N19" s="10">
        <v>0.0</v>
      </c>
      <c r="O19" s="14">
        <v>0.0</v>
      </c>
      <c r="P19" s="15">
        <v>0.0</v>
      </c>
      <c r="Q19" s="16">
        <v>0.0</v>
      </c>
      <c r="R19" s="10">
        <v>2.0</v>
      </c>
      <c r="S19" s="13"/>
      <c r="T19" s="13"/>
      <c r="U19" s="10">
        <v>11.0</v>
      </c>
      <c r="V19" s="10">
        <v>3.0</v>
      </c>
      <c r="W19" s="10">
        <v>1.0</v>
      </c>
      <c r="X19" s="13">
        <v>3.0</v>
      </c>
      <c r="Y19" s="13">
        <v>17.641850128481142</v>
      </c>
      <c r="Z19" s="13">
        <v>3.0</v>
      </c>
      <c r="AA19" s="13">
        <f>AVERAGE(arboles!E140:E150)</f>
        <v>1.272727273</v>
      </c>
      <c r="AB19" s="13">
        <f>AVERAGE(arboles!F140:F150)</f>
        <v>0.6363636364</v>
      </c>
      <c r="AC19" s="13">
        <f>SUM(arboles!F140:F150)</f>
        <v>7</v>
      </c>
      <c r="AD19" s="17"/>
      <c r="AE19" s="18"/>
      <c r="AF19" s="17"/>
    </row>
    <row r="20">
      <c r="A20" s="9">
        <v>19.0</v>
      </c>
      <c r="B20" s="10" t="s">
        <v>28</v>
      </c>
      <c r="C20" s="10">
        <v>1.0</v>
      </c>
      <c r="D20" s="11">
        <v>23.0</v>
      </c>
      <c r="E20" s="12" t="s">
        <v>64</v>
      </c>
      <c r="F20" s="12" t="s">
        <v>65</v>
      </c>
      <c r="G20" s="12">
        <v>421.6</v>
      </c>
      <c r="H20" s="10">
        <v>0.0</v>
      </c>
      <c r="I20" s="13">
        <f>AVERAGE(5,0,3,5,6)</f>
        <v>3.8</v>
      </c>
      <c r="J20" s="13">
        <f>AVERAGE(4,1,0,2,0)</f>
        <v>1.4</v>
      </c>
      <c r="K20" s="13">
        <f>AVERAGE(3,1,2,4,1)</f>
        <v>2.2</v>
      </c>
      <c r="L20" s="10">
        <f t="shared" si="1"/>
        <v>7.4</v>
      </c>
      <c r="M20" s="10">
        <v>0.0</v>
      </c>
      <c r="N20" s="10">
        <v>1.0</v>
      </c>
      <c r="O20" s="14">
        <v>0.0</v>
      </c>
      <c r="P20" s="15">
        <v>0.0</v>
      </c>
      <c r="Q20" s="16">
        <v>0.0</v>
      </c>
      <c r="R20" s="10">
        <v>1.0</v>
      </c>
      <c r="S20" s="13"/>
      <c r="T20" s="13"/>
      <c r="U20" s="10">
        <v>7.0</v>
      </c>
      <c r="V20" s="10">
        <v>3.0</v>
      </c>
      <c r="W20" s="10">
        <v>3.0</v>
      </c>
      <c r="X20" s="13">
        <v>3.0</v>
      </c>
      <c r="Y20" s="13">
        <v>18.432791298337516</v>
      </c>
      <c r="Z20" s="13">
        <v>4.0</v>
      </c>
      <c r="AA20" s="13">
        <f>AVERAGE(arboles!E133:E139)</f>
        <v>1.714285714</v>
      </c>
      <c r="AB20" s="13">
        <f>AVERAGE(arboles!F133:F139)</f>
        <v>0.4285714286</v>
      </c>
      <c r="AC20" s="13">
        <f>SUM(arboles!F133:F139)</f>
        <v>3</v>
      </c>
      <c r="AD20" s="17"/>
      <c r="AE20" s="18"/>
      <c r="AF20" s="17"/>
    </row>
    <row r="21">
      <c r="A21" s="9">
        <v>20.0</v>
      </c>
      <c r="B21" s="10" t="s">
        <v>28</v>
      </c>
      <c r="C21" s="10">
        <v>1.0</v>
      </c>
      <c r="D21" s="11">
        <v>24.0</v>
      </c>
      <c r="E21" s="12" t="s">
        <v>66</v>
      </c>
      <c r="F21" s="12" t="s">
        <v>67</v>
      </c>
      <c r="G21" s="12">
        <v>421.8</v>
      </c>
      <c r="H21" s="10">
        <v>0.0</v>
      </c>
      <c r="I21" s="13">
        <f>AVERAGE(4,2,0,4,6)</f>
        <v>3.2</v>
      </c>
      <c r="J21" s="13">
        <f>AVERAGE(0,2,1,5,6)</f>
        <v>2.8</v>
      </c>
      <c r="K21" s="13">
        <f>AVERAGE(0,0,0,4,8)</f>
        <v>2.4</v>
      </c>
      <c r="L21" s="10">
        <f t="shared" si="1"/>
        <v>8.4</v>
      </c>
      <c r="M21" s="10">
        <v>0.0</v>
      </c>
      <c r="N21" s="10">
        <v>0.0</v>
      </c>
      <c r="O21" s="14">
        <v>0.0</v>
      </c>
      <c r="P21" s="15">
        <v>0.0</v>
      </c>
      <c r="Q21" s="16">
        <v>0.0</v>
      </c>
      <c r="R21" s="10">
        <v>1.0</v>
      </c>
      <c r="S21" s="13"/>
      <c r="T21" s="13"/>
      <c r="U21" s="10">
        <v>10.0</v>
      </c>
      <c r="V21" s="10">
        <v>3.0</v>
      </c>
      <c r="W21" s="10">
        <v>3.0</v>
      </c>
      <c r="X21" s="13">
        <v>5.0</v>
      </c>
      <c r="Y21" s="19">
        <v>21.186783804430863</v>
      </c>
      <c r="Z21" s="13">
        <v>1.0</v>
      </c>
      <c r="AA21" s="19">
        <f>AVERAGE(arboles!E123:E132)</f>
        <v>1.2</v>
      </c>
      <c r="AB21" s="19">
        <f>AVERAGE(arboles!F123:F132)</f>
        <v>0.2</v>
      </c>
      <c r="AC21" s="19">
        <f>SUM(arboles!F123:F132)</f>
        <v>2</v>
      </c>
      <c r="AD21" s="20"/>
      <c r="AE21" s="18"/>
      <c r="AF21" s="20"/>
    </row>
    <row r="22">
      <c r="A22" s="9">
        <v>21.0</v>
      </c>
      <c r="B22" s="10" t="s">
        <v>28</v>
      </c>
      <c r="C22" s="10">
        <v>1.0</v>
      </c>
      <c r="D22" s="11">
        <v>30.0</v>
      </c>
      <c r="E22" s="12" t="s">
        <v>68</v>
      </c>
      <c r="F22" s="12" t="s">
        <v>69</v>
      </c>
      <c r="G22" s="12">
        <v>420.1</v>
      </c>
      <c r="H22" s="10">
        <v>0.0</v>
      </c>
      <c r="I22" s="13">
        <f>AVERAGE(6,10,14,3,3)</f>
        <v>7.2</v>
      </c>
      <c r="J22" s="13">
        <f>AVERAGE(12,6,1,9,0)</f>
        <v>5.6</v>
      </c>
      <c r="K22" s="13">
        <f>AVERAGE(5,8,2,4,3)</f>
        <v>4.4</v>
      </c>
      <c r="L22" s="10">
        <f t="shared" si="1"/>
        <v>17.2</v>
      </c>
      <c r="M22" s="10">
        <v>0.0</v>
      </c>
      <c r="N22" s="10">
        <v>0.0</v>
      </c>
      <c r="O22" s="14">
        <v>0.0</v>
      </c>
      <c r="P22" s="15">
        <v>0.0</v>
      </c>
      <c r="Q22" s="16">
        <v>0.0</v>
      </c>
      <c r="R22" s="10">
        <v>1.0</v>
      </c>
      <c r="S22" s="13"/>
      <c r="T22" s="13"/>
      <c r="U22" s="10">
        <v>4.0</v>
      </c>
      <c r="V22" s="10">
        <v>1.0</v>
      </c>
      <c r="W22" s="10">
        <v>3.0</v>
      </c>
      <c r="X22" s="13">
        <v>1.0</v>
      </c>
      <c r="Y22" s="19">
        <v>21.2</v>
      </c>
      <c r="Z22" s="13">
        <v>1.0</v>
      </c>
      <c r="AA22" s="19">
        <f>AVERAGE(arboles!E177:E180)</f>
        <v>1.5</v>
      </c>
      <c r="AB22" s="19">
        <f>AVERAGE(arboles!F177:F180)</f>
        <v>0.75</v>
      </c>
      <c r="AC22" s="19">
        <f>SUM(arboles!F177:F180)</f>
        <v>3</v>
      </c>
      <c r="AD22" s="20"/>
      <c r="AE22" s="18"/>
      <c r="AF22" s="20"/>
    </row>
    <row r="23">
      <c r="A23" s="9">
        <v>22.0</v>
      </c>
      <c r="B23" s="10" t="s">
        <v>28</v>
      </c>
      <c r="C23" s="10">
        <v>1.0</v>
      </c>
      <c r="D23" s="11">
        <v>31.0</v>
      </c>
      <c r="E23" s="12" t="s">
        <v>70</v>
      </c>
      <c r="F23" s="12" t="s">
        <v>71</v>
      </c>
      <c r="G23" s="12">
        <v>423.4</v>
      </c>
      <c r="H23" s="10">
        <v>0.0</v>
      </c>
      <c r="I23" s="13">
        <f>AVERAGE(0,7,0,1,1)</f>
        <v>1.8</v>
      </c>
      <c r="J23" s="13">
        <f>AVERAGE(5,6,0,0,0)</f>
        <v>2.2</v>
      </c>
      <c r="K23" s="13">
        <f>AVERAGE(2,5,1,0,1)</f>
        <v>1.8</v>
      </c>
      <c r="L23" s="10">
        <f t="shared" si="1"/>
        <v>5.8</v>
      </c>
      <c r="M23" s="10">
        <v>0.0</v>
      </c>
      <c r="N23" s="10">
        <v>0.0</v>
      </c>
      <c r="O23" s="14">
        <v>0.0</v>
      </c>
      <c r="P23" s="15">
        <v>0.0</v>
      </c>
      <c r="Q23" s="16">
        <v>0.0</v>
      </c>
      <c r="R23" s="10">
        <v>3.0</v>
      </c>
      <c r="S23" s="13"/>
      <c r="T23" s="13"/>
      <c r="U23" s="10">
        <v>7.0</v>
      </c>
      <c r="V23" s="10">
        <v>3.0</v>
      </c>
      <c r="W23" s="10">
        <v>2.0</v>
      </c>
      <c r="X23" s="13">
        <v>4.0</v>
      </c>
      <c r="Y23" s="13">
        <v>34.785714285714285</v>
      </c>
      <c r="Z23" s="13">
        <v>3.0</v>
      </c>
      <c r="AA23" s="13">
        <f>AVERAGE(arboles!E151:E157)</f>
        <v>1.142857143</v>
      </c>
      <c r="AB23" s="13">
        <f>AVERAGE(arboles!F151:F157)</f>
        <v>0.4285714286</v>
      </c>
      <c r="AC23" s="13">
        <f>SUM(arboles!F151:F157)</f>
        <v>3</v>
      </c>
      <c r="AD23" s="17"/>
      <c r="AE23" s="18"/>
      <c r="AF23" s="17"/>
    </row>
    <row r="24">
      <c r="A24" s="9">
        <v>23.0</v>
      </c>
      <c r="B24" s="10" t="s">
        <v>28</v>
      </c>
      <c r="C24" s="10">
        <v>1.0</v>
      </c>
      <c r="D24" s="11">
        <v>34.0</v>
      </c>
      <c r="E24" s="12" t="s">
        <v>72</v>
      </c>
      <c r="F24" s="12" t="s">
        <v>73</v>
      </c>
      <c r="G24" s="12">
        <v>420.3</v>
      </c>
      <c r="H24" s="10">
        <v>0.0</v>
      </c>
      <c r="I24" s="13">
        <f>AVERAGE(14,3,3,4,4)</f>
        <v>5.6</v>
      </c>
      <c r="J24" s="13">
        <f>AVERAGE(0,1,2,0,3)</f>
        <v>1.2</v>
      </c>
      <c r="K24" s="13">
        <f>AVERAGE(1,3,2,4,5)</f>
        <v>3</v>
      </c>
      <c r="L24" s="10">
        <f t="shared" si="1"/>
        <v>9.8</v>
      </c>
      <c r="M24" s="10">
        <v>0.0</v>
      </c>
      <c r="N24" s="10">
        <v>0.0</v>
      </c>
      <c r="O24" s="14">
        <v>0.0</v>
      </c>
      <c r="P24" s="15">
        <v>0.0</v>
      </c>
      <c r="Q24" s="16">
        <v>1.0</v>
      </c>
      <c r="R24" s="10">
        <v>3.0</v>
      </c>
      <c r="S24" s="13"/>
      <c r="T24" s="13"/>
      <c r="U24" s="10">
        <v>4.0</v>
      </c>
      <c r="V24" s="10">
        <v>2.0</v>
      </c>
      <c r="W24" s="10">
        <v>3.0</v>
      </c>
      <c r="X24" s="13">
        <v>4.0</v>
      </c>
      <c r="Y24" s="19">
        <v>25.475</v>
      </c>
      <c r="Z24" s="13">
        <v>0.0</v>
      </c>
      <c r="AA24" s="19">
        <f>AVERAGE(arboles!E168:E171)</f>
        <v>1</v>
      </c>
      <c r="AB24" s="19">
        <f>AVERAGE(arboles!F168:F171)</f>
        <v>0.75</v>
      </c>
      <c r="AC24" s="19">
        <f>SUM(arboles!F168:F171)</f>
        <v>3</v>
      </c>
      <c r="AD24" s="20"/>
      <c r="AE24" s="18"/>
      <c r="AF24" s="20"/>
    </row>
    <row r="25">
      <c r="A25" s="9">
        <v>24.0</v>
      </c>
      <c r="B25" s="10" t="s">
        <v>28</v>
      </c>
      <c r="C25" s="10">
        <v>1.0</v>
      </c>
      <c r="D25" s="11">
        <v>36.0</v>
      </c>
      <c r="E25" s="12" t="s">
        <v>74</v>
      </c>
      <c r="F25" s="12" t="s">
        <v>75</v>
      </c>
      <c r="G25" s="12">
        <v>424.7</v>
      </c>
      <c r="H25" s="10">
        <v>0.0</v>
      </c>
      <c r="I25" s="13">
        <f>AVERAGE(2,4,3,0,7)</f>
        <v>3.2</v>
      </c>
      <c r="J25" s="13">
        <f>AVERAGE(0,0,0,0,5)</f>
        <v>1</v>
      </c>
      <c r="K25" s="13">
        <f>AVERAGE(1,0,2,0,8)</f>
        <v>2.2</v>
      </c>
      <c r="L25" s="10">
        <f t="shared" si="1"/>
        <v>6.4</v>
      </c>
      <c r="M25" s="10">
        <v>0.0</v>
      </c>
      <c r="N25" s="10">
        <v>0.0</v>
      </c>
      <c r="O25" s="14">
        <v>0.0</v>
      </c>
      <c r="P25" s="15">
        <v>0.0</v>
      </c>
      <c r="Q25" s="16">
        <v>0.0</v>
      </c>
      <c r="R25" s="10">
        <v>2.0</v>
      </c>
      <c r="S25" s="13"/>
      <c r="T25" s="13"/>
      <c r="U25" s="10">
        <v>6.0</v>
      </c>
      <c r="V25" s="10">
        <v>3.0</v>
      </c>
      <c r="W25" s="10">
        <v>3.0</v>
      </c>
      <c r="X25" s="13">
        <v>5.0</v>
      </c>
      <c r="Y25" s="13">
        <v>31.548115609880316</v>
      </c>
      <c r="Z25" s="13">
        <v>3.0</v>
      </c>
      <c r="AA25" s="13">
        <f>AVERAGE(arboles!E181:E186)</f>
        <v>1.5</v>
      </c>
      <c r="AB25" s="13">
        <f>AVERAGE(arboles!F181:F186)</f>
        <v>0.5</v>
      </c>
      <c r="AC25" s="13">
        <f>SUM(arboles!F181:F186)</f>
        <v>3</v>
      </c>
      <c r="AD25" s="17"/>
      <c r="AE25" s="18"/>
      <c r="AF25" s="17"/>
    </row>
    <row r="26">
      <c r="A26" s="9">
        <v>25.0</v>
      </c>
      <c r="B26" s="10" t="s">
        <v>28</v>
      </c>
      <c r="C26" s="10">
        <v>1.0</v>
      </c>
      <c r="D26" s="11">
        <v>38.0</v>
      </c>
      <c r="E26" s="12" t="s">
        <v>76</v>
      </c>
      <c r="F26" s="12" t="s">
        <v>77</v>
      </c>
      <c r="G26" s="12">
        <v>422.0</v>
      </c>
      <c r="H26" s="10">
        <v>0.0</v>
      </c>
      <c r="I26" s="13">
        <f>AVERAGE(4,3,1,1,6)</f>
        <v>3</v>
      </c>
      <c r="J26" s="13">
        <f>AVERAGE(0,0,3,0,0)</f>
        <v>0.6</v>
      </c>
      <c r="K26" s="13">
        <f>AVERAGE(2,1,0,3,4)</f>
        <v>2</v>
      </c>
      <c r="L26" s="10">
        <f t="shared" si="1"/>
        <v>5.6</v>
      </c>
      <c r="M26" s="10">
        <v>0.0</v>
      </c>
      <c r="N26" s="10">
        <v>0.0</v>
      </c>
      <c r="O26" s="14">
        <v>0.0</v>
      </c>
      <c r="P26" s="15">
        <v>0.0</v>
      </c>
      <c r="Q26" s="16">
        <v>0.0</v>
      </c>
      <c r="R26" s="10">
        <v>2.0</v>
      </c>
      <c r="S26" s="13"/>
      <c r="T26" s="13"/>
      <c r="U26" s="10">
        <v>10.0</v>
      </c>
      <c r="V26" s="10">
        <v>4.0</v>
      </c>
      <c r="W26" s="10">
        <v>1.0</v>
      </c>
      <c r="X26" s="10">
        <v>5.0</v>
      </c>
      <c r="Y26" s="13">
        <v>18.778558696205756</v>
      </c>
      <c r="Z26" s="13">
        <v>1.0</v>
      </c>
      <c r="AA26" s="13">
        <f>AVERAGE(arboles!E158:E167)</f>
        <v>1</v>
      </c>
      <c r="AB26" s="13">
        <f>AVERAGE(arboles!F158:F167)</f>
        <v>0.2</v>
      </c>
      <c r="AC26" s="13">
        <f>SUM(arboles!F158:F167)</f>
        <v>2</v>
      </c>
      <c r="AD26" s="17"/>
      <c r="AE26" s="18"/>
      <c r="AF26" s="17"/>
    </row>
    <row r="27">
      <c r="A27" s="23">
        <v>26.0</v>
      </c>
      <c r="B27" s="24" t="s">
        <v>28</v>
      </c>
      <c r="C27" s="24">
        <v>1.0</v>
      </c>
      <c r="D27" s="25">
        <v>40.0</v>
      </c>
      <c r="E27" s="26" t="s">
        <v>78</v>
      </c>
      <c r="F27" s="26" t="s">
        <v>79</v>
      </c>
      <c r="G27" s="26">
        <v>421.5</v>
      </c>
      <c r="H27" s="24">
        <v>0.0</v>
      </c>
      <c r="I27" s="27">
        <f>AVERAGE(3,1,3,4,13)</f>
        <v>4.8</v>
      </c>
      <c r="J27" s="27">
        <f>AVERAGE(0,3,0,0,8)</f>
        <v>2.2</v>
      </c>
      <c r="K27" s="27">
        <f>AVERAGE(1,2,2,4,6)</f>
        <v>3</v>
      </c>
      <c r="L27" s="10">
        <f t="shared" si="1"/>
        <v>10</v>
      </c>
      <c r="M27" s="24">
        <v>0.0</v>
      </c>
      <c r="N27" s="24">
        <v>0.0</v>
      </c>
      <c r="O27" s="28">
        <v>0.0</v>
      </c>
      <c r="P27" s="29">
        <v>0.0</v>
      </c>
      <c r="Q27" s="30">
        <v>0.0</v>
      </c>
      <c r="R27" s="24">
        <v>3.0</v>
      </c>
      <c r="S27" s="27"/>
      <c r="T27" s="27"/>
      <c r="U27" s="24">
        <v>5.0</v>
      </c>
      <c r="V27" s="24">
        <v>2.0</v>
      </c>
      <c r="W27" s="31">
        <v>1.0</v>
      </c>
      <c r="X27" s="27">
        <v>5.0</v>
      </c>
      <c r="Y27" s="27">
        <v>45.47379679144385</v>
      </c>
      <c r="Z27" s="27">
        <v>3.0</v>
      </c>
      <c r="AA27" s="27">
        <f>AVERAGE(arboles!E172:E176)</f>
        <v>1</v>
      </c>
      <c r="AB27" s="27">
        <f>AVERAGE(arboles!F172:F176)</f>
        <v>0.4</v>
      </c>
      <c r="AC27" s="27">
        <f>SUM(arboles!F172:F176)</f>
        <v>2</v>
      </c>
      <c r="AD27" s="17"/>
      <c r="AE27" s="18"/>
      <c r="AF27" s="17"/>
    </row>
    <row r="28">
      <c r="A28" s="32">
        <v>27.0</v>
      </c>
      <c r="B28" s="33" t="s">
        <v>80</v>
      </c>
      <c r="C28" s="33">
        <v>2.0</v>
      </c>
      <c r="D28" s="34">
        <v>81.0</v>
      </c>
      <c r="E28" s="35" t="s">
        <v>81</v>
      </c>
      <c r="F28" s="35" t="s">
        <v>82</v>
      </c>
      <c r="G28" s="35">
        <v>404.4</v>
      </c>
      <c r="H28" s="33">
        <v>1.0</v>
      </c>
      <c r="I28" s="33">
        <v>6.6</v>
      </c>
      <c r="J28" s="33">
        <v>6.0</v>
      </c>
      <c r="K28" s="33">
        <v>2.8</v>
      </c>
      <c r="L28" s="10">
        <f t="shared" si="1"/>
        <v>15.4</v>
      </c>
      <c r="M28" s="33">
        <v>0.0</v>
      </c>
      <c r="N28" s="33">
        <v>0.0</v>
      </c>
      <c r="O28" s="36">
        <v>0.0</v>
      </c>
      <c r="P28" s="15">
        <v>1.0</v>
      </c>
      <c r="Q28" s="37">
        <v>0.0</v>
      </c>
      <c r="R28" s="33">
        <v>2.0</v>
      </c>
      <c r="S28" s="38"/>
      <c r="T28" s="38"/>
      <c r="U28" s="33">
        <v>9.0</v>
      </c>
      <c r="V28" s="33">
        <v>1.0</v>
      </c>
      <c r="W28" s="33">
        <v>3.0</v>
      </c>
      <c r="X28" s="38">
        <v>3.0</v>
      </c>
      <c r="Y28" s="38">
        <v>33.19107036754096</v>
      </c>
      <c r="Z28" s="38">
        <v>0.0</v>
      </c>
      <c r="AA28" s="38">
        <f>AVERAGE(arboles!E398:E406)</f>
        <v>1.333333333</v>
      </c>
      <c r="AB28" s="38">
        <f>AVERAGE(arboles!F398:F406)</f>
        <v>0.7777777778</v>
      </c>
      <c r="AC28" s="38">
        <f>SUM(arboles!F398:F406)</f>
        <v>7</v>
      </c>
      <c r="AD28" s="17"/>
      <c r="AE28" s="18"/>
      <c r="AF28" s="17"/>
    </row>
    <row r="29">
      <c r="A29" s="9">
        <v>28.0</v>
      </c>
      <c r="B29" s="33" t="s">
        <v>80</v>
      </c>
      <c r="C29" s="10">
        <v>2.0</v>
      </c>
      <c r="D29" s="11">
        <v>82.0</v>
      </c>
      <c r="E29" s="12" t="s">
        <v>83</v>
      </c>
      <c r="F29" s="12" t="s">
        <v>84</v>
      </c>
      <c r="G29" s="12">
        <v>409.6</v>
      </c>
      <c r="H29" s="10">
        <v>1.0</v>
      </c>
      <c r="I29" s="10">
        <v>3.4</v>
      </c>
      <c r="J29" s="10">
        <v>2.2</v>
      </c>
      <c r="K29" s="10">
        <v>1.8</v>
      </c>
      <c r="L29" s="10">
        <f t="shared" si="1"/>
        <v>7.4</v>
      </c>
      <c r="M29" s="10">
        <v>0.0</v>
      </c>
      <c r="N29" s="10">
        <v>0.0</v>
      </c>
      <c r="O29" s="14">
        <v>0.0</v>
      </c>
      <c r="P29" s="15">
        <v>1.0</v>
      </c>
      <c r="Q29" s="16">
        <v>0.0</v>
      </c>
      <c r="R29" s="10">
        <v>2.0</v>
      </c>
      <c r="S29" s="13"/>
      <c r="T29" s="13"/>
      <c r="U29" s="10">
        <v>4.0</v>
      </c>
      <c r="V29" s="10">
        <v>2.0</v>
      </c>
      <c r="W29" s="10">
        <v>3.0</v>
      </c>
      <c r="X29" s="13">
        <v>3.0</v>
      </c>
      <c r="Y29" s="13">
        <v>15.891583906289789</v>
      </c>
      <c r="Z29" s="13">
        <v>0.0</v>
      </c>
      <c r="AA29" s="13">
        <f>AVERAGE(arboles!E394:E397)</f>
        <v>1</v>
      </c>
      <c r="AB29" s="13">
        <f>AVERAGE(arboles!F394:F397)</f>
        <v>0.75</v>
      </c>
      <c r="AC29" s="13">
        <f>SUM(arboles!F394:F397)</f>
        <v>3</v>
      </c>
      <c r="AD29" s="17"/>
      <c r="AE29" s="18"/>
      <c r="AF29" s="17"/>
    </row>
    <row r="30">
      <c r="A30" s="9">
        <v>29.0</v>
      </c>
      <c r="B30" s="33" t="s">
        <v>80</v>
      </c>
      <c r="C30" s="10">
        <v>2.0</v>
      </c>
      <c r="D30" s="11">
        <v>83.0</v>
      </c>
      <c r="E30" s="12" t="s">
        <v>85</v>
      </c>
      <c r="F30" s="12" t="s">
        <v>86</v>
      </c>
      <c r="G30" s="12">
        <v>402.7</v>
      </c>
      <c r="H30" s="10">
        <v>1.0</v>
      </c>
      <c r="I30" s="10">
        <v>2.4</v>
      </c>
      <c r="J30" s="10">
        <v>5.4</v>
      </c>
      <c r="K30" s="10">
        <v>3.4</v>
      </c>
      <c r="L30" s="10">
        <f t="shared" si="1"/>
        <v>11.2</v>
      </c>
      <c r="M30" s="10">
        <v>48.0</v>
      </c>
      <c r="N30" s="10">
        <v>1.0</v>
      </c>
      <c r="O30" s="14">
        <v>0.0</v>
      </c>
      <c r="P30" s="15">
        <v>0.0</v>
      </c>
      <c r="Q30" s="16">
        <v>1.0</v>
      </c>
      <c r="R30" s="10">
        <v>4.0</v>
      </c>
      <c r="S30" s="13"/>
      <c r="T30" s="13"/>
      <c r="U30" s="10">
        <v>5.0</v>
      </c>
      <c r="V30" s="10">
        <v>2.0</v>
      </c>
      <c r="W30" s="10">
        <v>2.0</v>
      </c>
      <c r="X30" s="13">
        <v>2.0</v>
      </c>
      <c r="Y30" s="13">
        <v>45.40881079704609</v>
      </c>
      <c r="Z30" s="13">
        <v>0.0</v>
      </c>
      <c r="AA30" s="13">
        <f>AVERAGE(arboles!E199:E203)</f>
        <v>1</v>
      </c>
      <c r="AB30" s="13">
        <f>AVERAGE(arboles!F199:F203)</f>
        <v>1</v>
      </c>
      <c r="AC30" s="13">
        <f>SUM(arboles!F199:F203)</f>
        <v>5</v>
      </c>
      <c r="AD30" s="17"/>
      <c r="AE30" s="18"/>
      <c r="AF30" s="17"/>
    </row>
    <row r="31">
      <c r="A31" s="9">
        <v>30.0</v>
      </c>
      <c r="B31" s="33" t="s">
        <v>80</v>
      </c>
      <c r="C31" s="10">
        <v>2.0</v>
      </c>
      <c r="D31" s="11">
        <v>84.0</v>
      </c>
      <c r="E31" s="12" t="s">
        <v>87</v>
      </c>
      <c r="F31" s="12" t="s">
        <v>88</v>
      </c>
      <c r="G31" s="12">
        <v>400.0</v>
      </c>
      <c r="H31" s="10">
        <v>1.0</v>
      </c>
      <c r="I31" s="10">
        <v>3.0</v>
      </c>
      <c r="J31" s="10">
        <v>5.8</v>
      </c>
      <c r="K31" s="10">
        <v>5.2</v>
      </c>
      <c r="L31" s="10">
        <f t="shared" si="1"/>
        <v>14</v>
      </c>
      <c r="M31" s="10">
        <v>0.0</v>
      </c>
      <c r="N31" s="10">
        <v>1.0</v>
      </c>
      <c r="O31" s="14">
        <v>0.0</v>
      </c>
      <c r="P31" s="15">
        <v>0.0</v>
      </c>
      <c r="Q31" s="16">
        <v>0.0</v>
      </c>
      <c r="R31" s="10">
        <v>4.0</v>
      </c>
      <c r="S31" s="13"/>
      <c r="T31" s="13"/>
      <c r="U31" s="10">
        <v>6.0</v>
      </c>
      <c r="V31" s="10">
        <v>3.0</v>
      </c>
      <c r="W31" s="10">
        <v>3.0</v>
      </c>
      <c r="X31" s="13">
        <v>5.0</v>
      </c>
      <c r="Y31" s="13">
        <v>43.17961123843477</v>
      </c>
      <c r="Z31" s="13">
        <v>1.0</v>
      </c>
      <c r="AA31" s="13">
        <f>AVERAGE(arboles!E193:E198)</f>
        <v>1.166666667</v>
      </c>
      <c r="AB31" s="13">
        <f>AVERAGE(arboles!F193:F198)</f>
        <v>0.6666666667</v>
      </c>
      <c r="AC31" s="13">
        <f>SUM(arboles!F193:F198)</f>
        <v>4</v>
      </c>
      <c r="AD31" s="17"/>
      <c r="AE31" s="18"/>
      <c r="AF31" s="17"/>
    </row>
    <row r="32">
      <c r="A32" s="9">
        <v>31.0</v>
      </c>
      <c r="B32" s="33" t="s">
        <v>80</v>
      </c>
      <c r="C32" s="10">
        <v>2.0</v>
      </c>
      <c r="D32" s="11">
        <v>85.0</v>
      </c>
      <c r="E32" s="12" t="s">
        <v>89</v>
      </c>
      <c r="F32" s="12" t="s">
        <v>90</v>
      </c>
      <c r="G32" s="12">
        <v>386.7</v>
      </c>
      <c r="H32" s="10">
        <v>2.0</v>
      </c>
      <c r="I32" s="10">
        <v>2.4</v>
      </c>
      <c r="J32" s="10">
        <v>2.8</v>
      </c>
      <c r="K32" s="10">
        <v>2.0</v>
      </c>
      <c r="L32" s="10">
        <f t="shared" si="1"/>
        <v>7.2</v>
      </c>
      <c r="M32" s="10">
        <v>0.0</v>
      </c>
      <c r="N32" s="10">
        <v>0.0</v>
      </c>
      <c r="O32" s="14">
        <v>0.0</v>
      </c>
      <c r="P32" s="15">
        <v>0.0</v>
      </c>
      <c r="Q32" s="16">
        <v>0.0</v>
      </c>
      <c r="R32" s="10">
        <v>4.0</v>
      </c>
      <c r="S32" s="13"/>
      <c r="T32" s="13"/>
      <c r="U32" s="10">
        <v>6.0</v>
      </c>
      <c r="V32" s="10">
        <v>4.0</v>
      </c>
      <c r="W32" s="10">
        <v>3.0</v>
      </c>
      <c r="X32" s="13">
        <v>5.0</v>
      </c>
      <c r="Y32" s="13">
        <v>30.149796282149225</v>
      </c>
      <c r="Z32" s="13">
        <v>0.0</v>
      </c>
      <c r="AA32" s="13">
        <f>AVERAGE(arboles!E187:E192)</f>
        <v>1</v>
      </c>
      <c r="AB32" s="13">
        <f>AVERAGE(arboles!F187:F192)</f>
        <v>0.5</v>
      </c>
      <c r="AC32" s="13">
        <f>SUM(arboles!F187:F192)</f>
        <v>3</v>
      </c>
      <c r="AD32" s="17"/>
      <c r="AE32" s="18"/>
      <c r="AF32" s="17"/>
    </row>
    <row r="33">
      <c r="A33" s="9">
        <v>32.0</v>
      </c>
      <c r="B33" s="33" t="s">
        <v>80</v>
      </c>
      <c r="C33" s="10">
        <v>2.0</v>
      </c>
      <c r="D33" s="11">
        <v>87.0</v>
      </c>
      <c r="E33" s="12" t="s">
        <v>91</v>
      </c>
      <c r="F33" s="12" t="s">
        <v>92</v>
      </c>
      <c r="G33" s="12">
        <v>413.9</v>
      </c>
      <c r="H33" s="10">
        <v>2.0</v>
      </c>
      <c r="I33" s="10">
        <v>4.2</v>
      </c>
      <c r="J33" s="10">
        <v>3.0</v>
      </c>
      <c r="K33" s="10">
        <v>6.0</v>
      </c>
      <c r="L33" s="10">
        <f t="shared" si="1"/>
        <v>13.2</v>
      </c>
      <c r="M33" s="10">
        <v>0.0</v>
      </c>
      <c r="N33" s="10">
        <v>0.0</v>
      </c>
      <c r="O33" s="14">
        <v>0.0</v>
      </c>
      <c r="P33" s="15">
        <v>1.0</v>
      </c>
      <c r="Q33" s="16">
        <v>0.0</v>
      </c>
      <c r="R33" s="10">
        <v>2.0</v>
      </c>
      <c r="S33" s="13"/>
      <c r="T33" s="13"/>
      <c r="U33" s="10">
        <v>7.0</v>
      </c>
      <c r="V33" s="10">
        <v>2.0</v>
      </c>
      <c r="W33" s="10">
        <v>4.0</v>
      </c>
      <c r="X33" s="13">
        <v>5.0</v>
      </c>
      <c r="Y33" s="13">
        <v>27.271999708974498</v>
      </c>
      <c r="Z33" s="13">
        <v>2.0</v>
      </c>
      <c r="AA33" s="13">
        <f>AVERAGE(arboles!E407:E413)</f>
        <v>1.285714286</v>
      </c>
      <c r="AB33" s="13">
        <f>AVERAGE(arboles!F407:F413)</f>
        <v>1</v>
      </c>
      <c r="AC33" s="13">
        <f>SUM(arboles!F407:F413)</f>
        <v>7</v>
      </c>
      <c r="AD33" s="17"/>
      <c r="AE33" s="18"/>
      <c r="AF33" s="17"/>
    </row>
    <row r="34">
      <c r="A34" s="9">
        <v>33.0</v>
      </c>
      <c r="B34" s="33" t="s">
        <v>80</v>
      </c>
      <c r="C34" s="10">
        <v>2.0</v>
      </c>
      <c r="D34" s="11">
        <v>88.0</v>
      </c>
      <c r="E34" s="12" t="s">
        <v>93</v>
      </c>
      <c r="F34" s="12" t="s">
        <v>94</v>
      </c>
      <c r="G34" s="12">
        <v>414.2</v>
      </c>
      <c r="H34" s="10">
        <v>1.0</v>
      </c>
      <c r="I34" s="10">
        <v>2.4</v>
      </c>
      <c r="J34" s="10">
        <v>3.2</v>
      </c>
      <c r="K34" s="10">
        <v>2.0</v>
      </c>
      <c r="L34" s="10">
        <f t="shared" si="1"/>
        <v>7.6</v>
      </c>
      <c r="M34" s="10">
        <v>0.0</v>
      </c>
      <c r="N34" s="10">
        <v>0.0</v>
      </c>
      <c r="O34" s="14">
        <v>0.0</v>
      </c>
      <c r="P34" s="15">
        <v>0.0</v>
      </c>
      <c r="Q34" s="16">
        <v>0.0</v>
      </c>
      <c r="R34" s="10">
        <v>3.0</v>
      </c>
      <c r="S34" s="13"/>
      <c r="T34" s="13"/>
      <c r="U34" s="10">
        <v>4.0</v>
      </c>
      <c r="V34" s="10">
        <v>2.0</v>
      </c>
      <c r="W34" s="10">
        <v>3.0</v>
      </c>
      <c r="X34" s="13">
        <v>3.0</v>
      </c>
      <c r="Y34" s="13">
        <v>31.45772854596384</v>
      </c>
      <c r="Z34" s="13">
        <v>0.0</v>
      </c>
      <c r="AA34" s="13">
        <f>AVERAGE(arboles!E429:E432)</f>
        <v>1.25</v>
      </c>
      <c r="AB34" s="13">
        <f>AVERAGE(arboles!F429:F432)</f>
        <v>1</v>
      </c>
      <c r="AC34" s="13">
        <f>SUM(arboles!F429:F432)</f>
        <v>4</v>
      </c>
      <c r="AD34" s="17"/>
      <c r="AE34" s="18"/>
      <c r="AF34" s="17"/>
    </row>
    <row r="35">
      <c r="A35" s="9">
        <v>34.0</v>
      </c>
      <c r="B35" s="33" t="s">
        <v>80</v>
      </c>
      <c r="C35" s="10">
        <v>2.0</v>
      </c>
      <c r="D35" s="11">
        <v>89.0</v>
      </c>
      <c r="E35" s="12" t="s">
        <v>95</v>
      </c>
      <c r="F35" s="12" t="s">
        <v>96</v>
      </c>
      <c r="G35" s="12">
        <v>412.2</v>
      </c>
      <c r="H35" s="10">
        <v>1.0</v>
      </c>
      <c r="I35" s="10">
        <v>5.4</v>
      </c>
      <c r="J35" s="10">
        <v>3.2</v>
      </c>
      <c r="K35" s="10">
        <v>2.2</v>
      </c>
      <c r="L35" s="10">
        <f t="shared" si="1"/>
        <v>10.8</v>
      </c>
      <c r="M35" s="10">
        <v>0.0</v>
      </c>
      <c r="N35" s="10">
        <v>0.0</v>
      </c>
      <c r="O35" s="14">
        <v>0.0</v>
      </c>
      <c r="P35" s="15">
        <v>1.0</v>
      </c>
      <c r="Q35" s="16">
        <v>3.0</v>
      </c>
      <c r="R35" s="10">
        <v>2.0</v>
      </c>
      <c r="S35" s="13"/>
      <c r="T35" s="13"/>
      <c r="U35" s="10">
        <v>5.0</v>
      </c>
      <c r="V35" s="10">
        <v>1.0</v>
      </c>
      <c r="W35" s="10">
        <v>4.0</v>
      </c>
      <c r="X35" s="13">
        <v>4.0</v>
      </c>
      <c r="Y35" s="13">
        <v>36.88601986249045</v>
      </c>
      <c r="Z35" s="13">
        <v>2.0</v>
      </c>
      <c r="AA35" s="13">
        <f>AVERAGE(arboles!E424:E428)</f>
        <v>1.6</v>
      </c>
      <c r="AB35" s="13">
        <f>AVERAGE(arboles!F424:F428)</f>
        <v>1</v>
      </c>
      <c r="AC35" s="13">
        <f>SUM(arboles!F424:F428)</f>
        <v>5</v>
      </c>
      <c r="AD35" s="17"/>
      <c r="AE35" s="18"/>
      <c r="AF35" s="17"/>
    </row>
    <row r="36">
      <c r="A36" s="9">
        <v>35.0</v>
      </c>
      <c r="B36" s="33" t="s">
        <v>80</v>
      </c>
      <c r="C36" s="10">
        <v>2.0</v>
      </c>
      <c r="D36" s="11">
        <v>91.0</v>
      </c>
      <c r="E36" s="12" t="s">
        <v>97</v>
      </c>
      <c r="F36" s="12" t="s">
        <v>98</v>
      </c>
      <c r="G36" s="12">
        <v>409.9</v>
      </c>
      <c r="H36" s="10">
        <v>2.0</v>
      </c>
      <c r="I36" s="10">
        <v>1.4</v>
      </c>
      <c r="J36" s="10">
        <v>1.2</v>
      </c>
      <c r="K36" s="10">
        <v>1.6</v>
      </c>
      <c r="L36" s="10">
        <f t="shared" si="1"/>
        <v>4.2</v>
      </c>
      <c r="M36" s="10">
        <v>0.0</v>
      </c>
      <c r="N36" s="10">
        <v>0.0</v>
      </c>
      <c r="O36" s="14">
        <v>0.0</v>
      </c>
      <c r="P36" s="15">
        <v>1.0</v>
      </c>
      <c r="Q36" s="16">
        <v>0.0</v>
      </c>
      <c r="R36" s="10">
        <v>3.0</v>
      </c>
      <c r="S36" s="13"/>
      <c r="T36" s="13"/>
      <c r="U36" s="10">
        <v>3.0</v>
      </c>
      <c r="V36" s="10">
        <v>2.0</v>
      </c>
      <c r="W36" s="10">
        <v>5.0</v>
      </c>
      <c r="X36" s="13">
        <v>5.0</v>
      </c>
      <c r="Y36" s="13">
        <v>30.653170359052712</v>
      </c>
      <c r="Z36" s="13">
        <v>1.0</v>
      </c>
      <c r="AA36" s="13">
        <f>AVERAGE(arboles!E421:E423)</f>
        <v>1.333333333</v>
      </c>
      <c r="AB36" s="13">
        <f>AVERAGE(arboles!F421:F423)</f>
        <v>1</v>
      </c>
      <c r="AC36" s="13">
        <f>SUM(arboles!F421:F423)</f>
        <v>3</v>
      </c>
      <c r="AD36" s="17"/>
      <c r="AE36" s="18"/>
      <c r="AF36" s="17"/>
    </row>
    <row r="37">
      <c r="A37" s="9">
        <v>36.0</v>
      </c>
      <c r="B37" s="33" t="s">
        <v>80</v>
      </c>
      <c r="C37" s="10">
        <v>2.0</v>
      </c>
      <c r="D37" s="11">
        <v>92.0</v>
      </c>
      <c r="E37" s="12" t="s">
        <v>99</v>
      </c>
      <c r="F37" s="12" t="s">
        <v>100</v>
      </c>
      <c r="G37" s="12">
        <v>397.5</v>
      </c>
      <c r="H37" s="10">
        <v>2.0</v>
      </c>
      <c r="I37" s="10">
        <v>2.4</v>
      </c>
      <c r="J37" s="10">
        <v>1.4</v>
      </c>
      <c r="K37" s="10">
        <v>2.6</v>
      </c>
      <c r="L37" s="10">
        <f t="shared" si="1"/>
        <v>6.4</v>
      </c>
      <c r="M37" s="10">
        <v>0.0</v>
      </c>
      <c r="N37" s="10">
        <v>0.0</v>
      </c>
      <c r="O37" s="14">
        <v>0.0</v>
      </c>
      <c r="P37" s="15">
        <v>1.0</v>
      </c>
      <c r="Q37" s="16">
        <v>0.0</v>
      </c>
      <c r="R37" s="10">
        <v>2.0</v>
      </c>
      <c r="S37" s="13"/>
      <c r="T37" s="13"/>
      <c r="U37" s="10">
        <v>5.0</v>
      </c>
      <c r="V37" s="10">
        <v>2.0</v>
      </c>
      <c r="W37" s="10">
        <v>3.0</v>
      </c>
      <c r="X37" s="13">
        <v>3.0</v>
      </c>
      <c r="Y37" s="13">
        <v>41.24211866564807</v>
      </c>
      <c r="Z37" s="13">
        <v>0.0</v>
      </c>
      <c r="AA37" s="13">
        <f>AVERAGE(arboles!E389:E393)</f>
        <v>1</v>
      </c>
      <c r="AB37" s="13">
        <f>AVERAGE(arboles!F389:F393)</f>
        <v>0.6</v>
      </c>
      <c r="AC37" s="13">
        <f>SUM(arboles!F389:F393)</f>
        <v>3</v>
      </c>
      <c r="AD37" s="17"/>
      <c r="AE37" s="18"/>
      <c r="AF37" s="17"/>
    </row>
    <row r="38">
      <c r="A38" s="9">
        <v>37.0</v>
      </c>
      <c r="B38" s="33" t="s">
        <v>80</v>
      </c>
      <c r="C38" s="10">
        <v>2.0</v>
      </c>
      <c r="D38" s="11">
        <v>94.0</v>
      </c>
      <c r="E38" s="12" t="s">
        <v>101</v>
      </c>
      <c r="F38" s="12" t="s">
        <v>102</v>
      </c>
      <c r="G38" s="12">
        <v>421.3</v>
      </c>
      <c r="H38" s="10">
        <v>2.0</v>
      </c>
      <c r="I38" s="10">
        <v>4.8</v>
      </c>
      <c r="J38" s="10">
        <v>2.0</v>
      </c>
      <c r="K38" s="10">
        <v>1.0</v>
      </c>
      <c r="L38" s="10">
        <f t="shared" si="1"/>
        <v>7.8</v>
      </c>
      <c r="M38" s="10">
        <v>0.0</v>
      </c>
      <c r="N38" s="10">
        <v>0.0</v>
      </c>
      <c r="O38" s="14">
        <v>0.0</v>
      </c>
      <c r="P38" s="15">
        <v>0.0</v>
      </c>
      <c r="Q38" s="16">
        <v>0.0</v>
      </c>
      <c r="R38" s="10">
        <v>2.0</v>
      </c>
      <c r="S38" s="13"/>
      <c r="T38" s="13"/>
      <c r="U38" s="10">
        <v>6.0</v>
      </c>
      <c r="V38" s="10">
        <v>1.0</v>
      </c>
      <c r="W38" s="10">
        <v>4.0</v>
      </c>
      <c r="X38" s="13">
        <v>4.0</v>
      </c>
      <c r="Y38" s="13">
        <v>33.119599354893474</v>
      </c>
      <c r="Z38" s="13">
        <v>1.0</v>
      </c>
      <c r="AA38" s="13">
        <f>AVERAGE(arboles!E433:E438)</f>
        <v>1.833333333</v>
      </c>
      <c r="AB38" s="13">
        <f>AVERAGE(arboles!F433:F438)</f>
        <v>0.6666666667</v>
      </c>
      <c r="AC38" s="13">
        <f>SUM(arboles!F433:F438)</f>
        <v>4</v>
      </c>
      <c r="AD38" s="17"/>
      <c r="AE38" s="18"/>
      <c r="AF38" s="17"/>
    </row>
    <row r="39">
      <c r="A39" s="9">
        <v>38.0</v>
      </c>
      <c r="B39" s="33" t="s">
        <v>80</v>
      </c>
      <c r="C39" s="10">
        <v>2.0</v>
      </c>
      <c r="D39" s="11">
        <v>98.0</v>
      </c>
      <c r="E39" s="12" t="s">
        <v>103</v>
      </c>
      <c r="F39" s="12" t="s">
        <v>104</v>
      </c>
      <c r="G39" s="12">
        <v>431.5</v>
      </c>
      <c r="H39" s="10">
        <v>2.0</v>
      </c>
      <c r="I39" s="39">
        <v>1.8</v>
      </c>
      <c r="J39" s="10">
        <v>4.4</v>
      </c>
      <c r="K39" s="10">
        <v>1.4</v>
      </c>
      <c r="L39" s="10">
        <f t="shared" si="1"/>
        <v>7.6</v>
      </c>
      <c r="M39" s="10">
        <v>0.0</v>
      </c>
      <c r="N39" s="10">
        <v>0.0</v>
      </c>
      <c r="O39" s="14">
        <v>9.0</v>
      </c>
      <c r="P39" s="15">
        <v>1.0</v>
      </c>
      <c r="Q39" s="16">
        <v>0.0</v>
      </c>
      <c r="R39" s="10">
        <v>2.0</v>
      </c>
      <c r="S39" s="13"/>
      <c r="T39" s="13"/>
      <c r="U39" s="10">
        <v>9.0</v>
      </c>
      <c r="V39" s="10">
        <v>2.0</v>
      </c>
      <c r="W39" s="10">
        <v>4.0</v>
      </c>
      <c r="X39" s="13">
        <v>4.0</v>
      </c>
      <c r="Y39" s="13">
        <v>29.113035113035114</v>
      </c>
      <c r="Z39" s="13">
        <v>6.0</v>
      </c>
      <c r="AA39" s="13">
        <f>AVERAGE(arboles!E524:E532)</f>
        <v>1.555555556</v>
      </c>
      <c r="AB39" s="13">
        <f>AVERAGE(arboles!F524:F532)</f>
        <v>0.5555555556</v>
      </c>
      <c r="AC39" s="13">
        <f>SUM(arboles!F524:F532)</f>
        <v>5</v>
      </c>
      <c r="AD39" s="17"/>
      <c r="AE39" s="18"/>
      <c r="AF39" s="17"/>
    </row>
    <row r="40">
      <c r="A40" s="9">
        <v>39.0</v>
      </c>
      <c r="B40" s="33" t="s">
        <v>80</v>
      </c>
      <c r="C40" s="10">
        <v>2.0</v>
      </c>
      <c r="D40" s="11">
        <v>99.0</v>
      </c>
      <c r="E40" s="12" t="s">
        <v>105</v>
      </c>
      <c r="F40" s="12" t="s">
        <v>106</v>
      </c>
      <c r="G40" s="12">
        <v>425.6</v>
      </c>
      <c r="H40" s="10">
        <v>2.0</v>
      </c>
      <c r="I40" s="10">
        <v>5.4</v>
      </c>
      <c r="J40" s="10">
        <v>5.0</v>
      </c>
      <c r="K40" s="10">
        <v>5.2</v>
      </c>
      <c r="L40" s="10">
        <f t="shared" si="1"/>
        <v>15.6</v>
      </c>
      <c r="M40" s="10">
        <v>7.0</v>
      </c>
      <c r="N40" s="10">
        <v>1.0</v>
      </c>
      <c r="O40" s="14">
        <v>3.0</v>
      </c>
      <c r="P40" s="15">
        <v>1.0</v>
      </c>
      <c r="Q40" s="16">
        <v>0.0</v>
      </c>
      <c r="R40" s="10">
        <v>2.0</v>
      </c>
      <c r="S40" s="13"/>
      <c r="T40" s="13"/>
      <c r="U40" s="10">
        <v>1.0</v>
      </c>
      <c r="V40" s="10">
        <v>1.0</v>
      </c>
      <c r="W40" s="10">
        <v>3.0</v>
      </c>
      <c r="X40" s="13">
        <v>4.0</v>
      </c>
      <c r="Y40" s="13">
        <v>15.0</v>
      </c>
      <c r="Z40" s="13">
        <v>0.0</v>
      </c>
      <c r="AA40" s="13">
        <f>AVERAGE(arboles!E414)</f>
        <v>2</v>
      </c>
      <c r="AB40" s="13">
        <f>AVERAGE(arboles!F414)</f>
        <v>1</v>
      </c>
      <c r="AC40" s="13">
        <f>SUM(arboles!F414)</f>
        <v>1</v>
      </c>
      <c r="AD40" s="17"/>
      <c r="AE40" s="18"/>
      <c r="AF40" s="17"/>
    </row>
    <row r="41">
      <c r="A41" s="9">
        <v>40.0</v>
      </c>
      <c r="B41" s="33" t="s">
        <v>80</v>
      </c>
      <c r="C41" s="10">
        <v>2.0</v>
      </c>
      <c r="D41" s="11">
        <v>101.0</v>
      </c>
      <c r="E41" s="12" t="s">
        <v>107</v>
      </c>
      <c r="F41" s="12" t="s">
        <v>108</v>
      </c>
      <c r="G41" s="12">
        <v>425.9</v>
      </c>
      <c r="H41" s="10">
        <v>2.0</v>
      </c>
      <c r="I41" s="10">
        <v>8.2</v>
      </c>
      <c r="J41" s="10">
        <v>5.6</v>
      </c>
      <c r="K41" s="13">
        <f>(16+3)/5</f>
        <v>3.8</v>
      </c>
      <c r="L41" s="10">
        <f t="shared" si="1"/>
        <v>17.6</v>
      </c>
      <c r="M41" s="10">
        <v>65.0</v>
      </c>
      <c r="N41" s="10">
        <v>1.0</v>
      </c>
      <c r="O41" s="14">
        <v>0.0</v>
      </c>
      <c r="P41" s="15">
        <v>0.0</v>
      </c>
      <c r="Q41" s="16">
        <v>0.0</v>
      </c>
      <c r="R41" s="10">
        <v>1.0</v>
      </c>
      <c r="S41" s="13"/>
      <c r="T41" s="13"/>
      <c r="U41" s="10">
        <v>3.0</v>
      </c>
      <c r="V41" s="10">
        <v>1.0</v>
      </c>
      <c r="W41" s="10">
        <v>2.0</v>
      </c>
      <c r="X41" s="13">
        <v>4.0</v>
      </c>
      <c r="Y41" s="13">
        <v>25.716407775231307</v>
      </c>
      <c r="Z41" s="13">
        <v>0.0</v>
      </c>
      <c r="AA41" s="13">
        <f>AVERAGE(arboles!E439:E441)</f>
        <v>1</v>
      </c>
      <c r="AB41" s="13">
        <f>AVERAGE(arboles!F439:F441)</f>
        <v>0.3333333333</v>
      </c>
      <c r="AC41" s="13">
        <f>SUM(arboles!F439:F441)</f>
        <v>1</v>
      </c>
      <c r="AD41" s="17"/>
      <c r="AE41" s="18"/>
      <c r="AF41" s="17"/>
    </row>
    <row r="42">
      <c r="A42" s="9">
        <v>41.0</v>
      </c>
      <c r="B42" s="33" t="s">
        <v>80</v>
      </c>
      <c r="C42" s="10">
        <v>2.0</v>
      </c>
      <c r="D42" s="11">
        <v>102.0</v>
      </c>
      <c r="E42" s="12" t="s">
        <v>109</v>
      </c>
      <c r="F42" s="12" t="s">
        <v>110</v>
      </c>
      <c r="G42" s="12">
        <v>429.4</v>
      </c>
      <c r="H42" s="10">
        <v>2.0</v>
      </c>
      <c r="I42" s="10">
        <v>11.2</v>
      </c>
      <c r="J42" s="10">
        <v>12.8</v>
      </c>
      <c r="K42" s="10">
        <v>3.8</v>
      </c>
      <c r="L42" s="10">
        <f t="shared" si="1"/>
        <v>27.8</v>
      </c>
      <c r="M42" s="10">
        <v>111.0</v>
      </c>
      <c r="N42" s="10">
        <v>1.0</v>
      </c>
      <c r="O42" s="14">
        <v>0.0</v>
      </c>
      <c r="P42" s="15">
        <v>0.0</v>
      </c>
      <c r="Q42" s="16">
        <v>0.0</v>
      </c>
      <c r="R42" s="10">
        <v>3.0</v>
      </c>
      <c r="S42" s="13"/>
      <c r="T42" s="13"/>
      <c r="U42" s="10">
        <v>5.0</v>
      </c>
      <c r="V42" s="10">
        <v>3.0</v>
      </c>
      <c r="W42" s="10">
        <v>2.0</v>
      </c>
      <c r="X42" s="13">
        <v>4.0</v>
      </c>
      <c r="Y42" s="13">
        <v>42.27914438502673</v>
      </c>
      <c r="Z42" s="13">
        <v>2.0</v>
      </c>
      <c r="AA42" s="13">
        <f>AVERAGE(arboles!E446:E450)</f>
        <v>1.4</v>
      </c>
      <c r="AB42" s="13">
        <f>AVERAGE(arboles!F446:F450)</f>
        <v>0.8</v>
      </c>
      <c r="AC42" s="13">
        <f>SUM(arboles!F446:F450)</f>
        <v>4</v>
      </c>
      <c r="AD42" s="17"/>
      <c r="AE42" s="18"/>
      <c r="AF42" s="17"/>
    </row>
    <row r="43">
      <c r="A43" s="9">
        <v>42.0</v>
      </c>
      <c r="B43" s="33" t="s">
        <v>80</v>
      </c>
      <c r="C43" s="10">
        <v>2.0</v>
      </c>
      <c r="D43" s="11">
        <v>103.0</v>
      </c>
      <c r="E43" s="12" t="s">
        <v>111</v>
      </c>
      <c r="F43" s="12" t="s">
        <v>112</v>
      </c>
      <c r="G43" s="12">
        <v>430.0</v>
      </c>
      <c r="H43" s="10">
        <v>1.0</v>
      </c>
      <c r="I43" s="39">
        <v>2.0</v>
      </c>
      <c r="J43" s="10">
        <v>4.0</v>
      </c>
      <c r="K43" s="10">
        <v>4.8</v>
      </c>
      <c r="L43" s="10">
        <f t="shared" si="1"/>
        <v>10.8</v>
      </c>
      <c r="M43" s="10">
        <v>4.0</v>
      </c>
      <c r="N43" s="10">
        <v>1.0</v>
      </c>
      <c r="O43" s="14">
        <v>0.0</v>
      </c>
      <c r="P43" s="15">
        <v>0.0</v>
      </c>
      <c r="Q43" s="16">
        <v>0.0</v>
      </c>
      <c r="R43" s="10">
        <v>2.0</v>
      </c>
      <c r="S43" s="13"/>
      <c r="T43" s="13"/>
      <c r="U43" s="10">
        <v>9.0</v>
      </c>
      <c r="V43" s="10">
        <v>1.0</v>
      </c>
      <c r="W43" s="10">
        <v>2.0</v>
      </c>
      <c r="X43" s="13">
        <v>2.0</v>
      </c>
      <c r="Y43" s="13">
        <v>35.14144243556008</v>
      </c>
      <c r="Z43" s="13">
        <v>3.0</v>
      </c>
      <c r="AA43" s="13">
        <f>AVERAGE(arboles!E506:E514)</f>
        <v>1.444444444</v>
      </c>
      <c r="AB43" s="13">
        <f>AVERAGE(arboles!F506:F514)</f>
        <v>0.7777777778</v>
      </c>
      <c r="AC43" s="13">
        <f>SUM(arboles!F506:F514)</f>
        <v>7</v>
      </c>
      <c r="AD43" s="17"/>
      <c r="AE43" s="18"/>
      <c r="AF43" s="17"/>
    </row>
    <row r="44">
      <c r="A44" s="9">
        <v>43.0</v>
      </c>
      <c r="B44" s="33" t="s">
        <v>80</v>
      </c>
      <c r="C44" s="10">
        <v>2.0</v>
      </c>
      <c r="D44" s="11">
        <v>104.0</v>
      </c>
      <c r="E44" s="12" t="s">
        <v>113</v>
      </c>
      <c r="F44" s="12" t="s">
        <v>114</v>
      </c>
      <c r="G44" s="12">
        <v>428.2</v>
      </c>
      <c r="H44" s="10">
        <v>1.0</v>
      </c>
      <c r="I44" s="39">
        <v>5.4</v>
      </c>
      <c r="J44" s="10">
        <v>3.8</v>
      </c>
      <c r="K44" s="10">
        <v>1.6</v>
      </c>
      <c r="L44" s="10">
        <f t="shared" si="1"/>
        <v>10.8</v>
      </c>
      <c r="M44" s="10">
        <v>0.0</v>
      </c>
      <c r="N44" s="10">
        <v>0.0</v>
      </c>
      <c r="O44" s="14">
        <v>0.0</v>
      </c>
      <c r="P44" s="15">
        <v>0.0</v>
      </c>
      <c r="Q44" s="16">
        <v>1.0</v>
      </c>
      <c r="R44" s="10">
        <v>1.0</v>
      </c>
      <c r="S44" s="13"/>
      <c r="T44" s="13"/>
      <c r="U44" s="10">
        <v>8.0</v>
      </c>
      <c r="V44" s="10">
        <v>2.0</v>
      </c>
      <c r="W44" s="10">
        <v>3.0</v>
      </c>
      <c r="X44" s="13">
        <v>3.0</v>
      </c>
      <c r="Y44" s="13">
        <v>50.088610898905024</v>
      </c>
      <c r="Z44" s="13">
        <v>15.0</v>
      </c>
      <c r="AA44" s="13">
        <f>AVERAGE(arboles!E516:E523)</f>
        <v>2</v>
      </c>
      <c r="AB44" s="13">
        <f>AVERAGE(arboles!F516:F523)</f>
        <v>0.5</v>
      </c>
      <c r="AC44" s="13">
        <f>SUM(arboles!F516:F523)</f>
        <v>4</v>
      </c>
      <c r="AD44" s="17"/>
      <c r="AE44" s="18"/>
      <c r="AF44" s="17"/>
    </row>
    <row r="45">
      <c r="A45" s="9">
        <v>44.0</v>
      </c>
      <c r="B45" s="33" t="s">
        <v>80</v>
      </c>
      <c r="C45" s="10">
        <v>2.0</v>
      </c>
      <c r="D45" s="11">
        <v>105.0</v>
      </c>
      <c r="E45" s="12" t="s">
        <v>115</v>
      </c>
      <c r="F45" s="12" t="s">
        <v>116</v>
      </c>
      <c r="G45" s="12">
        <v>429.2</v>
      </c>
      <c r="H45" s="10">
        <v>1.0</v>
      </c>
      <c r="I45" s="10">
        <v>3.6</v>
      </c>
      <c r="J45" s="10">
        <v>5.0</v>
      </c>
      <c r="K45" s="10">
        <v>2.2</v>
      </c>
      <c r="L45" s="10">
        <f t="shared" si="1"/>
        <v>10.8</v>
      </c>
      <c r="M45" s="10">
        <v>14.0</v>
      </c>
      <c r="N45" s="10">
        <v>1.0</v>
      </c>
      <c r="O45" s="14">
        <v>0.0</v>
      </c>
      <c r="P45" s="15">
        <v>1.0</v>
      </c>
      <c r="Q45" s="16">
        <v>0.0</v>
      </c>
      <c r="R45" s="10">
        <v>2.0</v>
      </c>
      <c r="S45" s="13"/>
      <c r="T45" s="13"/>
      <c r="U45" s="10">
        <v>6.0</v>
      </c>
      <c r="V45" s="10">
        <v>1.0</v>
      </c>
      <c r="W45" s="10">
        <v>4.0</v>
      </c>
      <c r="X45" s="13">
        <v>4.0</v>
      </c>
      <c r="Y45" s="13">
        <v>41.21089041677277</v>
      </c>
      <c r="Z45" s="13">
        <v>0.0</v>
      </c>
      <c r="AA45" s="13">
        <f>AVERAGE(arboles!E415:E420)</f>
        <v>1.5</v>
      </c>
      <c r="AB45" s="13">
        <f>AVERAGE(arboles!F415:F420)</f>
        <v>0.8333333333</v>
      </c>
      <c r="AC45" s="13">
        <f>SUM(arboles!F415:F420)</f>
        <v>5</v>
      </c>
      <c r="AD45" s="17"/>
      <c r="AE45" s="18"/>
      <c r="AF45" s="17"/>
    </row>
    <row r="46">
      <c r="A46" s="9">
        <v>45.0</v>
      </c>
      <c r="B46" s="33" t="s">
        <v>80</v>
      </c>
      <c r="C46" s="10">
        <v>2.0</v>
      </c>
      <c r="D46" s="11">
        <v>106.0</v>
      </c>
      <c r="E46" s="12" t="s">
        <v>117</v>
      </c>
      <c r="F46" s="12" t="s">
        <v>118</v>
      </c>
      <c r="G46" s="12">
        <v>433.6</v>
      </c>
      <c r="H46" s="10">
        <v>1.0</v>
      </c>
      <c r="I46" s="10">
        <v>2.4</v>
      </c>
      <c r="J46" s="10">
        <v>2.0</v>
      </c>
      <c r="K46" s="10">
        <v>1.8</v>
      </c>
      <c r="L46" s="10">
        <f t="shared" si="1"/>
        <v>6.2</v>
      </c>
      <c r="M46" s="10">
        <v>0.0</v>
      </c>
      <c r="N46" s="10">
        <v>0.0</v>
      </c>
      <c r="O46" s="14">
        <v>0.0</v>
      </c>
      <c r="P46" s="15">
        <v>1.0</v>
      </c>
      <c r="Q46" s="16">
        <v>0.0</v>
      </c>
      <c r="R46" s="10">
        <v>3.0</v>
      </c>
      <c r="S46" s="13"/>
      <c r="T46" s="13"/>
      <c r="U46" s="10">
        <v>6.0</v>
      </c>
      <c r="V46" s="10">
        <v>2.0</v>
      </c>
      <c r="W46" s="10">
        <v>2.0</v>
      </c>
      <c r="X46" s="13">
        <v>3.0</v>
      </c>
      <c r="Y46" s="13">
        <v>26.322026992615225</v>
      </c>
      <c r="Z46" s="13">
        <v>0.0</v>
      </c>
      <c r="AA46" s="13">
        <f>AVERAGE(arboles!E467:E472)</f>
        <v>1.666666667</v>
      </c>
      <c r="AB46" s="13">
        <f>AVERAGE(arboles!F467:F472)</f>
        <v>1</v>
      </c>
      <c r="AC46" s="13">
        <f>SUM(arboles!F467:F472)</f>
        <v>6</v>
      </c>
      <c r="AD46" s="17"/>
      <c r="AE46" s="18"/>
      <c r="AF46" s="17"/>
    </row>
    <row r="47">
      <c r="A47" s="9">
        <v>46.0</v>
      </c>
      <c r="B47" s="33" t="s">
        <v>80</v>
      </c>
      <c r="C47" s="10">
        <v>2.0</v>
      </c>
      <c r="D47" s="11">
        <v>108.0</v>
      </c>
      <c r="E47" s="12" t="s">
        <v>119</v>
      </c>
      <c r="F47" s="12" t="s">
        <v>108</v>
      </c>
      <c r="G47" s="12">
        <v>431.3</v>
      </c>
      <c r="H47" s="10">
        <v>1.0</v>
      </c>
      <c r="I47" s="10">
        <v>3.0</v>
      </c>
      <c r="J47" s="10">
        <v>2.4</v>
      </c>
      <c r="K47" s="10">
        <v>4.0</v>
      </c>
      <c r="L47" s="10">
        <f t="shared" si="1"/>
        <v>9.4</v>
      </c>
      <c r="M47" s="10">
        <v>0.0</v>
      </c>
      <c r="N47" s="10">
        <v>0.0</v>
      </c>
      <c r="O47" s="14">
        <v>0.0</v>
      </c>
      <c r="P47" s="15">
        <v>1.0</v>
      </c>
      <c r="Q47" s="16">
        <v>0.0</v>
      </c>
      <c r="R47" s="10">
        <v>1.0</v>
      </c>
      <c r="S47" s="13"/>
      <c r="T47" s="13"/>
      <c r="U47" s="10">
        <v>4.0</v>
      </c>
      <c r="V47" s="10">
        <v>1.0</v>
      </c>
      <c r="W47" s="10">
        <v>2.0</v>
      </c>
      <c r="X47" s="13">
        <v>2.0</v>
      </c>
      <c r="Y47" s="13">
        <v>49.80392156862745</v>
      </c>
      <c r="Z47" s="13">
        <v>0.0</v>
      </c>
      <c r="AA47" s="13">
        <f>AVERAGE(arboles!E442:E445)</f>
        <v>1.25</v>
      </c>
      <c r="AB47" s="13">
        <f>AVERAGE(arboles!F442:F445)</f>
        <v>0.5</v>
      </c>
      <c r="AC47" s="13">
        <f>SUM(arboles!F442:F445)</f>
        <v>2</v>
      </c>
      <c r="AD47" s="17"/>
      <c r="AE47" s="18"/>
      <c r="AF47" s="17"/>
    </row>
    <row r="48">
      <c r="A48" s="9">
        <v>47.0</v>
      </c>
      <c r="B48" s="33" t="s">
        <v>80</v>
      </c>
      <c r="C48" s="10">
        <v>2.0</v>
      </c>
      <c r="D48" s="11">
        <v>109.0</v>
      </c>
      <c r="E48" s="12" t="s">
        <v>120</v>
      </c>
      <c r="F48" s="12" t="s">
        <v>121</v>
      </c>
      <c r="G48" s="12">
        <v>430.6</v>
      </c>
      <c r="H48" s="10">
        <v>1.0</v>
      </c>
      <c r="I48" s="39">
        <v>2.6</v>
      </c>
      <c r="J48" s="10">
        <v>2.0</v>
      </c>
      <c r="K48" s="10">
        <v>5.2</v>
      </c>
      <c r="L48" s="10">
        <f t="shared" si="1"/>
        <v>9.8</v>
      </c>
      <c r="M48" s="10">
        <v>0.0</v>
      </c>
      <c r="N48" s="10">
        <v>0.0</v>
      </c>
      <c r="O48" s="14">
        <v>0.0</v>
      </c>
      <c r="P48" s="15">
        <v>0.0</v>
      </c>
      <c r="Q48" s="16">
        <v>0.0</v>
      </c>
      <c r="R48" s="10">
        <v>2.0</v>
      </c>
      <c r="S48" s="13"/>
      <c r="T48" s="13"/>
      <c r="U48" s="10">
        <v>1.0</v>
      </c>
      <c r="V48" s="10">
        <v>1.0</v>
      </c>
      <c r="W48" s="10">
        <v>4.0</v>
      </c>
      <c r="X48" s="13">
        <v>4.0</v>
      </c>
      <c r="Y48" s="13">
        <v>47.10975299210593</v>
      </c>
      <c r="Z48" s="13">
        <v>0.0</v>
      </c>
      <c r="AA48" s="13">
        <f>AVERAGE(arboles!E515)</f>
        <v>1</v>
      </c>
      <c r="AB48" s="13">
        <f>AVERAGE(arboles!F515)</f>
        <v>1</v>
      </c>
      <c r="AC48" s="13">
        <f>SUM(arboles!F515)</f>
        <v>1</v>
      </c>
      <c r="AD48" s="17"/>
      <c r="AE48" s="18"/>
      <c r="AF48" s="17"/>
    </row>
    <row r="49">
      <c r="A49" s="9">
        <v>48.0</v>
      </c>
      <c r="B49" s="33" t="s">
        <v>80</v>
      </c>
      <c r="C49" s="10">
        <v>2.0</v>
      </c>
      <c r="D49" s="11">
        <v>110.0</v>
      </c>
      <c r="E49" s="12" t="s">
        <v>122</v>
      </c>
      <c r="F49" s="12" t="s">
        <v>123</v>
      </c>
      <c r="G49" s="12">
        <v>429.8</v>
      </c>
      <c r="H49" s="10">
        <v>1.0</v>
      </c>
      <c r="I49" s="39">
        <v>1.4</v>
      </c>
      <c r="J49" s="10">
        <v>1.0</v>
      </c>
      <c r="K49" s="10">
        <v>4.0</v>
      </c>
      <c r="L49" s="10">
        <f t="shared" si="1"/>
        <v>6.4</v>
      </c>
      <c r="M49" s="10">
        <v>0.0</v>
      </c>
      <c r="N49" s="10">
        <v>0.0</v>
      </c>
      <c r="O49" s="14">
        <v>0.0</v>
      </c>
      <c r="P49" s="15">
        <v>0.0</v>
      </c>
      <c r="Q49" s="16">
        <v>1.0</v>
      </c>
      <c r="R49" s="10">
        <v>2.0</v>
      </c>
      <c r="S49" s="13"/>
      <c r="T49" s="13"/>
      <c r="U49" s="10">
        <v>6.0</v>
      </c>
      <c r="V49" s="10">
        <v>2.0</v>
      </c>
      <c r="W49" s="10">
        <v>2.0</v>
      </c>
      <c r="X49" s="10">
        <v>2.0</v>
      </c>
      <c r="Y49" s="13">
        <v>38.54787369493252</v>
      </c>
      <c r="Z49" s="13">
        <v>2.0</v>
      </c>
      <c r="AA49" s="13">
        <f>AVERAGE(arboles!E533:E538)</f>
        <v>1.5</v>
      </c>
      <c r="AB49" s="13">
        <f>AVERAGE(arboles!F533:F538)</f>
        <v>0.8333333333</v>
      </c>
      <c r="AC49" s="13">
        <f>SUM(arboles!F533:F538)</f>
        <v>5</v>
      </c>
      <c r="AD49" s="17"/>
      <c r="AE49" s="18"/>
      <c r="AF49" s="17"/>
    </row>
    <row r="50">
      <c r="A50" s="9">
        <v>49.0</v>
      </c>
      <c r="B50" s="33" t="s">
        <v>80</v>
      </c>
      <c r="C50" s="10">
        <v>2.0</v>
      </c>
      <c r="D50" s="11">
        <v>111.0</v>
      </c>
      <c r="E50" s="12" t="s">
        <v>124</v>
      </c>
      <c r="F50" s="12" t="s">
        <v>125</v>
      </c>
      <c r="G50" s="12">
        <v>426.1</v>
      </c>
      <c r="H50" s="10">
        <v>2.0</v>
      </c>
      <c r="I50" s="39">
        <v>1.6</v>
      </c>
      <c r="J50" s="10">
        <v>1.4</v>
      </c>
      <c r="K50" s="10">
        <v>1.6</v>
      </c>
      <c r="L50" s="10">
        <f t="shared" si="1"/>
        <v>4.6</v>
      </c>
      <c r="M50" s="10">
        <v>0.0</v>
      </c>
      <c r="N50" s="10">
        <v>0.0</v>
      </c>
      <c r="O50" s="14">
        <v>0.0</v>
      </c>
      <c r="P50" s="15">
        <v>0.0</v>
      </c>
      <c r="Q50" s="16">
        <v>0.0</v>
      </c>
      <c r="R50" s="10">
        <v>2.0</v>
      </c>
      <c r="S50" s="13"/>
      <c r="T50" s="13"/>
      <c r="U50" s="10">
        <v>1.0</v>
      </c>
      <c r="V50" s="10">
        <v>1.0</v>
      </c>
      <c r="W50" s="10">
        <v>3.0</v>
      </c>
      <c r="X50" s="13">
        <v>4.0</v>
      </c>
      <c r="Y50" s="13">
        <v>64.0</v>
      </c>
      <c r="Z50" s="13">
        <v>0.0</v>
      </c>
      <c r="AA50" s="13">
        <f>AVERAGE(arboles!E505)</f>
        <v>1</v>
      </c>
      <c r="AB50" s="13">
        <f>AVERAGE(arboles!F505)</f>
        <v>0</v>
      </c>
      <c r="AC50" s="13">
        <f>SUM(arboles!F505)</f>
        <v>0</v>
      </c>
      <c r="AD50" s="17"/>
      <c r="AE50" s="18"/>
      <c r="AF50" s="17"/>
    </row>
    <row r="51">
      <c r="A51" s="9">
        <v>50.0</v>
      </c>
      <c r="B51" s="33" t="s">
        <v>80</v>
      </c>
      <c r="C51" s="10">
        <v>2.0</v>
      </c>
      <c r="D51" s="11">
        <v>112.0</v>
      </c>
      <c r="E51" s="12" t="s">
        <v>126</v>
      </c>
      <c r="F51" s="12" t="s">
        <v>127</v>
      </c>
      <c r="G51" s="12">
        <v>425.4</v>
      </c>
      <c r="H51" s="10">
        <v>2.0</v>
      </c>
      <c r="I51" s="39">
        <v>4.6</v>
      </c>
      <c r="J51" s="10">
        <v>4.2</v>
      </c>
      <c r="K51" s="10">
        <v>1.2</v>
      </c>
      <c r="L51" s="10">
        <f t="shared" si="1"/>
        <v>10</v>
      </c>
      <c r="M51" s="10">
        <v>0.0</v>
      </c>
      <c r="N51" s="10">
        <v>0.0</v>
      </c>
      <c r="O51" s="14">
        <v>0.0</v>
      </c>
      <c r="P51" s="15">
        <v>1.0</v>
      </c>
      <c r="Q51" s="16">
        <v>0.0</v>
      </c>
      <c r="R51" s="10">
        <v>2.0</v>
      </c>
      <c r="S51" s="13"/>
      <c r="T51" s="13"/>
      <c r="U51" s="10">
        <v>2.0</v>
      </c>
      <c r="V51" s="10">
        <v>1.0</v>
      </c>
      <c r="W51" s="10">
        <v>4.0</v>
      </c>
      <c r="X51" s="13">
        <v>4.0</v>
      </c>
      <c r="Y51" s="13">
        <v>77.5</v>
      </c>
      <c r="Z51" s="13">
        <v>2.0</v>
      </c>
      <c r="AA51" s="13">
        <f>AVERAGE(arboles!E503:E504)</f>
        <v>1.5</v>
      </c>
      <c r="AB51" s="13">
        <f>AVERAGE(arboles!F503:F504)</f>
        <v>1</v>
      </c>
      <c r="AC51" s="13">
        <f>SUM(arboles!F503:F504)</f>
        <v>2</v>
      </c>
      <c r="AD51" s="17"/>
      <c r="AE51" s="18"/>
      <c r="AF51" s="17"/>
    </row>
    <row r="52">
      <c r="A52" s="9">
        <v>51.0</v>
      </c>
      <c r="B52" s="33" t="s">
        <v>80</v>
      </c>
      <c r="C52" s="10">
        <v>2.0</v>
      </c>
      <c r="D52" s="11">
        <v>114.0</v>
      </c>
      <c r="E52" s="12" t="s">
        <v>128</v>
      </c>
      <c r="F52" s="12" t="s">
        <v>129</v>
      </c>
      <c r="G52" s="12">
        <v>406.4</v>
      </c>
      <c r="H52" s="10">
        <v>2.0</v>
      </c>
      <c r="I52" s="39">
        <v>1.2</v>
      </c>
      <c r="J52" s="10">
        <v>3.4</v>
      </c>
      <c r="K52" s="10">
        <v>2.2</v>
      </c>
      <c r="L52" s="10">
        <f t="shared" si="1"/>
        <v>6.8</v>
      </c>
      <c r="M52" s="10">
        <v>1.0</v>
      </c>
      <c r="N52" s="10">
        <v>1.0</v>
      </c>
      <c r="O52" s="14">
        <v>0.0</v>
      </c>
      <c r="P52" s="15">
        <v>0.0</v>
      </c>
      <c r="Q52" s="16">
        <v>0.0</v>
      </c>
      <c r="R52" s="10">
        <v>3.0</v>
      </c>
      <c r="S52" s="13"/>
      <c r="T52" s="13"/>
      <c r="U52" s="10">
        <v>6.0</v>
      </c>
      <c r="V52" s="10">
        <v>1.0</v>
      </c>
      <c r="W52" s="10">
        <v>0.0</v>
      </c>
      <c r="X52" s="13">
        <v>1.0</v>
      </c>
      <c r="Y52" s="13">
        <v>43.13385960444784</v>
      </c>
      <c r="Z52" s="13">
        <v>2.0</v>
      </c>
      <c r="AA52" s="13">
        <f>AVERAGE(arboles!E497:E502)</f>
        <v>1.5</v>
      </c>
      <c r="AB52" s="13">
        <f>AVERAGE(arboles!F497:F502)</f>
        <v>1</v>
      </c>
      <c r="AC52" s="13">
        <f>SUM(arboles!F497:F502)</f>
        <v>6</v>
      </c>
      <c r="AD52" s="17"/>
      <c r="AE52" s="18"/>
      <c r="AF52" s="17"/>
    </row>
    <row r="53">
      <c r="A53" s="9">
        <v>52.0</v>
      </c>
      <c r="B53" s="33" t="s">
        <v>80</v>
      </c>
      <c r="C53" s="10">
        <v>2.0</v>
      </c>
      <c r="D53" s="11">
        <v>115.0</v>
      </c>
      <c r="E53" s="12" t="s">
        <v>130</v>
      </c>
      <c r="F53" s="12" t="s">
        <v>131</v>
      </c>
      <c r="G53" s="12">
        <v>411.3</v>
      </c>
      <c r="H53" s="10">
        <v>2.0</v>
      </c>
      <c r="I53" s="39">
        <v>3.2</v>
      </c>
      <c r="J53" s="10">
        <v>0.0</v>
      </c>
      <c r="K53" s="10">
        <v>1.8</v>
      </c>
      <c r="L53" s="10">
        <f t="shared" si="1"/>
        <v>5</v>
      </c>
      <c r="M53" s="10">
        <v>0.0</v>
      </c>
      <c r="N53" s="10">
        <v>1.0</v>
      </c>
      <c r="O53" s="14">
        <v>0.0</v>
      </c>
      <c r="P53" s="15">
        <v>0.0</v>
      </c>
      <c r="Q53" s="16">
        <v>0.0</v>
      </c>
      <c r="R53" s="10">
        <v>4.0</v>
      </c>
      <c r="S53" s="13"/>
      <c r="T53" s="13"/>
      <c r="U53" s="10">
        <v>5.0</v>
      </c>
      <c r="V53" s="10">
        <v>1.0</v>
      </c>
      <c r="W53" s="10">
        <v>2.0</v>
      </c>
      <c r="X53" s="13">
        <v>2.0</v>
      </c>
      <c r="Y53" s="13">
        <v>46.75833969951617</v>
      </c>
      <c r="Z53" s="13">
        <v>5.0</v>
      </c>
      <c r="AA53" s="13">
        <f>AVERAGE(arboles!E492:E496)</f>
        <v>1.6</v>
      </c>
      <c r="AB53" s="13">
        <f>AVERAGE(arboles!F492:F496)</f>
        <v>1</v>
      </c>
      <c r="AC53" s="13">
        <f>SUM(arboles!F492:F496)</f>
        <v>5</v>
      </c>
      <c r="AD53" s="17"/>
      <c r="AE53" s="18"/>
      <c r="AF53" s="17"/>
    </row>
    <row r="54">
      <c r="A54" s="9">
        <v>53.0</v>
      </c>
      <c r="B54" s="33" t="s">
        <v>80</v>
      </c>
      <c r="C54" s="10">
        <v>2.0</v>
      </c>
      <c r="D54" s="11">
        <v>117.0</v>
      </c>
      <c r="E54" s="12" t="s">
        <v>132</v>
      </c>
      <c r="F54" s="12" t="s">
        <v>133</v>
      </c>
      <c r="G54" s="12">
        <v>403.6</v>
      </c>
      <c r="H54" s="10">
        <v>2.0</v>
      </c>
      <c r="I54" s="39">
        <v>1.4</v>
      </c>
      <c r="J54" s="10">
        <v>1.2</v>
      </c>
      <c r="K54" s="10">
        <v>1.0</v>
      </c>
      <c r="L54" s="10">
        <f t="shared" si="1"/>
        <v>3.6</v>
      </c>
      <c r="M54" s="10">
        <v>0.0</v>
      </c>
      <c r="N54" s="10">
        <v>1.0</v>
      </c>
      <c r="O54" s="14">
        <v>0.0</v>
      </c>
      <c r="P54" s="15">
        <v>1.0</v>
      </c>
      <c r="Q54" s="16">
        <v>0.0</v>
      </c>
      <c r="R54" s="10">
        <v>3.0</v>
      </c>
      <c r="S54" s="13"/>
      <c r="T54" s="13"/>
      <c r="U54" s="10">
        <v>8.0</v>
      </c>
      <c r="V54" s="10">
        <v>3.0</v>
      </c>
      <c r="W54" s="10">
        <v>3.0</v>
      </c>
      <c r="X54" s="13">
        <v>3.0</v>
      </c>
      <c r="Y54" s="13">
        <v>36.452667430608614</v>
      </c>
      <c r="Z54" s="13">
        <v>6.0</v>
      </c>
      <c r="AA54" s="13">
        <f>AVERAGE(arboles!E484:E491)</f>
        <v>1.375</v>
      </c>
      <c r="AB54" s="13">
        <f>AVERAGE(arboles!F484:F491)</f>
        <v>0.5</v>
      </c>
      <c r="AC54" s="13">
        <f>SUM(arboles!F484:F491)</f>
        <v>4</v>
      </c>
      <c r="AD54" s="17"/>
      <c r="AE54" s="18"/>
      <c r="AF54" s="17"/>
    </row>
    <row r="55">
      <c r="A55" s="9">
        <v>54.0</v>
      </c>
      <c r="B55" s="33" t="s">
        <v>80</v>
      </c>
      <c r="C55" s="10">
        <v>2.0</v>
      </c>
      <c r="D55" s="11">
        <v>118.0</v>
      </c>
      <c r="E55" s="12" t="s">
        <v>134</v>
      </c>
      <c r="F55" s="12" t="s">
        <v>135</v>
      </c>
      <c r="G55" s="12">
        <v>398.7</v>
      </c>
      <c r="H55" s="10">
        <v>2.0</v>
      </c>
      <c r="I55" s="10">
        <v>4.8</v>
      </c>
      <c r="J55" s="10">
        <v>3.4</v>
      </c>
      <c r="K55" s="10">
        <v>3.4</v>
      </c>
      <c r="L55" s="10">
        <f t="shared" si="1"/>
        <v>11.6</v>
      </c>
      <c r="M55" s="13">
        <f>7+9+11+12</f>
        <v>39</v>
      </c>
      <c r="N55" s="10">
        <v>1.0</v>
      </c>
      <c r="O55" s="14">
        <v>0.0</v>
      </c>
      <c r="P55" s="15">
        <v>1.0</v>
      </c>
      <c r="Q55" s="16">
        <v>0.0</v>
      </c>
      <c r="R55" s="10">
        <v>3.0</v>
      </c>
      <c r="S55" s="13"/>
      <c r="T55" s="13"/>
      <c r="U55" s="10">
        <v>11.0</v>
      </c>
      <c r="V55" s="10">
        <v>2.0</v>
      </c>
      <c r="W55" s="10">
        <v>2.0</v>
      </c>
      <c r="X55" s="13">
        <v>2.0</v>
      </c>
      <c r="Y55" s="13">
        <v>29.814848253350927</v>
      </c>
      <c r="Z55" s="13">
        <v>0.0</v>
      </c>
      <c r="AA55" s="13">
        <f>AVERAGE(arboles!E473:E483)</f>
        <v>1.090909091</v>
      </c>
      <c r="AB55" s="13">
        <f>AVERAGE(arboles!F473:F483)</f>
        <v>0</v>
      </c>
      <c r="AC55" s="13">
        <f>SUM(arboles!F473:F483)</f>
        <v>0</v>
      </c>
      <c r="AD55" s="17"/>
      <c r="AE55" s="18"/>
      <c r="AF55" s="17"/>
    </row>
    <row r="56">
      <c r="A56" s="9">
        <v>55.0</v>
      </c>
      <c r="B56" s="33" t="s">
        <v>80</v>
      </c>
      <c r="C56" s="10">
        <v>2.0</v>
      </c>
      <c r="D56" s="11">
        <v>119.0</v>
      </c>
      <c r="E56" s="12" t="s">
        <v>136</v>
      </c>
      <c r="F56" s="12" t="s">
        <v>137</v>
      </c>
      <c r="G56" s="12">
        <v>380.7</v>
      </c>
      <c r="H56" s="10">
        <v>2.0</v>
      </c>
      <c r="I56" s="10">
        <v>1.0</v>
      </c>
      <c r="J56" s="10">
        <v>1.2</v>
      </c>
      <c r="K56" s="10">
        <v>0.0</v>
      </c>
      <c r="L56" s="10">
        <f t="shared" si="1"/>
        <v>2.2</v>
      </c>
      <c r="M56" s="10">
        <v>0.0</v>
      </c>
      <c r="N56" s="10">
        <v>0.0</v>
      </c>
      <c r="O56" s="14">
        <v>0.0</v>
      </c>
      <c r="P56" s="15">
        <v>0.0</v>
      </c>
      <c r="Q56" s="16">
        <v>0.0</v>
      </c>
      <c r="R56" s="10">
        <v>2.0</v>
      </c>
      <c r="S56" s="13"/>
      <c r="T56" s="13"/>
      <c r="U56" s="10">
        <v>10.0</v>
      </c>
      <c r="V56" s="10">
        <v>2.0</v>
      </c>
      <c r="W56" s="10">
        <v>3.0</v>
      </c>
      <c r="X56" s="13">
        <v>3.0</v>
      </c>
      <c r="Y56" s="13">
        <v>35.994601476954415</v>
      </c>
      <c r="Z56" s="13">
        <v>2.0</v>
      </c>
      <c r="AA56" s="13">
        <f>AVERAGE(arboles!E457:E466)</f>
        <v>1.5</v>
      </c>
      <c r="AB56" s="13">
        <f>AVERAGE(arboles!F457:F466)</f>
        <v>0.1</v>
      </c>
      <c r="AC56" s="13">
        <f>SUM(arboles!F457:F466)</f>
        <v>1</v>
      </c>
      <c r="AD56" s="17"/>
      <c r="AE56" s="18"/>
      <c r="AF56" s="17"/>
    </row>
    <row r="57">
      <c r="A57" s="23">
        <v>56.0</v>
      </c>
      <c r="B57" s="40" t="s">
        <v>80</v>
      </c>
      <c r="C57" s="24">
        <v>2.0</v>
      </c>
      <c r="D57" s="25">
        <v>120.0</v>
      </c>
      <c r="E57" s="26" t="s">
        <v>138</v>
      </c>
      <c r="F57" s="26" t="s">
        <v>139</v>
      </c>
      <c r="G57" s="26">
        <v>384.9</v>
      </c>
      <c r="H57" s="24">
        <v>2.0</v>
      </c>
      <c r="I57" s="24">
        <v>2.0</v>
      </c>
      <c r="J57" s="24">
        <v>2.0</v>
      </c>
      <c r="K57" s="24">
        <v>4.2</v>
      </c>
      <c r="L57" s="10">
        <f t="shared" si="1"/>
        <v>8.2</v>
      </c>
      <c r="M57" s="24">
        <v>0.0</v>
      </c>
      <c r="N57" s="24">
        <v>0.0</v>
      </c>
      <c r="O57" s="28">
        <v>0.0</v>
      </c>
      <c r="P57" s="29">
        <v>0.0</v>
      </c>
      <c r="Q57" s="30">
        <v>0.0</v>
      </c>
      <c r="R57" s="24">
        <v>3.0</v>
      </c>
      <c r="S57" s="27"/>
      <c r="T57" s="27"/>
      <c r="U57" s="24">
        <v>6.0</v>
      </c>
      <c r="V57" s="24">
        <v>1.0</v>
      </c>
      <c r="W57" s="24">
        <v>4.0</v>
      </c>
      <c r="X57" s="27">
        <v>4.0</v>
      </c>
      <c r="Y57" s="27">
        <v>36.16723962312198</v>
      </c>
      <c r="Z57" s="27">
        <v>1.0</v>
      </c>
      <c r="AA57" s="27">
        <f>AVERAGE(arboles!E451:E456)</f>
        <v>1</v>
      </c>
      <c r="AB57" s="27">
        <f>AVERAGE(arboles!F451:F456)</f>
        <v>0.8333333333</v>
      </c>
      <c r="AC57" s="27">
        <f>SUM(arboles!F451:F456)</f>
        <v>5</v>
      </c>
      <c r="AD57" s="17"/>
      <c r="AE57" s="18"/>
      <c r="AF57" s="17"/>
    </row>
    <row r="58">
      <c r="A58" s="32">
        <v>57.0</v>
      </c>
      <c r="B58" s="33" t="s">
        <v>140</v>
      </c>
      <c r="C58" s="33">
        <v>3.0</v>
      </c>
      <c r="D58" s="34">
        <v>121.0</v>
      </c>
      <c r="E58" s="35" t="s">
        <v>141</v>
      </c>
      <c r="F58" s="35" t="s">
        <v>142</v>
      </c>
      <c r="G58" s="35">
        <v>1066.9</v>
      </c>
      <c r="H58" s="33">
        <v>1.0</v>
      </c>
      <c r="I58" s="33">
        <v>1.2</v>
      </c>
      <c r="J58" s="33">
        <v>3.4</v>
      </c>
      <c r="K58" s="33">
        <v>6.4</v>
      </c>
      <c r="L58" s="10">
        <f t="shared" si="1"/>
        <v>11</v>
      </c>
      <c r="M58" s="33">
        <v>36.0</v>
      </c>
      <c r="N58" s="33">
        <v>1.0</v>
      </c>
      <c r="O58" s="36">
        <v>0.0</v>
      </c>
      <c r="P58" s="15">
        <v>0.0</v>
      </c>
      <c r="Q58" s="37">
        <v>0.0</v>
      </c>
      <c r="R58" s="33">
        <v>3.0</v>
      </c>
      <c r="S58" s="38"/>
      <c r="T58" s="38"/>
      <c r="U58" s="33">
        <v>3.0</v>
      </c>
      <c r="V58" s="33">
        <v>1.0</v>
      </c>
      <c r="W58" s="33">
        <v>1.0</v>
      </c>
      <c r="X58" s="38">
        <v>1.0</v>
      </c>
      <c r="Y58" s="38">
        <v>15.172735760971056</v>
      </c>
      <c r="Z58" s="38">
        <v>0.0</v>
      </c>
      <c r="AA58" s="38">
        <f>AVERAGE(arboles!E304:E306)</f>
        <v>1</v>
      </c>
      <c r="AB58" s="38">
        <f>AVERAGE(arboles!F304:F306)</f>
        <v>0</v>
      </c>
      <c r="AC58" s="38">
        <f>SUM(arboles!F304:F306)</f>
        <v>0</v>
      </c>
      <c r="AD58" s="17"/>
      <c r="AE58" s="18"/>
      <c r="AF58" s="17"/>
    </row>
    <row r="59">
      <c r="A59" s="9">
        <v>58.0</v>
      </c>
      <c r="B59" s="33" t="s">
        <v>140</v>
      </c>
      <c r="C59" s="10">
        <v>3.0</v>
      </c>
      <c r="D59" s="11">
        <v>122.0</v>
      </c>
      <c r="E59" s="12" t="s">
        <v>143</v>
      </c>
      <c r="F59" s="12" t="s">
        <v>144</v>
      </c>
      <c r="G59" s="12">
        <v>1065.9</v>
      </c>
      <c r="H59" s="10">
        <v>1.0</v>
      </c>
      <c r="I59" s="10">
        <v>3.6</v>
      </c>
      <c r="J59" s="10">
        <v>2.4</v>
      </c>
      <c r="K59" s="10">
        <v>1.6</v>
      </c>
      <c r="L59" s="10">
        <f t="shared" si="1"/>
        <v>7.6</v>
      </c>
      <c r="M59" s="10">
        <v>1.0</v>
      </c>
      <c r="N59" s="10">
        <v>1.0</v>
      </c>
      <c r="O59" s="14">
        <v>0.0</v>
      </c>
      <c r="P59" s="15">
        <v>0.0</v>
      </c>
      <c r="Q59" s="16">
        <v>0.0</v>
      </c>
      <c r="R59" s="10">
        <v>3.0</v>
      </c>
      <c r="S59" s="13"/>
      <c r="T59" s="13"/>
      <c r="U59" s="10">
        <v>5.0</v>
      </c>
      <c r="V59" s="10">
        <v>1.0</v>
      </c>
      <c r="W59" s="10">
        <v>1.0</v>
      </c>
      <c r="X59" s="13">
        <v>1.0</v>
      </c>
      <c r="Y59" s="13">
        <v>23.093251846193024</v>
      </c>
      <c r="Z59" s="13">
        <v>0.0</v>
      </c>
      <c r="AA59" s="13">
        <f>AVERAGE(arboles!E311:E315)</f>
        <v>1.4</v>
      </c>
      <c r="AB59" s="13">
        <f>AVERAGE(arboles!F311:F315)</f>
        <v>0</v>
      </c>
      <c r="AC59" s="13">
        <f>SUM(arboles!F311:F315)</f>
        <v>0</v>
      </c>
      <c r="AD59" s="17"/>
      <c r="AE59" s="18"/>
      <c r="AF59" s="17"/>
    </row>
    <row r="60">
      <c r="A60" s="9">
        <v>59.0</v>
      </c>
      <c r="B60" s="33" t="s">
        <v>140</v>
      </c>
      <c r="C60" s="10">
        <v>3.0</v>
      </c>
      <c r="D60" s="11">
        <v>123.0</v>
      </c>
      <c r="E60" s="12" t="s">
        <v>145</v>
      </c>
      <c r="F60" s="12" t="s">
        <v>146</v>
      </c>
      <c r="G60" s="12">
        <v>1061.5</v>
      </c>
      <c r="H60" s="10">
        <v>1.0</v>
      </c>
      <c r="I60" s="10">
        <v>1.8</v>
      </c>
      <c r="J60" s="10">
        <v>0.6</v>
      </c>
      <c r="K60" s="10">
        <v>1.3</v>
      </c>
      <c r="L60" s="10">
        <f t="shared" si="1"/>
        <v>3.7</v>
      </c>
      <c r="M60" s="10">
        <v>10.0</v>
      </c>
      <c r="N60" s="10">
        <v>1.0</v>
      </c>
      <c r="O60" s="14">
        <v>0.0</v>
      </c>
      <c r="P60" s="15">
        <v>0.0</v>
      </c>
      <c r="Q60" s="16">
        <v>0.0</v>
      </c>
      <c r="R60" s="10">
        <v>3.0</v>
      </c>
      <c r="S60" s="13"/>
      <c r="T60" s="13"/>
      <c r="U60" s="10">
        <v>2.0</v>
      </c>
      <c r="V60" s="10">
        <v>1.0</v>
      </c>
      <c r="W60" s="10">
        <v>1.0</v>
      </c>
      <c r="X60" s="13">
        <v>1.0</v>
      </c>
      <c r="Y60" s="13">
        <v>20.40361599185129</v>
      </c>
      <c r="Z60" s="13">
        <v>0.0</v>
      </c>
      <c r="AA60" s="13">
        <f>AVERAGE(arboles!E302:E303)</f>
        <v>1</v>
      </c>
      <c r="AB60" s="13">
        <f>AVERAGE(arboles!F302:F303)</f>
        <v>0</v>
      </c>
      <c r="AC60" s="13">
        <f>SUM(arboles!F302:F303)</f>
        <v>0</v>
      </c>
      <c r="AD60" s="17"/>
      <c r="AE60" s="18"/>
      <c r="AF60" s="17"/>
    </row>
    <row r="61">
      <c r="A61" s="9">
        <v>60.0</v>
      </c>
      <c r="B61" s="33" t="s">
        <v>140</v>
      </c>
      <c r="C61" s="10">
        <v>3.0</v>
      </c>
      <c r="D61" s="11">
        <v>124.0</v>
      </c>
      <c r="E61" s="12" t="s">
        <v>147</v>
      </c>
      <c r="F61" s="12" t="s">
        <v>148</v>
      </c>
      <c r="G61" s="12">
        <v>1060.7</v>
      </c>
      <c r="H61" s="10">
        <v>1.0</v>
      </c>
      <c r="I61" s="10">
        <v>1.8</v>
      </c>
      <c r="J61" s="10">
        <v>2.0</v>
      </c>
      <c r="K61" s="10">
        <v>1.6</v>
      </c>
      <c r="L61" s="10">
        <f t="shared" si="1"/>
        <v>5.4</v>
      </c>
      <c r="M61" s="10">
        <v>5.0</v>
      </c>
      <c r="N61" s="10">
        <v>1.0</v>
      </c>
      <c r="O61" s="14">
        <v>0.0</v>
      </c>
      <c r="P61" s="15">
        <v>0.0</v>
      </c>
      <c r="Q61" s="16">
        <v>0.0</v>
      </c>
      <c r="R61" s="10">
        <v>1.0</v>
      </c>
      <c r="S61" s="13"/>
      <c r="T61" s="13"/>
      <c r="U61" s="10">
        <v>1.0</v>
      </c>
      <c r="V61" s="10">
        <v>1.0</v>
      </c>
      <c r="W61" s="10">
        <v>1.0</v>
      </c>
      <c r="X61" s="13">
        <v>1.0</v>
      </c>
      <c r="Y61" s="13">
        <v>110.0</v>
      </c>
      <c r="Z61" s="13">
        <v>0.0</v>
      </c>
      <c r="AA61" s="13">
        <f>AVERAGE(arboles!E268)</f>
        <v>3</v>
      </c>
      <c r="AB61" s="13">
        <f>AVERAGE(arboles!F268)</f>
        <v>0</v>
      </c>
      <c r="AC61" s="13">
        <f>SUM(arboles!F268)</f>
        <v>0</v>
      </c>
      <c r="AD61" s="17"/>
      <c r="AE61" s="18"/>
      <c r="AF61" s="17"/>
    </row>
    <row r="62">
      <c r="A62" s="9">
        <v>61.0</v>
      </c>
      <c r="B62" s="33" t="s">
        <v>140</v>
      </c>
      <c r="C62" s="10">
        <v>3.0</v>
      </c>
      <c r="D62" s="11">
        <v>125.0</v>
      </c>
      <c r="E62" s="12" t="s">
        <v>149</v>
      </c>
      <c r="F62" s="12" t="s">
        <v>150</v>
      </c>
      <c r="G62" s="12">
        <v>1068.2</v>
      </c>
      <c r="H62" s="10">
        <v>2.0</v>
      </c>
      <c r="I62" s="39">
        <v>4.2</v>
      </c>
      <c r="J62" s="10">
        <v>1.8</v>
      </c>
      <c r="K62" s="10">
        <v>1.4</v>
      </c>
      <c r="L62" s="10">
        <f t="shared" si="1"/>
        <v>7.4</v>
      </c>
      <c r="M62" s="10">
        <v>8.0</v>
      </c>
      <c r="N62" s="10">
        <v>1.0</v>
      </c>
      <c r="O62" s="14">
        <v>0.0</v>
      </c>
      <c r="P62" s="15">
        <v>0.0</v>
      </c>
      <c r="Q62" s="16">
        <v>0.0</v>
      </c>
      <c r="R62" s="10">
        <v>2.0</v>
      </c>
      <c r="S62" s="13"/>
      <c r="T62" s="13"/>
      <c r="U62" s="10">
        <v>5.0</v>
      </c>
      <c r="V62" s="10">
        <v>2.0</v>
      </c>
      <c r="W62" s="10">
        <v>1.0</v>
      </c>
      <c r="X62" s="13">
        <v>2.0</v>
      </c>
      <c r="Y62" s="13">
        <v>22.281639928698752</v>
      </c>
      <c r="Z62" s="13">
        <v>0.0</v>
      </c>
      <c r="AA62" s="13">
        <f>AVERAGE(arboles!E214:E218)</f>
        <v>1</v>
      </c>
      <c r="AB62" s="13">
        <f>AVERAGE(arboles!F214:F218)</f>
        <v>0</v>
      </c>
      <c r="AC62" s="13">
        <f>SUM(arboles!F214:F218)</f>
        <v>0</v>
      </c>
      <c r="AD62" s="17"/>
      <c r="AE62" s="18"/>
      <c r="AF62" s="17"/>
    </row>
    <row r="63">
      <c r="A63" s="9">
        <v>62.0</v>
      </c>
      <c r="B63" s="33" t="s">
        <v>140</v>
      </c>
      <c r="C63" s="10">
        <v>3.0</v>
      </c>
      <c r="D63" s="11">
        <v>127.0</v>
      </c>
      <c r="E63" s="12" t="s">
        <v>151</v>
      </c>
      <c r="F63" s="12" t="s">
        <v>152</v>
      </c>
      <c r="G63" s="12">
        <v>1072.3</v>
      </c>
      <c r="H63" s="10">
        <v>1.0</v>
      </c>
      <c r="I63" s="10">
        <v>2.0</v>
      </c>
      <c r="J63" s="10">
        <v>4.0</v>
      </c>
      <c r="K63" s="10">
        <v>4.6</v>
      </c>
      <c r="L63" s="10">
        <f t="shared" si="1"/>
        <v>10.6</v>
      </c>
      <c r="M63" s="10">
        <v>39.0</v>
      </c>
      <c r="N63" s="10">
        <v>1.0</v>
      </c>
      <c r="O63" s="14">
        <v>0.0</v>
      </c>
      <c r="P63" s="15">
        <v>0.0</v>
      </c>
      <c r="Q63" s="16">
        <v>0.0</v>
      </c>
      <c r="R63" s="10">
        <v>3.0</v>
      </c>
      <c r="S63" s="13"/>
      <c r="T63" s="13"/>
      <c r="U63" s="10">
        <v>4.0</v>
      </c>
      <c r="V63" s="10">
        <v>2.0</v>
      </c>
      <c r="W63" s="10">
        <v>1.0</v>
      </c>
      <c r="X63" s="13">
        <v>2.0</v>
      </c>
      <c r="Y63" s="13">
        <v>56.51477591036415</v>
      </c>
      <c r="Z63" s="13">
        <v>9.0</v>
      </c>
      <c r="AA63" s="13">
        <f>AVERAGE(arboles!E307:E310)</f>
        <v>1.25</v>
      </c>
      <c r="AB63" s="13">
        <f>AVERAGE(arboles!F307:F310)</f>
        <v>0</v>
      </c>
      <c r="AC63" s="13">
        <f>SUM(arboles!F307:F310)</f>
        <v>0</v>
      </c>
      <c r="AD63" s="17"/>
      <c r="AE63" s="18"/>
      <c r="AF63" s="17"/>
    </row>
    <row r="64">
      <c r="A64" s="9">
        <v>63.0</v>
      </c>
      <c r="B64" s="33" t="s">
        <v>140</v>
      </c>
      <c r="C64" s="10">
        <v>3.0</v>
      </c>
      <c r="D64" s="11">
        <v>128.0</v>
      </c>
      <c r="E64" s="12" t="s">
        <v>153</v>
      </c>
      <c r="F64" s="12" t="s">
        <v>154</v>
      </c>
      <c r="G64" s="12">
        <v>1075.8</v>
      </c>
      <c r="H64" s="10">
        <v>2.0</v>
      </c>
      <c r="I64" s="39">
        <v>1.2</v>
      </c>
      <c r="J64" s="10">
        <v>0.8</v>
      </c>
      <c r="K64" s="10">
        <v>0.4</v>
      </c>
      <c r="L64" s="10">
        <f t="shared" si="1"/>
        <v>2.4</v>
      </c>
      <c r="M64" s="10">
        <v>6.0</v>
      </c>
      <c r="N64" s="10">
        <v>1.0</v>
      </c>
      <c r="O64" s="14">
        <v>0.0</v>
      </c>
      <c r="P64" s="15">
        <v>0.0</v>
      </c>
      <c r="Q64" s="16">
        <v>0.0</v>
      </c>
      <c r="R64" s="10">
        <v>2.0</v>
      </c>
      <c r="S64" s="13"/>
      <c r="T64" s="13"/>
      <c r="U64" s="10">
        <v>7.0</v>
      </c>
      <c r="V64" s="10">
        <v>1.0</v>
      </c>
      <c r="W64" s="10">
        <v>1.0</v>
      </c>
      <c r="X64" s="13">
        <v>1.0</v>
      </c>
      <c r="Y64" s="13">
        <v>27.148859543817526</v>
      </c>
      <c r="Z64" s="13">
        <v>0.0</v>
      </c>
      <c r="AA64" s="13">
        <f>AVERAGE(arboles!E219:E225)</f>
        <v>1.857142857</v>
      </c>
      <c r="AB64" s="13">
        <f>AVERAGE(arboles!F219:F225)</f>
        <v>0</v>
      </c>
      <c r="AC64" s="13">
        <f>SUM(arboles!F219:F225)</f>
        <v>0</v>
      </c>
      <c r="AD64" s="17"/>
      <c r="AE64" s="18"/>
      <c r="AF64" s="17"/>
    </row>
    <row r="65">
      <c r="A65" s="9">
        <v>64.0</v>
      </c>
      <c r="B65" s="33" t="s">
        <v>140</v>
      </c>
      <c r="C65" s="10">
        <v>3.0</v>
      </c>
      <c r="D65" s="11">
        <v>129.0</v>
      </c>
      <c r="E65" s="12" t="s">
        <v>155</v>
      </c>
      <c r="F65" s="12" t="s">
        <v>156</v>
      </c>
      <c r="G65" s="12">
        <v>1082.6</v>
      </c>
      <c r="H65" s="10">
        <v>2.0</v>
      </c>
      <c r="I65" s="10">
        <v>1.4</v>
      </c>
      <c r="J65" s="10">
        <v>1.2</v>
      </c>
      <c r="K65" s="10">
        <v>0.8</v>
      </c>
      <c r="L65" s="10">
        <f t="shared" si="1"/>
        <v>3.4</v>
      </c>
      <c r="M65" s="10">
        <v>10.0</v>
      </c>
      <c r="N65" s="10">
        <v>1.0</v>
      </c>
      <c r="O65" s="14">
        <v>0.0</v>
      </c>
      <c r="P65" s="15">
        <v>0.0</v>
      </c>
      <c r="Q65" s="16">
        <v>0.0</v>
      </c>
      <c r="R65" s="10">
        <v>3.0</v>
      </c>
      <c r="S65" s="13"/>
      <c r="T65" s="13"/>
      <c r="U65" s="10">
        <v>4.0</v>
      </c>
      <c r="V65" s="10">
        <v>1.0</v>
      </c>
      <c r="W65" s="10">
        <v>1.0</v>
      </c>
      <c r="X65" s="13">
        <v>1.0</v>
      </c>
      <c r="Y65" s="13">
        <v>38.71912401324166</v>
      </c>
      <c r="Z65" s="13">
        <v>0.0</v>
      </c>
      <c r="AA65" s="13">
        <f>AVERAGE(arboles!E298:E301)</f>
        <v>1.5</v>
      </c>
      <c r="AB65" s="13">
        <f>AVERAGE(arboles!F298:F301)</f>
        <v>0</v>
      </c>
      <c r="AC65" s="13">
        <f>SUM(arboles!F298:F301)</f>
        <v>0</v>
      </c>
      <c r="AD65" s="17"/>
      <c r="AE65" s="18"/>
      <c r="AF65" s="17"/>
    </row>
    <row r="66">
      <c r="A66" s="9">
        <v>65.0</v>
      </c>
      <c r="B66" s="33" t="s">
        <v>140</v>
      </c>
      <c r="C66" s="10">
        <v>3.0</v>
      </c>
      <c r="D66" s="11">
        <v>132.0</v>
      </c>
      <c r="E66" s="12" t="s">
        <v>157</v>
      </c>
      <c r="F66" s="12" t="s">
        <v>158</v>
      </c>
      <c r="G66" s="12">
        <v>1090.6</v>
      </c>
      <c r="H66" s="10">
        <v>2.0</v>
      </c>
      <c r="I66" s="13">
        <f>AVERAGE(2,6,3,2,0)</f>
        <v>2.6</v>
      </c>
      <c r="J66" s="10">
        <v>1.0</v>
      </c>
      <c r="K66" s="10">
        <v>0.0</v>
      </c>
      <c r="L66" s="10">
        <f t="shared" si="1"/>
        <v>3.6</v>
      </c>
      <c r="M66" s="10">
        <v>10.0</v>
      </c>
      <c r="N66" s="10">
        <v>1.0</v>
      </c>
      <c r="O66" s="14">
        <v>0.0</v>
      </c>
      <c r="P66" s="15">
        <v>1.0</v>
      </c>
      <c r="Q66" s="16">
        <v>0.0</v>
      </c>
      <c r="R66" s="10">
        <v>2.0</v>
      </c>
      <c r="S66" s="13"/>
      <c r="T66" s="13"/>
      <c r="U66" s="10">
        <v>1.0</v>
      </c>
      <c r="V66" s="10">
        <v>1.0</v>
      </c>
      <c r="W66" s="10">
        <v>1.0</v>
      </c>
      <c r="X66" s="13">
        <v>1.0</v>
      </c>
      <c r="Y66" s="13">
        <v>17.02953908836262</v>
      </c>
      <c r="Z66" s="13">
        <v>0.0</v>
      </c>
      <c r="AA66" s="13">
        <f>AVERAGE(arboles!E276)</f>
        <v>1</v>
      </c>
      <c r="AB66" s="13">
        <f>AVERAGE(arboles!F276)</f>
        <v>0</v>
      </c>
      <c r="AC66" s="13">
        <f>SUM(arboles!F276)</f>
        <v>0</v>
      </c>
      <c r="AD66" s="17"/>
      <c r="AE66" s="18"/>
      <c r="AF66" s="17"/>
    </row>
    <row r="67">
      <c r="A67" s="9">
        <v>66.0</v>
      </c>
      <c r="B67" s="33" t="s">
        <v>140</v>
      </c>
      <c r="C67" s="10">
        <v>3.0</v>
      </c>
      <c r="D67" s="11">
        <v>133.0</v>
      </c>
      <c r="E67" s="12" t="s">
        <v>159</v>
      </c>
      <c r="F67" s="12" t="s">
        <v>160</v>
      </c>
      <c r="G67" s="12">
        <v>1082.3</v>
      </c>
      <c r="H67" s="10">
        <v>3.0</v>
      </c>
      <c r="I67" s="39">
        <v>1.8</v>
      </c>
      <c r="J67" s="10">
        <v>1.4</v>
      </c>
      <c r="K67" s="10">
        <v>2.0</v>
      </c>
      <c r="L67" s="10">
        <f t="shared" si="1"/>
        <v>5.2</v>
      </c>
      <c r="M67" s="10">
        <v>14.0</v>
      </c>
      <c r="N67" s="10">
        <v>1.0</v>
      </c>
      <c r="O67" s="14">
        <v>0.0</v>
      </c>
      <c r="P67" s="15">
        <v>0.0</v>
      </c>
      <c r="Q67" s="16">
        <v>0.0</v>
      </c>
      <c r="R67" s="10">
        <v>3.0</v>
      </c>
      <c r="S67" s="13"/>
      <c r="T67" s="13"/>
      <c r="U67" s="10">
        <v>9.0</v>
      </c>
      <c r="V67" s="10">
        <v>1.0</v>
      </c>
      <c r="W67" s="10">
        <v>1.0</v>
      </c>
      <c r="X67" s="13">
        <v>1.0</v>
      </c>
      <c r="Y67" s="13">
        <v>22.32761791585321</v>
      </c>
      <c r="Z67" s="13">
        <v>0.0</v>
      </c>
      <c r="AA67" s="13">
        <f>AVERAGE(arboles!E226:E234)</f>
        <v>1.555555556</v>
      </c>
      <c r="AB67" s="13">
        <f>AVERAGE(arboles!F226:F234)</f>
        <v>0</v>
      </c>
      <c r="AC67" s="13">
        <f>SUM(arboles!F226:F234)</f>
        <v>0</v>
      </c>
      <c r="AD67" s="17"/>
      <c r="AE67" s="18"/>
      <c r="AF67" s="17"/>
    </row>
    <row r="68">
      <c r="A68" s="9">
        <v>67.0</v>
      </c>
      <c r="B68" s="33" t="s">
        <v>140</v>
      </c>
      <c r="C68" s="10">
        <v>3.0</v>
      </c>
      <c r="D68" s="11">
        <v>134.0</v>
      </c>
      <c r="E68" s="12" t="s">
        <v>161</v>
      </c>
      <c r="F68" s="12" t="s">
        <v>162</v>
      </c>
      <c r="G68" s="12">
        <v>1088.4</v>
      </c>
      <c r="H68" s="10">
        <v>2.0</v>
      </c>
      <c r="I68" s="10">
        <v>1.6</v>
      </c>
      <c r="J68" s="10">
        <v>0.4</v>
      </c>
      <c r="K68" s="10">
        <v>0.0</v>
      </c>
      <c r="L68" s="10">
        <f t="shared" si="1"/>
        <v>2</v>
      </c>
      <c r="M68" s="10">
        <v>0.0</v>
      </c>
      <c r="N68" s="10">
        <v>1.0</v>
      </c>
      <c r="O68" s="14">
        <v>0.0</v>
      </c>
      <c r="P68" s="15">
        <v>0.0</v>
      </c>
      <c r="Q68" s="16">
        <v>2.0</v>
      </c>
      <c r="R68" s="10">
        <v>3.0</v>
      </c>
      <c r="S68" s="13"/>
      <c r="T68" s="13"/>
      <c r="U68" s="10">
        <v>11.0</v>
      </c>
      <c r="V68" s="10">
        <v>1.0</v>
      </c>
      <c r="W68" s="10">
        <v>1.0</v>
      </c>
      <c r="X68" s="13">
        <v>1.0</v>
      </c>
      <c r="Y68" s="13">
        <v>29.67116929416395</v>
      </c>
      <c r="Z68" s="13">
        <v>0.0</v>
      </c>
      <c r="AA68" s="13">
        <f>AVERAGE(arboles!E245:E255)</f>
        <v>1.727272727</v>
      </c>
      <c r="AB68" s="13">
        <f>AVERAGE(arboles!F245:F255)</f>
        <v>0</v>
      </c>
      <c r="AC68" s="13">
        <f>SUM(arboles!F245:F255)</f>
        <v>0</v>
      </c>
      <c r="AD68" s="17"/>
      <c r="AE68" s="18"/>
      <c r="AF68" s="17"/>
    </row>
    <row r="69">
      <c r="A69" s="9">
        <v>68.0</v>
      </c>
      <c r="B69" s="33" t="s">
        <v>140</v>
      </c>
      <c r="C69" s="10">
        <v>3.0</v>
      </c>
      <c r="D69" s="11">
        <v>135.0</v>
      </c>
      <c r="E69" s="12" t="s">
        <v>163</v>
      </c>
      <c r="F69" s="12" t="s">
        <v>164</v>
      </c>
      <c r="G69" s="12">
        <v>1091.0</v>
      </c>
      <c r="H69" s="10">
        <v>2.0</v>
      </c>
      <c r="I69" s="10">
        <v>1.4</v>
      </c>
      <c r="J69" s="10">
        <v>0.0</v>
      </c>
      <c r="K69" s="10">
        <v>1.6</v>
      </c>
      <c r="L69" s="10">
        <f t="shared" si="1"/>
        <v>3</v>
      </c>
      <c r="M69" s="10">
        <v>2.0</v>
      </c>
      <c r="N69" s="10">
        <v>1.0</v>
      </c>
      <c r="O69" s="14">
        <v>0.0</v>
      </c>
      <c r="P69" s="15">
        <v>0.0</v>
      </c>
      <c r="Q69" s="16">
        <v>0.0</v>
      </c>
      <c r="R69" s="10">
        <v>3.0</v>
      </c>
      <c r="S69" s="13"/>
      <c r="T69" s="13"/>
      <c r="U69" s="10">
        <v>11.0</v>
      </c>
      <c r="V69" s="10">
        <v>1.0</v>
      </c>
      <c r="W69" s="10">
        <v>1.0</v>
      </c>
      <c r="X69" s="13">
        <v>1.0</v>
      </c>
      <c r="Y69" s="13">
        <v>23.074634812602728</v>
      </c>
      <c r="Z69" s="13">
        <v>0.0</v>
      </c>
      <c r="AA69" s="13">
        <f>AVERAGE(arboles!E287:E297)</f>
        <v>1.727272727</v>
      </c>
      <c r="AB69" s="13">
        <f>AVERAGE(arboles!F287:F297)</f>
        <v>0</v>
      </c>
      <c r="AC69" s="13">
        <f>SUM(arboles!F287:F297)</f>
        <v>0</v>
      </c>
      <c r="AD69" s="17"/>
      <c r="AE69" s="18"/>
      <c r="AF69" s="17"/>
    </row>
    <row r="70">
      <c r="A70" s="9">
        <v>69.0</v>
      </c>
      <c r="B70" s="33" t="s">
        <v>140</v>
      </c>
      <c r="C70" s="10">
        <v>3.0</v>
      </c>
      <c r="D70" s="11">
        <v>136.0</v>
      </c>
      <c r="E70" s="12" t="s">
        <v>165</v>
      </c>
      <c r="F70" s="12" t="s">
        <v>166</v>
      </c>
      <c r="G70" s="12">
        <v>1090.0</v>
      </c>
      <c r="H70" s="10">
        <v>3.0</v>
      </c>
      <c r="I70" s="39">
        <v>2.6</v>
      </c>
      <c r="J70" s="10">
        <v>3.2</v>
      </c>
      <c r="K70" s="10">
        <v>3.6</v>
      </c>
      <c r="L70" s="10">
        <f t="shared" si="1"/>
        <v>9.4</v>
      </c>
      <c r="M70" s="10">
        <v>23.0</v>
      </c>
      <c r="N70" s="10">
        <v>1.0</v>
      </c>
      <c r="O70" s="14">
        <v>0.0</v>
      </c>
      <c r="P70" s="15">
        <v>0.0</v>
      </c>
      <c r="Q70" s="16">
        <v>0.0</v>
      </c>
      <c r="R70" s="10">
        <v>3.0</v>
      </c>
      <c r="S70" s="13"/>
      <c r="T70" s="13"/>
      <c r="U70" s="10">
        <v>10.0</v>
      </c>
      <c r="V70" s="10">
        <v>1.0</v>
      </c>
      <c r="W70" s="10">
        <v>1.0</v>
      </c>
      <c r="X70" s="13">
        <v>1.0</v>
      </c>
      <c r="Y70" s="13">
        <v>17.344665138782783</v>
      </c>
      <c r="Z70" s="13">
        <v>0.0</v>
      </c>
      <c r="AA70" s="13">
        <f>AVERAGE(arboles!E235:E244)</f>
        <v>1.3</v>
      </c>
      <c r="AB70" s="13">
        <f>AVERAGE(arboles!F235:F244)</f>
        <v>0</v>
      </c>
      <c r="AC70" s="13">
        <f>SUM(arboles!F235:F244)</f>
        <v>0</v>
      </c>
      <c r="AD70" s="17"/>
      <c r="AE70" s="18"/>
      <c r="AF70" s="17"/>
    </row>
    <row r="71">
      <c r="A71" s="9">
        <v>70.0</v>
      </c>
      <c r="B71" s="33" t="s">
        <v>140</v>
      </c>
      <c r="C71" s="10">
        <v>3.0</v>
      </c>
      <c r="D71" s="11">
        <v>137.0</v>
      </c>
      <c r="E71" s="12" t="s">
        <v>167</v>
      </c>
      <c r="F71" s="12" t="s">
        <v>168</v>
      </c>
      <c r="G71" s="12">
        <v>1090.6</v>
      </c>
      <c r="H71" s="10">
        <v>2.0</v>
      </c>
      <c r="I71" s="10">
        <v>1.8</v>
      </c>
      <c r="J71" s="10">
        <v>1.4</v>
      </c>
      <c r="K71" s="10">
        <v>2.0</v>
      </c>
      <c r="L71" s="10">
        <f t="shared" si="1"/>
        <v>5.2</v>
      </c>
      <c r="M71" s="10">
        <v>12.0</v>
      </c>
      <c r="N71" s="10">
        <v>1.0</v>
      </c>
      <c r="O71" s="14">
        <v>0.0</v>
      </c>
      <c r="P71" s="15">
        <v>0.0</v>
      </c>
      <c r="Q71" s="16">
        <v>0.0</v>
      </c>
      <c r="R71" s="10">
        <v>3.0</v>
      </c>
      <c r="S71" s="13"/>
      <c r="T71" s="13"/>
      <c r="U71" s="10">
        <v>12.0</v>
      </c>
      <c r="V71" s="10">
        <v>1.0</v>
      </c>
      <c r="W71" s="10">
        <v>1.0</v>
      </c>
      <c r="X71" s="13">
        <v>1.0</v>
      </c>
      <c r="Y71" s="13">
        <v>20.27465834818776</v>
      </c>
      <c r="Z71" s="13">
        <v>0.0</v>
      </c>
      <c r="AA71" s="13">
        <f>AVERAGE(arboles!E256:E267)</f>
        <v>1.583333333</v>
      </c>
      <c r="AB71" s="13">
        <f>AVERAGE(arboles!F256:F267)</f>
        <v>0</v>
      </c>
      <c r="AC71" s="13">
        <f>SUM(arboles!F256:F267)</f>
        <v>0</v>
      </c>
      <c r="AD71" s="17"/>
      <c r="AE71" s="18"/>
      <c r="AF71" s="17"/>
    </row>
    <row r="72">
      <c r="A72" s="9">
        <v>71.0</v>
      </c>
      <c r="B72" s="33" t="s">
        <v>140</v>
      </c>
      <c r="C72" s="10">
        <v>3.0</v>
      </c>
      <c r="D72" s="11">
        <v>138.0</v>
      </c>
      <c r="E72" s="12" t="s">
        <v>169</v>
      </c>
      <c r="F72" s="12" t="s">
        <v>170</v>
      </c>
      <c r="G72" s="12">
        <v>1099.0</v>
      </c>
      <c r="H72" s="10">
        <v>3.0</v>
      </c>
      <c r="I72" s="10">
        <v>3.6</v>
      </c>
      <c r="J72" s="10">
        <v>2.6</v>
      </c>
      <c r="K72" s="10">
        <v>1.2</v>
      </c>
      <c r="L72" s="10">
        <f t="shared" si="1"/>
        <v>7.4</v>
      </c>
      <c r="M72" s="10">
        <v>12.0</v>
      </c>
      <c r="N72" s="10">
        <v>0.0</v>
      </c>
      <c r="O72" s="14">
        <v>0.0</v>
      </c>
      <c r="P72" s="15">
        <v>0.0</v>
      </c>
      <c r="Q72" s="16">
        <v>0.0</v>
      </c>
      <c r="R72" s="10">
        <v>3.0</v>
      </c>
      <c r="S72" s="13"/>
      <c r="T72" s="13"/>
      <c r="U72" s="10">
        <v>7.0</v>
      </c>
      <c r="V72" s="10">
        <v>1.0</v>
      </c>
      <c r="W72" s="10">
        <v>1.0</v>
      </c>
      <c r="X72" s="13">
        <v>1.0</v>
      </c>
      <c r="Y72" s="13">
        <v>22.40510749754447</v>
      </c>
      <c r="Z72" s="13">
        <v>0.0</v>
      </c>
      <c r="AA72" s="13">
        <f>AVERAGE(arboles!E269:E275)</f>
        <v>1.571428571</v>
      </c>
      <c r="AB72" s="13">
        <f>AVERAGE(arboles!F269:F275)</f>
        <v>0</v>
      </c>
      <c r="AC72" s="13">
        <f>SUM(arboles!F269:F275)</f>
        <v>0</v>
      </c>
      <c r="AD72" s="17"/>
      <c r="AE72" s="18"/>
      <c r="AF72" s="17"/>
    </row>
    <row r="73">
      <c r="A73" s="9">
        <v>72.0</v>
      </c>
      <c r="B73" s="33" t="s">
        <v>140</v>
      </c>
      <c r="C73" s="10">
        <v>3.0</v>
      </c>
      <c r="D73" s="11">
        <v>140.0</v>
      </c>
      <c r="E73" s="12" t="s">
        <v>171</v>
      </c>
      <c r="F73" s="12" t="s">
        <v>172</v>
      </c>
      <c r="G73" s="12">
        <v>1058.4</v>
      </c>
      <c r="H73" s="10">
        <v>2.0</v>
      </c>
      <c r="I73" s="10">
        <v>3.0</v>
      </c>
      <c r="J73" s="10">
        <v>0.4</v>
      </c>
      <c r="K73" s="10">
        <v>2.0</v>
      </c>
      <c r="L73" s="10">
        <f t="shared" si="1"/>
        <v>5.4</v>
      </c>
      <c r="M73" s="10">
        <v>4.0</v>
      </c>
      <c r="N73" s="10">
        <v>1.0</v>
      </c>
      <c r="O73" s="14">
        <v>0.0</v>
      </c>
      <c r="P73" s="15">
        <v>1.0</v>
      </c>
      <c r="Q73" s="16">
        <v>0.0</v>
      </c>
      <c r="R73" s="10">
        <v>3.0</v>
      </c>
      <c r="S73" s="13"/>
      <c r="T73" s="13"/>
      <c r="U73" s="10">
        <v>7.0</v>
      </c>
      <c r="V73" s="10">
        <v>1.0</v>
      </c>
      <c r="W73" s="10">
        <v>1.0</v>
      </c>
      <c r="X73" s="13">
        <v>1.0</v>
      </c>
      <c r="Y73" s="13">
        <v>23.018298228382264</v>
      </c>
      <c r="Z73" s="13">
        <v>0.0</v>
      </c>
      <c r="AA73" s="13">
        <f>AVERAGE(arboles!E316:E322)</f>
        <v>1.571428571</v>
      </c>
      <c r="AB73" s="13">
        <f>AVERAGE(arboles!F316:F322)</f>
        <v>0</v>
      </c>
      <c r="AC73" s="13">
        <f>SUM(arboles!F316:F322)</f>
        <v>0</v>
      </c>
      <c r="AD73" s="17"/>
      <c r="AE73" s="18"/>
      <c r="AF73" s="17"/>
    </row>
    <row r="74">
      <c r="A74" s="9">
        <v>73.0</v>
      </c>
      <c r="B74" s="33" t="s">
        <v>140</v>
      </c>
      <c r="C74" s="10">
        <v>3.0</v>
      </c>
      <c r="D74" s="11">
        <v>141.0</v>
      </c>
      <c r="E74" s="12" t="s">
        <v>173</v>
      </c>
      <c r="F74" s="12" t="s">
        <v>174</v>
      </c>
      <c r="G74" s="12">
        <v>1061.7</v>
      </c>
      <c r="H74" s="10">
        <v>3.0</v>
      </c>
      <c r="I74" s="10">
        <v>0.6</v>
      </c>
      <c r="J74" s="10">
        <v>0.2</v>
      </c>
      <c r="K74" s="10">
        <v>0.2</v>
      </c>
      <c r="L74" s="10">
        <f t="shared" si="1"/>
        <v>1</v>
      </c>
      <c r="M74" s="10">
        <v>3.0</v>
      </c>
      <c r="N74" s="10">
        <v>1.0</v>
      </c>
      <c r="O74" s="14">
        <v>0.0</v>
      </c>
      <c r="P74" s="15">
        <v>0.0</v>
      </c>
      <c r="Q74" s="16">
        <v>0.0</v>
      </c>
      <c r="R74" s="10">
        <v>4.0</v>
      </c>
      <c r="S74" s="13"/>
      <c r="T74" s="13"/>
      <c r="U74" s="10">
        <v>6.0</v>
      </c>
      <c r="V74" s="10">
        <v>2.0</v>
      </c>
      <c r="W74" s="10">
        <v>2.0</v>
      </c>
      <c r="X74" s="13">
        <v>2.0</v>
      </c>
      <c r="Y74" s="13">
        <v>33.872060945590356</v>
      </c>
      <c r="Z74" s="13">
        <v>1.0</v>
      </c>
      <c r="AA74" s="13">
        <f>AVERAGE(arboles!E323:E328)</f>
        <v>1.666666667</v>
      </c>
      <c r="AB74" s="13">
        <f>AVERAGE(arboles!F323:F328)</f>
        <v>0.3333333333</v>
      </c>
      <c r="AC74" s="13">
        <f>SUM(arboles!F323:F328)</f>
        <v>2</v>
      </c>
      <c r="AD74" s="17"/>
      <c r="AE74" s="18"/>
      <c r="AF74" s="17"/>
    </row>
    <row r="75">
      <c r="A75" s="9">
        <v>74.0</v>
      </c>
      <c r="B75" s="33" t="s">
        <v>140</v>
      </c>
      <c r="C75" s="10">
        <v>3.0</v>
      </c>
      <c r="D75" s="11">
        <v>142.0</v>
      </c>
      <c r="E75" s="12" t="s">
        <v>175</v>
      </c>
      <c r="F75" s="12" t="s">
        <v>176</v>
      </c>
      <c r="G75" s="12">
        <v>1065.6</v>
      </c>
      <c r="H75" s="10">
        <v>2.0</v>
      </c>
      <c r="I75" s="10">
        <v>1.4</v>
      </c>
      <c r="J75" s="10">
        <v>1.6</v>
      </c>
      <c r="K75" s="10">
        <v>0.8</v>
      </c>
      <c r="L75" s="10">
        <f t="shared" si="1"/>
        <v>3.8</v>
      </c>
      <c r="M75" s="10">
        <v>9.0</v>
      </c>
      <c r="N75" s="10">
        <v>1.0</v>
      </c>
      <c r="O75" s="14">
        <v>0.0</v>
      </c>
      <c r="P75" s="15">
        <v>1.0</v>
      </c>
      <c r="Q75" s="16">
        <v>1.0</v>
      </c>
      <c r="R75" s="10">
        <v>3.0</v>
      </c>
      <c r="S75" s="13"/>
      <c r="T75" s="13"/>
      <c r="U75" s="10">
        <v>1.0</v>
      </c>
      <c r="V75" s="10">
        <v>1.0</v>
      </c>
      <c r="W75" s="10">
        <v>2.0</v>
      </c>
      <c r="X75" s="13">
        <v>2.0</v>
      </c>
      <c r="Y75" s="13">
        <v>34.56837280366692</v>
      </c>
      <c r="Z75" s="13">
        <v>0.0</v>
      </c>
      <c r="AA75" s="13">
        <f>AVERAGE(arboles!E329)</f>
        <v>2</v>
      </c>
      <c r="AB75" s="13">
        <f>AVERAGE(arboles!F329)</f>
        <v>0</v>
      </c>
      <c r="AC75" s="13">
        <f>SUM(arboles!F329)</f>
        <v>0</v>
      </c>
      <c r="AD75" s="17"/>
      <c r="AE75" s="18"/>
      <c r="AF75" s="17"/>
    </row>
    <row r="76">
      <c r="A76" s="9">
        <v>75.0</v>
      </c>
      <c r="B76" s="33" t="s">
        <v>140</v>
      </c>
      <c r="C76" s="10">
        <v>3.0</v>
      </c>
      <c r="D76" s="11">
        <v>143.0</v>
      </c>
      <c r="E76" s="12" t="s">
        <v>177</v>
      </c>
      <c r="F76" s="12" t="s">
        <v>178</v>
      </c>
      <c r="G76" s="12">
        <v>1063.8</v>
      </c>
      <c r="H76" s="10">
        <v>2.0</v>
      </c>
      <c r="I76" s="13">
        <f>8/5</f>
        <v>1.6</v>
      </c>
      <c r="J76" s="10">
        <v>0.0</v>
      </c>
      <c r="K76" s="13">
        <f>1/5</f>
        <v>0.2</v>
      </c>
      <c r="L76" s="10">
        <f t="shared" si="1"/>
        <v>1.8</v>
      </c>
      <c r="M76" s="10">
        <v>3.0</v>
      </c>
      <c r="N76" s="10">
        <v>1.0</v>
      </c>
      <c r="O76" s="14">
        <v>0.0</v>
      </c>
      <c r="P76" s="15">
        <v>0.0</v>
      </c>
      <c r="Q76" s="16">
        <v>0.0</v>
      </c>
      <c r="R76" s="10">
        <v>3.0</v>
      </c>
      <c r="S76" s="13"/>
      <c r="T76" s="13"/>
      <c r="U76" s="10">
        <v>7.0</v>
      </c>
      <c r="V76" s="10">
        <v>1.0</v>
      </c>
      <c r="W76" s="10">
        <v>1.0</v>
      </c>
      <c r="X76" s="13">
        <v>1.0</v>
      </c>
      <c r="Y76" s="13">
        <v>25.69911601004038</v>
      </c>
      <c r="Z76" s="13">
        <v>1.0</v>
      </c>
      <c r="AA76" s="13">
        <f>AVERAGE(arboles!E336:E342)</f>
        <v>2</v>
      </c>
      <c r="AB76" s="13">
        <f>AVERAGE(arboles!F336:F342)</f>
        <v>0</v>
      </c>
      <c r="AC76" s="13">
        <f>SUM(arboles!F336:F342)</f>
        <v>0</v>
      </c>
      <c r="AD76" s="17"/>
      <c r="AE76" s="18"/>
      <c r="AF76" s="17"/>
    </row>
    <row r="77">
      <c r="A77" s="9">
        <v>76.0</v>
      </c>
      <c r="B77" s="33" t="s">
        <v>140</v>
      </c>
      <c r="C77" s="10">
        <v>3.0</v>
      </c>
      <c r="D77" s="11">
        <v>144.0</v>
      </c>
      <c r="E77" s="12" t="s">
        <v>179</v>
      </c>
      <c r="F77" s="12" t="s">
        <v>180</v>
      </c>
      <c r="G77" s="12">
        <v>1056.1</v>
      </c>
      <c r="H77" s="10">
        <v>2.0</v>
      </c>
      <c r="I77" s="10">
        <v>1.0</v>
      </c>
      <c r="J77" s="10">
        <v>0.0</v>
      </c>
      <c r="K77" s="10">
        <v>1.0</v>
      </c>
      <c r="L77" s="10">
        <f t="shared" si="1"/>
        <v>2</v>
      </c>
      <c r="M77" s="10">
        <v>6.0</v>
      </c>
      <c r="N77" s="10">
        <v>1.0</v>
      </c>
      <c r="O77" s="14">
        <v>0.0</v>
      </c>
      <c r="P77" s="15">
        <v>1.0</v>
      </c>
      <c r="Q77" s="16">
        <v>1.0</v>
      </c>
      <c r="R77" s="10">
        <v>3.0</v>
      </c>
      <c r="S77" s="13"/>
      <c r="T77" s="13"/>
      <c r="U77" s="10">
        <v>6.0</v>
      </c>
      <c r="V77" s="10">
        <v>1.0</v>
      </c>
      <c r="W77" s="10">
        <v>1.0</v>
      </c>
      <c r="X77" s="13">
        <v>1.0</v>
      </c>
      <c r="Y77" s="13">
        <v>34.36287242169595</v>
      </c>
      <c r="Z77" s="13">
        <v>0.0</v>
      </c>
      <c r="AA77" s="13">
        <f>AVERAGE(arboles!E330:E335)</f>
        <v>2</v>
      </c>
      <c r="AB77" s="13">
        <f>AVERAGE(arboles!F330:F335)</f>
        <v>0</v>
      </c>
      <c r="AC77" s="13">
        <f>SUM(arboles!F330:F335)</f>
        <v>0</v>
      </c>
      <c r="AD77" s="17"/>
      <c r="AE77" s="18"/>
      <c r="AF77" s="17"/>
    </row>
    <row r="78">
      <c r="A78" s="9">
        <v>77.0</v>
      </c>
      <c r="B78" s="33" t="s">
        <v>140</v>
      </c>
      <c r="C78" s="10">
        <v>3.0</v>
      </c>
      <c r="D78" s="11">
        <v>145.0</v>
      </c>
      <c r="E78" s="12" t="s">
        <v>181</v>
      </c>
      <c r="F78" s="12" t="s">
        <v>182</v>
      </c>
      <c r="G78" s="12">
        <v>1063.9</v>
      </c>
      <c r="H78" s="10">
        <v>2.0</v>
      </c>
      <c r="I78" s="10">
        <v>2.0</v>
      </c>
      <c r="J78" s="10">
        <v>0.6</v>
      </c>
      <c r="K78" s="10">
        <v>0.4</v>
      </c>
      <c r="L78" s="10">
        <f t="shared" si="1"/>
        <v>3</v>
      </c>
      <c r="M78" s="10">
        <v>2.0</v>
      </c>
      <c r="N78" s="10">
        <v>1.0</v>
      </c>
      <c r="O78" s="14">
        <v>0.0</v>
      </c>
      <c r="P78" s="15">
        <v>0.0</v>
      </c>
      <c r="Q78" s="16">
        <v>0.0</v>
      </c>
      <c r="R78" s="10">
        <v>3.0</v>
      </c>
      <c r="S78" s="13"/>
      <c r="T78" s="13"/>
      <c r="U78" s="10">
        <v>6.0</v>
      </c>
      <c r="V78" s="10">
        <v>1.0</v>
      </c>
      <c r="W78" s="10">
        <v>1.0</v>
      </c>
      <c r="X78" s="13">
        <v>1.0</v>
      </c>
      <c r="Y78" s="13">
        <v>45.07813428401664</v>
      </c>
      <c r="Z78" s="13">
        <v>0.0</v>
      </c>
      <c r="AA78" s="13">
        <f>AVERAGE(arboles!E343:E348)</f>
        <v>2</v>
      </c>
      <c r="AB78" s="13">
        <f>AVERAGE(arboles!F343:F348)</f>
        <v>0</v>
      </c>
      <c r="AC78" s="13">
        <f>SUM(arboles!F343:F348)</f>
        <v>0</v>
      </c>
      <c r="AD78" s="17"/>
      <c r="AE78" s="18"/>
      <c r="AF78" s="17"/>
    </row>
    <row r="79">
      <c r="A79" s="9">
        <v>78.0</v>
      </c>
      <c r="B79" s="33" t="s">
        <v>140</v>
      </c>
      <c r="C79" s="10">
        <v>3.0</v>
      </c>
      <c r="D79" s="11">
        <v>146.0</v>
      </c>
      <c r="E79" s="12" t="s">
        <v>183</v>
      </c>
      <c r="F79" s="12" t="s">
        <v>184</v>
      </c>
      <c r="G79" s="12">
        <v>1055.1</v>
      </c>
      <c r="H79" s="10">
        <v>2.0</v>
      </c>
      <c r="I79" s="10">
        <v>2.0</v>
      </c>
      <c r="J79" s="10">
        <v>0.2</v>
      </c>
      <c r="K79" s="10">
        <v>2.0</v>
      </c>
      <c r="L79" s="10">
        <f t="shared" si="1"/>
        <v>4.2</v>
      </c>
      <c r="M79" s="10">
        <v>6.0</v>
      </c>
      <c r="N79" s="10">
        <v>1.0</v>
      </c>
      <c r="O79" s="14">
        <v>0.0</v>
      </c>
      <c r="P79" s="15">
        <v>1.0</v>
      </c>
      <c r="Q79" s="16">
        <v>2.0</v>
      </c>
      <c r="R79" s="10">
        <v>3.0</v>
      </c>
      <c r="S79" s="13"/>
      <c r="T79" s="13"/>
      <c r="U79" s="10">
        <v>6.0</v>
      </c>
      <c r="V79" s="10">
        <v>1.0</v>
      </c>
      <c r="W79" s="10">
        <v>1.0</v>
      </c>
      <c r="X79" s="13">
        <v>1.0</v>
      </c>
      <c r="Y79" s="13">
        <v>16.403913080383667</v>
      </c>
      <c r="Z79" s="13">
        <v>0.0</v>
      </c>
      <c r="AA79" s="13">
        <f>AVERAGE(arboles!E349:E354)</f>
        <v>2</v>
      </c>
      <c r="AB79" s="13">
        <f>AVERAGE(arboles!F349:F354)</f>
        <v>0</v>
      </c>
      <c r="AC79" s="13">
        <f>SUM(arboles!F349:F354)</f>
        <v>0</v>
      </c>
      <c r="AD79" s="17"/>
      <c r="AE79" s="18"/>
      <c r="AF79" s="17"/>
    </row>
    <row r="80">
      <c r="A80" s="9">
        <v>79.0</v>
      </c>
      <c r="B80" s="33" t="s">
        <v>140</v>
      </c>
      <c r="C80" s="10">
        <v>3.0</v>
      </c>
      <c r="D80" s="11">
        <v>147.0</v>
      </c>
      <c r="E80" s="12" t="s">
        <v>185</v>
      </c>
      <c r="F80" s="12" t="s">
        <v>186</v>
      </c>
      <c r="G80" s="12">
        <v>1048.0</v>
      </c>
      <c r="H80" s="10">
        <v>0.0</v>
      </c>
      <c r="I80" s="10">
        <v>1.8</v>
      </c>
      <c r="J80" s="10">
        <v>0.6</v>
      </c>
      <c r="K80" s="10">
        <v>1.0</v>
      </c>
      <c r="L80" s="10">
        <f t="shared" si="1"/>
        <v>3.4</v>
      </c>
      <c r="M80" s="10">
        <v>0.0</v>
      </c>
      <c r="N80" s="10">
        <v>0.0</v>
      </c>
      <c r="O80" s="14">
        <v>3.0</v>
      </c>
      <c r="P80" s="15">
        <v>1.0</v>
      </c>
      <c r="Q80" s="16">
        <v>0.0</v>
      </c>
      <c r="R80" s="10">
        <v>2.0</v>
      </c>
      <c r="S80" s="13"/>
      <c r="T80" s="13"/>
      <c r="U80" s="10">
        <v>1.0</v>
      </c>
      <c r="V80" s="10">
        <v>1.0</v>
      </c>
      <c r="W80" s="10">
        <v>1.0</v>
      </c>
      <c r="X80" s="13">
        <v>1.0</v>
      </c>
      <c r="Y80" s="13">
        <v>76.0</v>
      </c>
      <c r="Z80" s="13">
        <v>0.0</v>
      </c>
      <c r="AA80" s="13">
        <f>AVERAGE(arboles!E355)</f>
        <v>2</v>
      </c>
      <c r="AB80" s="13">
        <f>AVERAGE(arboles!F355)</f>
        <v>0</v>
      </c>
      <c r="AC80" s="13">
        <f>SUM(arboles!F355)</f>
        <v>0</v>
      </c>
      <c r="AD80" s="17"/>
      <c r="AE80" s="18"/>
      <c r="AF80" s="17"/>
    </row>
    <row r="81">
      <c r="A81" s="9">
        <v>80.0</v>
      </c>
      <c r="B81" s="33" t="s">
        <v>140</v>
      </c>
      <c r="C81" s="10">
        <v>3.0</v>
      </c>
      <c r="D81" s="11">
        <v>151.0</v>
      </c>
      <c r="E81" s="12" t="s">
        <v>187</v>
      </c>
      <c r="F81" s="12" t="s">
        <v>188</v>
      </c>
      <c r="G81" s="12">
        <v>1035.0</v>
      </c>
      <c r="H81" s="10">
        <v>0.0</v>
      </c>
      <c r="I81" s="10">
        <v>1.6</v>
      </c>
      <c r="J81" s="10">
        <v>1.2</v>
      </c>
      <c r="K81" s="10">
        <v>0.6</v>
      </c>
      <c r="L81" s="10">
        <f t="shared" si="1"/>
        <v>3.4</v>
      </c>
      <c r="M81" s="10">
        <v>3.0</v>
      </c>
      <c r="N81" s="10">
        <v>0.0</v>
      </c>
      <c r="O81" s="14">
        <v>0.0</v>
      </c>
      <c r="P81" s="15">
        <v>0.0</v>
      </c>
      <c r="Q81" s="16">
        <v>4.0</v>
      </c>
      <c r="R81" s="10">
        <v>3.0</v>
      </c>
      <c r="S81" s="13"/>
      <c r="T81" s="13"/>
      <c r="U81" s="10">
        <v>9.0</v>
      </c>
      <c r="V81" s="10">
        <v>1.0</v>
      </c>
      <c r="W81" s="10">
        <v>1.0</v>
      </c>
      <c r="X81" s="13">
        <v>1.0</v>
      </c>
      <c r="Y81" s="13">
        <v>18.217553688141926</v>
      </c>
      <c r="Z81" s="13">
        <v>0.0</v>
      </c>
      <c r="AA81" s="13">
        <f>AVERAGE(arboles!E356:E364)</f>
        <v>1.777777778</v>
      </c>
      <c r="AB81" s="13">
        <f>AVERAGE(arboles!F356:F364)</f>
        <v>0.2222222222</v>
      </c>
      <c r="AC81" s="13">
        <f>SUM(arboles!F356:F364)</f>
        <v>2</v>
      </c>
      <c r="AD81" s="17"/>
      <c r="AE81" s="18"/>
      <c r="AF81" s="17"/>
    </row>
    <row r="82">
      <c r="A82" s="9">
        <v>81.0</v>
      </c>
      <c r="B82" s="33" t="s">
        <v>140</v>
      </c>
      <c r="C82" s="10">
        <v>3.0</v>
      </c>
      <c r="D82" s="11">
        <v>152.0</v>
      </c>
      <c r="E82" s="12" t="s">
        <v>189</v>
      </c>
      <c r="F82" s="12" t="s">
        <v>190</v>
      </c>
      <c r="G82" s="12">
        <v>1031.6</v>
      </c>
      <c r="H82" s="10">
        <v>0.0</v>
      </c>
      <c r="I82" s="10">
        <v>1.8</v>
      </c>
      <c r="J82" s="10">
        <v>0.2</v>
      </c>
      <c r="K82" s="10">
        <v>2.4</v>
      </c>
      <c r="L82" s="10">
        <f t="shared" si="1"/>
        <v>4.4</v>
      </c>
      <c r="M82" s="10">
        <v>2.0</v>
      </c>
      <c r="N82" s="10">
        <v>1.0</v>
      </c>
      <c r="O82" s="14">
        <v>0.0</v>
      </c>
      <c r="P82" s="15">
        <v>0.0</v>
      </c>
      <c r="Q82" s="16">
        <v>1.0</v>
      </c>
      <c r="R82" s="10">
        <v>3.0</v>
      </c>
      <c r="S82" s="13"/>
      <c r="T82" s="13"/>
      <c r="U82" s="10">
        <v>8.0</v>
      </c>
      <c r="V82" s="10">
        <v>3.0</v>
      </c>
      <c r="W82" s="10">
        <v>1.0</v>
      </c>
      <c r="X82" s="13">
        <v>3.0</v>
      </c>
      <c r="Y82" s="13">
        <v>25.70690094219506</v>
      </c>
      <c r="Z82" s="13">
        <v>1.0</v>
      </c>
      <c r="AA82" s="13">
        <f>AVERAGE(arboles!E365:E372)</f>
        <v>1.375</v>
      </c>
      <c r="AB82" s="13">
        <f>AVERAGE(arboles!F365:F372)</f>
        <v>0</v>
      </c>
      <c r="AC82" s="13">
        <f>SUM(arboles!F365:F372)</f>
        <v>0</v>
      </c>
      <c r="AD82" s="17"/>
      <c r="AE82" s="18"/>
      <c r="AF82" s="17"/>
    </row>
    <row r="83">
      <c r="A83" s="9">
        <v>82.0</v>
      </c>
      <c r="B83" s="33" t="s">
        <v>140</v>
      </c>
      <c r="C83" s="10">
        <v>3.0</v>
      </c>
      <c r="D83" s="11">
        <v>153.0</v>
      </c>
      <c r="E83" s="12" t="s">
        <v>191</v>
      </c>
      <c r="F83" s="12" t="s">
        <v>192</v>
      </c>
      <c r="G83" s="12">
        <v>1031.0</v>
      </c>
      <c r="H83" s="10">
        <v>0.0</v>
      </c>
      <c r="I83" s="10">
        <v>2.8</v>
      </c>
      <c r="J83" s="10">
        <v>1.6</v>
      </c>
      <c r="K83" s="10">
        <v>1.4</v>
      </c>
      <c r="L83" s="10">
        <f t="shared" si="1"/>
        <v>5.8</v>
      </c>
      <c r="M83" s="10">
        <v>3.0</v>
      </c>
      <c r="N83" s="10">
        <v>1.0</v>
      </c>
      <c r="O83" s="14">
        <v>0.0</v>
      </c>
      <c r="P83" s="15">
        <v>1.0</v>
      </c>
      <c r="Q83" s="16">
        <v>7.0</v>
      </c>
      <c r="R83" s="10">
        <v>4.0</v>
      </c>
      <c r="S83" s="13"/>
      <c r="T83" s="13"/>
      <c r="U83" s="10">
        <v>9.0</v>
      </c>
      <c r="V83" s="10">
        <v>2.0</v>
      </c>
      <c r="W83" s="10">
        <v>2.0</v>
      </c>
      <c r="X83" s="13">
        <v>2.0</v>
      </c>
      <c r="Y83" s="13">
        <v>23.087259146082673</v>
      </c>
      <c r="Z83" s="13">
        <v>2.0</v>
      </c>
      <c r="AA83" s="13">
        <f>AVERAGE(arboles!E380:E388)</f>
        <v>1.222222222</v>
      </c>
      <c r="AB83" s="13">
        <f>AVERAGE(arboles!F380:F388)</f>
        <v>0</v>
      </c>
      <c r="AC83" s="13">
        <f>SUM(arboles!F380:F388)</f>
        <v>0</v>
      </c>
      <c r="AD83" s="17"/>
      <c r="AE83" s="18"/>
      <c r="AF83" s="17"/>
    </row>
    <row r="84">
      <c r="A84" s="9">
        <v>83.0</v>
      </c>
      <c r="B84" s="33" t="s">
        <v>140</v>
      </c>
      <c r="C84" s="10">
        <v>3.0</v>
      </c>
      <c r="D84" s="11">
        <v>154.0</v>
      </c>
      <c r="E84" s="12" t="s">
        <v>193</v>
      </c>
      <c r="F84" s="12" t="s">
        <v>194</v>
      </c>
      <c r="G84" s="12">
        <v>1031.4</v>
      </c>
      <c r="H84" s="10">
        <v>0.0</v>
      </c>
      <c r="I84" s="10">
        <v>4.2</v>
      </c>
      <c r="J84" s="10">
        <v>3.8</v>
      </c>
      <c r="K84" s="10">
        <v>5.4</v>
      </c>
      <c r="L84" s="10">
        <f t="shared" si="1"/>
        <v>13.4</v>
      </c>
      <c r="M84" s="10">
        <v>23.0</v>
      </c>
      <c r="N84" s="10">
        <v>1.0</v>
      </c>
      <c r="O84" s="14">
        <v>0.0</v>
      </c>
      <c r="P84" s="15">
        <v>0.0</v>
      </c>
      <c r="Q84" s="16">
        <v>0.0</v>
      </c>
      <c r="R84" s="10">
        <v>4.0</v>
      </c>
      <c r="S84" s="13"/>
      <c r="T84" s="13"/>
      <c r="U84" s="10">
        <v>7.0</v>
      </c>
      <c r="V84" s="10">
        <v>3.0</v>
      </c>
      <c r="W84" s="10">
        <v>2.0</v>
      </c>
      <c r="X84" s="13">
        <v>3.0</v>
      </c>
      <c r="Y84" s="13">
        <v>24.270471825093672</v>
      </c>
      <c r="Z84" s="13">
        <v>1.0</v>
      </c>
      <c r="AA84" s="13">
        <f>AVERAGE(arboles!E373:E379)</f>
        <v>1.571428571</v>
      </c>
      <c r="AB84" s="13">
        <f>AVERAGE(arboles!F373:F379)</f>
        <v>0</v>
      </c>
      <c r="AC84" s="13">
        <f>SUM(arboles!F373:F379)</f>
        <v>0</v>
      </c>
      <c r="AD84" s="17"/>
      <c r="AE84" s="18"/>
      <c r="AF84" s="17"/>
    </row>
    <row r="85">
      <c r="A85" s="9">
        <v>84.0</v>
      </c>
      <c r="B85" s="33" t="s">
        <v>140</v>
      </c>
      <c r="C85" s="10">
        <v>3.0</v>
      </c>
      <c r="D85" s="11">
        <v>155.0</v>
      </c>
      <c r="E85" s="12" t="s">
        <v>195</v>
      </c>
      <c r="F85" s="12" t="s">
        <v>196</v>
      </c>
      <c r="G85" s="12">
        <v>1048.7</v>
      </c>
      <c r="H85" s="10">
        <v>0.0</v>
      </c>
      <c r="I85" s="39">
        <v>0.8</v>
      </c>
      <c r="J85" s="10">
        <v>0.0</v>
      </c>
      <c r="K85" s="10">
        <v>0.0</v>
      </c>
      <c r="L85" s="10">
        <f t="shared" si="1"/>
        <v>0.8</v>
      </c>
      <c r="M85" s="10">
        <v>23.0</v>
      </c>
      <c r="N85" s="10">
        <v>1.0</v>
      </c>
      <c r="O85" s="14">
        <v>0.0</v>
      </c>
      <c r="P85" s="15">
        <v>0.0</v>
      </c>
      <c r="Q85" s="16">
        <v>0.0</v>
      </c>
      <c r="R85" s="10">
        <v>4.0</v>
      </c>
      <c r="S85" s="13"/>
      <c r="T85" s="13"/>
      <c r="U85" s="10">
        <v>3.0</v>
      </c>
      <c r="V85" s="10">
        <v>1.0</v>
      </c>
      <c r="W85" s="10">
        <v>1.0</v>
      </c>
      <c r="X85" s="13">
        <v>1.0</v>
      </c>
      <c r="Y85" s="13">
        <v>32.17044393514982</v>
      </c>
      <c r="Z85" s="13">
        <v>0.0</v>
      </c>
      <c r="AA85" s="13">
        <f>AVERAGE(arboles!E204:E206)</f>
        <v>2</v>
      </c>
      <c r="AB85" s="13">
        <f>AVERAGE(arboles!F204:F206)</f>
        <v>0</v>
      </c>
      <c r="AC85" s="13">
        <f>SUM(arboles!F204:F206)</f>
        <v>0</v>
      </c>
      <c r="AD85" s="17"/>
      <c r="AE85" s="18"/>
      <c r="AF85" s="17"/>
    </row>
    <row r="86">
      <c r="A86" s="9">
        <v>85.0</v>
      </c>
      <c r="B86" s="33" t="s">
        <v>140</v>
      </c>
      <c r="C86" s="10">
        <v>3.0</v>
      </c>
      <c r="D86" s="11">
        <v>156.0</v>
      </c>
      <c r="E86" s="12" t="s">
        <v>197</v>
      </c>
      <c r="F86" s="12" t="s">
        <v>198</v>
      </c>
      <c r="G86" s="12">
        <v>1052.5</v>
      </c>
      <c r="H86" s="10">
        <v>1.0</v>
      </c>
      <c r="I86" s="39">
        <v>1.6</v>
      </c>
      <c r="J86" s="10">
        <v>0.4</v>
      </c>
      <c r="K86" s="10">
        <v>0.4</v>
      </c>
      <c r="L86" s="10">
        <f t="shared" si="1"/>
        <v>2.4</v>
      </c>
      <c r="M86" s="10">
        <v>3.0</v>
      </c>
      <c r="N86" s="10">
        <v>1.0</v>
      </c>
      <c r="O86" s="14">
        <v>0.0</v>
      </c>
      <c r="P86" s="15">
        <v>0.0</v>
      </c>
      <c r="Q86" s="16">
        <v>0.0</v>
      </c>
      <c r="R86" s="10">
        <v>4.0</v>
      </c>
      <c r="S86" s="13"/>
      <c r="T86" s="13"/>
      <c r="U86" s="10">
        <v>7.0</v>
      </c>
      <c r="V86" s="10">
        <v>1.0</v>
      </c>
      <c r="W86" s="10">
        <v>1.0</v>
      </c>
      <c r="X86" s="13">
        <v>2.0</v>
      </c>
      <c r="Y86" s="13">
        <v>34.06251591545709</v>
      </c>
      <c r="Z86" s="13">
        <v>0.0</v>
      </c>
      <c r="AA86" s="13">
        <f>AVERAGE(arboles!E204:E206)</f>
        <v>2</v>
      </c>
      <c r="AB86" s="13">
        <f>AVERAGE(arboles!F204:F206)</f>
        <v>0</v>
      </c>
      <c r="AC86" s="13">
        <f>SUM(arboles!F207:F213)</f>
        <v>0</v>
      </c>
      <c r="AD86" s="17"/>
      <c r="AE86" s="18"/>
      <c r="AF86" s="17"/>
    </row>
    <row r="87">
      <c r="A87" s="23">
        <v>86.0</v>
      </c>
      <c r="B87" s="40" t="s">
        <v>140</v>
      </c>
      <c r="C87" s="24">
        <v>3.0</v>
      </c>
      <c r="D87" s="25">
        <v>159.0</v>
      </c>
      <c r="E87" s="26" t="s">
        <v>199</v>
      </c>
      <c r="F87" s="26" t="s">
        <v>200</v>
      </c>
      <c r="G87" s="26">
        <v>1101.5</v>
      </c>
      <c r="H87" s="24">
        <v>3.0</v>
      </c>
      <c r="I87" s="24">
        <v>1.2</v>
      </c>
      <c r="J87" s="24">
        <v>0.2</v>
      </c>
      <c r="K87" s="24">
        <v>0.0</v>
      </c>
      <c r="L87" s="24">
        <f t="shared" si="1"/>
        <v>1.4</v>
      </c>
      <c r="M87" s="24">
        <v>3.0</v>
      </c>
      <c r="N87" s="24">
        <v>1.0</v>
      </c>
      <c r="O87" s="28">
        <v>0.0</v>
      </c>
      <c r="P87" s="29">
        <v>0.0</v>
      </c>
      <c r="Q87" s="30">
        <v>0.0</v>
      </c>
      <c r="R87" s="24">
        <v>3.0</v>
      </c>
      <c r="S87" s="27"/>
      <c r="T87" s="27"/>
      <c r="U87" s="24">
        <v>10.0</v>
      </c>
      <c r="V87" s="24">
        <v>1.0</v>
      </c>
      <c r="W87" s="24">
        <v>0.0</v>
      </c>
      <c r="X87" s="27">
        <v>1.0</v>
      </c>
      <c r="Y87" s="27">
        <v>20.39390119684237</v>
      </c>
      <c r="Z87" s="27">
        <v>0.0</v>
      </c>
      <c r="AA87" s="27">
        <f>AVERAGE(arboles!E277:E286)</f>
        <v>1.6</v>
      </c>
      <c r="AB87" s="27">
        <f>AVERAGE(arboles!F277:F286)</f>
        <v>0</v>
      </c>
      <c r="AC87" s="27">
        <f>SUM(arboles!F277:F286)</f>
        <v>0</v>
      </c>
      <c r="AD87" s="17"/>
      <c r="AE87" s="18"/>
      <c r="AF87" s="17"/>
    </row>
    <row r="88">
      <c r="A88" s="41"/>
      <c r="B88" s="17"/>
      <c r="C88" s="17"/>
      <c r="D88" s="17"/>
      <c r="E88" s="42"/>
      <c r="F88" s="42"/>
      <c r="G88" s="42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4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41"/>
      <c r="B90" s="41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41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17"/>
      <c r="V92" s="17"/>
      <c r="W92" s="17"/>
      <c r="X92" s="17"/>
      <c r="Y92" s="17"/>
      <c r="Z92" s="17"/>
      <c r="AA92" s="17"/>
      <c r="AB92" s="17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17"/>
      <c r="V93" s="17"/>
      <c r="W93" s="17"/>
      <c r="X93" s="17"/>
      <c r="Y93" s="17"/>
      <c r="Z93" s="17"/>
      <c r="AA93" s="17"/>
      <c r="AB93" s="17"/>
    </row>
    <row r="94">
      <c r="D94" s="18"/>
      <c r="U94" s="44"/>
      <c r="V94" s="44"/>
      <c r="W94" s="44"/>
      <c r="X94" s="44"/>
      <c r="Y94" s="44"/>
      <c r="Z94" s="44"/>
      <c r="AA94" s="44"/>
      <c r="AB94" s="44"/>
    </row>
    <row r="95">
      <c r="D95" s="18"/>
      <c r="U95" s="44"/>
      <c r="V95" s="44"/>
      <c r="W95" s="44"/>
      <c r="X95" s="44"/>
      <c r="Y95" s="44"/>
      <c r="Z95" s="44"/>
      <c r="AA95" s="44"/>
      <c r="AB95" s="44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</sheetData>
  <conditionalFormatting sqref="D1:D999 Y1:Y87 Z2:AF87">
    <cfRule type="containsBlanks" dxfId="0" priority="1">
      <formula>LEN(TRIM(D1))=0</formula>
    </cfRule>
  </conditionalFormatting>
  <conditionalFormatting sqref="D1:D87">
    <cfRule type="notContainsBlanks" dxfId="1" priority="2">
      <formula>LEN(TRIM(D1))&gt;0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25"/>
    <col customWidth="1" min="3" max="3" width="4.88"/>
    <col customWidth="1" min="6" max="6" width="14.38"/>
    <col customWidth="1" min="8" max="8" width="16.25"/>
  </cols>
  <sheetData>
    <row r="1">
      <c r="A1" s="45" t="s">
        <v>1</v>
      </c>
      <c r="B1" s="45" t="s">
        <v>2</v>
      </c>
      <c r="C1" s="45" t="s">
        <v>3</v>
      </c>
      <c r="D1" s="45" t="s">
        <v>6</v>
      </c>
      <c r="E1" s="45" t="s">
        <v>7</v>
      </c>
      <c r="F1" s="45" t="s">
        <v>11</v>
      </c>
      <c r="G1" s="45" t="s">
        <v>201</v>
      </c>
      <c r="H1" s="45" t="s">
        <v>17</v>
      </c>
      <c r="I1" s="45" t="s">
        <v>202</v>
      </c>
      <c r="J1" s="45" t="s">
        <v>203</v>
      </c>
      <c r="K1" s="45" t="s">
        <v>204</v>
      </c>
      <c r="L1" s="45" t="s">
        <v>26</v>
      </c>
    </row>
    <row r="2">
      <c r="A2" s="45" t="s">
        <v>28</v>
      </c>
      <c r="B2" s="45">
        <v>1.0</v>
      </c>
      <c r="C2" s="45">
        <v>2.0</v>
      </c>
      <c r="D2" s="45">
        <v>419.1</v>
      </c>
      <c r="E2" s="45">
        <v>0.0</v>
      </c>
      <c r="F2" s="45">
        <v>3.6</v>
      </c>
      <c r="G2" s="45">
        <v>0.0</v>
      </c>
      <c r="H2" s="45">
        <v>4.0</v>
      </c>
      <c r="I2" s="18">
        <v>3.0</v>
      </c>
      <c r="J2" s="18">
        <v>17.749713521772346</v>
      </c>
      <c r="K2" s="18">
        <v>4.0</v>
      </c>
      <c r="L2" s="18">
        <v>1.0</v>
      </c>
    </row>
    <row r="3">
      <c r="A3" s="45" t="s">
        <v>28</v>
      </c>
      <c r="B3" s="45">
        <v>1.0</v>
      </c>
      <c r="C3" s="45">
        <v>3.0</v>
      </c>
      <c r="D3" s="45">
        <v>418.2</v>
      </c>
      <c r="E3" s="45">
        <v>0.0</v>
      </c>
      <c r="F3" s="45">
        <v>2.6</v>
      </c>
      <c r="G3" s="45">
        <v>0.0</v>
      </c>
      <c r="H3" s="45">
        <v>3.0</v>
      </c>
      <c r="I3" s="18">
        <v>5.0</v>
      </c>
      <c r="J3" s="18">
        <v>16.64756811815635</v>
      </c>
      <c r="K3" s="18">
        <v>1.0</v>
      </c>
      <c r="L3" s="18">
        <v>1.4</v>
      </c>
    </row>
    <row r="4">
      <c r="A4" s="45" t="s">
        <v>28</v>
      </c>
      <c r="B4" s="45">
        <v>1.0</v>
      </c>
      <c r="C4" s="45">
        <v>4.0</v>
      </c>
      <c r="D4" s="45">
        <v>418.0</v>
      </c>
      <c r="E4" s="45">
        <v>0.0</v>
      </c>
      <c r="F4" s="45">
        <v>9.8</v>
      </c>
      <c r="G4" s="45">
        <v>0.0</v>
      </c>
      <c r="H4" s="45">
        <v>3.0</v>
      </c>
      <c r="I4" s="45">
        <v>7.0</v>
      </c>
      <c r="J4" s="18">
        <v>28.76037768900264</v>
      </c>
      <c r="K4" s="18">
        <v>3.0</v>
      </c>
      <c r="L4" s="18">
        <v>1.5</v>
      </c>
    </row>
    <row r="5">
      <c r="A5" s="45" t="s">
        <v>28</v>
      </c>
      <c r="B5" s="45">
        <v>1.0</v>
      </c>
      <c r="C5" s="45">
        <v>5.0</v>
      </c>
      <c r="D5" s="45">
        <v>415.6</v>
      </c>
      <c r="E5" s="45">
        <v>0.0</v>
      </c>
      <c r="F5" s="45">
        <v>8.4</v>
      </c>
      <c r="G5" s="45">
        <v>0.0</v>
      </c>
      <c r="H5" s="45">
        <v>3.0</v>
      </c>
      <c r="I5" s="45">
        <v>6.0</v>
      </c>
      <c r="J5" s="18">
        <v>31.910788557847383</v>
      </c>
      <c r="K5" s="18">
        <v>2.0</v>
      </c>
      <c r="L5" s="18">
        <v>1.0</v>
      </c>
    </row>
    <row r="6">
      <c r="A6" s="45" t="s">
        <v>28</v>
      </c>
      <c r="B6" s="45">
        <v>1.0</v>
      </c>
      <c r="C6" s="45">
        <v>6.0</v>
      </c>
      <c r="D6" s="45">
        <v>424.8</v>
      </c>
      <c r="E6" s="45">
        <v>0.0</v>
      </c>
      <c r="F6" s="45">
        <v>4.2</v>
      </c>
      <c r="G6" s="45">
        <v>0.0</v>
      </c>
      <c r="H6" s="45">
        <v>3.0</v>
      </c>
      <c r="I6" s="18">
        <v>5.0</v>
      </c>
      <c r="J6" s="18">
        <v>35.77019898868639</v>
      </c>
      <c r="K6" s="18">
        <v>1.0</v>
      </c>
      <c r="L6" s="18">
        <v>1.1428571428571428</v>
      </c>
    </row>
    <row r="7">
      <c r="A7" s="45" t="s">
        <v>28</v>
      </c>
      <c r="B7" s="45">
        <v>1.0</v>
      </c>
      <c r="C7" s="45">
        <v>7.0</v>
      </c>
      <c r="D7" s="45">
        <v>424.0</v>
      </c>
      <c r="E7" s="45">
        <v>0.0</v>
      </c>
      <c r="F7" s="45">
        <v>3.4</v>
      </c>
      <c r="G7" s="45">
        <v>0.0</v>
      </c>
      <c r="H7" s="45">
        <v>3.0</v>
      </c>
      <c r="I7" s="18">
        <v>3.0</v>
      </c>
      <c r="J7" s="18">
        <v>23.771517697988294</v>
      </c>
      <c r="K7" s="18">
        <v>3.0</v>
      </c>
      <c r="L7" s="18">
        <v>1.3</v>
      </c>
    </row>
    <row r="8">
      <c r="A8" s="45" t="s">
        <v>28</v>
      </c>
      <c r="B8" s="45">
        <v>1.0</v>
      </c>
      <c r="C8" s="45">
        <v>8.0</v>
      </c>
      <c r="D8" s="45">
        <v>421.6</v>
      </c>
      <c r="E8" s="45">
        <v>0.0</v>
      </c>
      <c r="F8" s="45">
        <v>3.8</v>
      </c>
      <c r="G8" s="45">
        <v>0.2</v>
      </c>
      <c r="H8" s="45">
        <v>2.0</v>
      </c>
      <c r="I8" s="18">
        <v>5.0</v>
      </c>
      <c r="J8" s="18">
        <v>35.44182764014697</v>
      </c>
      <c r="K8" s="18">
        <v>3.0</v>
      </c>
      <c r="L8" s="18">
        <v>1.7142857142857142</v>
      </c>
    </row>
    <row r="9">
      <c r="A9" s="45" t="s">
        <v>28</v>
      </c>
      <c r="B9" s="45">
        <v>1.0</v>
      </c>
      <c r="C9" s="45">
        <v>10.0</v>
      </c>
      <c r="D9" s="45">
        <v>423.8</v>
      </c>
      <c r="E9" s="45">
        <v>0.0</v>
      </c>
      <c r="F9" s="45">
        <v>4.6</v>
      </c>
      <c r="G9" s="45">
        <v>0.0</v>
      </c>
      <c r="H9" s="45">
        <v>4.0</v>
      </c>
      <c r="I9" s="18">
        <v>4.0</v>
      </c>
      <c r="J9" s="18">
        <v>35.09291723962313</v>
      </c>
      <c r="K9" s="18">
        <v>0.0</v>
      </c>
      <c r="L9" s="18">
        <v>1.0</v>
      </c>
    </row>
    <row r="10">
      <c r="A10" s="45" t="s">
        <v>28</v>
      </c>
      <c r="B10" s="45">
        <v>1.0</v>
      </c>
      <c r="C10" s="45">
        <v>11.0</v>
      </c>
      <c r="D10" s="45">
        <v>426.1</v>
      </c>
      <c r="E10" s="45">
        <v>0.0</v>
      </c>
      <c r="F10" s="45">
        <v>5.0</v>
      </c>
      <c r="G10" s="45">
        <v>0.0</v>
      </c>
      <c r="H10" s="45">
        <v>3.0</v>
      </c>
      <c r="I10" s="18">
        <v>5.0</v>
      </c>
      <c r="J10" s="18">
        <v>19.361153552330023</v>
      </c>
      <c r="K10" s="18">
        <v>11.0</v>
      </c>
      <c r="L10" s="18">
        <v>1.375</v>
      </c>
    </row>
    <row r="11">
      <c r="A11" s="45" t="s">
        <v>28</v>
      </c>
      <c r="B11" s="45">
        <v>1.0</v>
      </c>
      <c r="C11" s="45">
        <v>12.0</v>
      </c>
      <c r="D11" s="45">
        <v>424.3</v>
      </c>
      <c r="E11" s="45">
        <v>0.0</v>
      </c>
      <c r="F11" s="45">
        <v>4.8</v>
      </c>
      <c r="G11" s="45">
        <v>0.0</v>
      </c>
      <c r="H11" s="45">
        <v>3.0</v>
      </c>
      <c r="I11" s="18">
        <v>4.0</v>
      </c>
      <c r="J11" s="18">
        <v>21.71664120193532</v>
      </c>
      <c r="K11" s="18">
        <v>3.0</v>
      </c>
      <c r="L11" s="18">
        <v>1.5</v>
      </c>
    </row>
    <row r="12">
      <c r="A12" s="45" t="s">
        <v>28</v>
      </c>
      <c r="B12" s="45">
        <v>1.0</v>
      </c>
      <c r="C12" s="45">
        <v>14.0</v>
      </c>
      <c r="D12" s="45">
        <v>420.0</v>
      </c>
      <c r="E12" s="45">
        <v>0.0</v>
      </c>
      <c r="F12" s="45">
        <v>4.4</v>
      </c>
      <c r="G12" s="45">
        <v>0.2</v>
      </c>
      <c r="H12" s="45">
        <v>3.0</v>
      </c>
      <c r="I12" s="45">
        <v>5.0</v>
      </c>
      <c r="J12" s="18">
        <v>17.427425515660808</v>
      </c>
      <c r="K12" s="18">
        <v>0.0</v>
      </c>
      <c r="L12" s="18">
        <v>1.0</v>
      </c>
    </row>
    <row r="13">
      <c r="A13" s="45" t="s">
        <v>28</v>
      </c>
      <c r="B13" s="45">
        <v>1.0</v>
      </c>
      <c r="C13" s="45">
        <v>15.0</v>
      </c>
      <c r="D13" s="45">
        <v>416.4</v>
      </c>
      <c r="E13" s="45">
        <v>0.0</v>
      </c>
      <c r="F13" s="45">
        <v>4.0</v>
      </c>
      <c r="G13" s="45">
        <v>0.0</v>
      </c>
      <c r="H13" s="45">
        <v>3.0</v>
      </c>
      <c r="I13" s="45">
        <v>8.0</v>
      </c>
      <c r="J13" s="46">
        <v>81.3752652576182</v>
      </c>
      <c r="K13" s="46">
        <v>4.0</v>
      </c>
      <c r="L13" s="18">
        <v>1.2222222222222223</v>
      </c>
    </row>
    <row r="14">
      <c r="A14" s="45" t="s">
        <v>28</v>
      </c>
      <c r="B14" s="45">
        <v>1.0</v>
      </c>
      <c r="C14" s="45">
        <v>16.0</v>
      </c>
      <c r="D14" s="45">
        <v>426.2</v>
      </c>
      <c r="E14" s="45">
        <v>0.0</v>
      </c>
      <c r="F14" s="45">
        <v>11.8</v>
      </c>
      <c r="G14" s="45">
        <v>0.0</v>
      </c>
      <c r="H14" s="45">
        <v>2.0</v>
      </c>
      <c r="I14" s="18">
        <v>4.0</v>
      </c>
      <c r="J14" s="18">
        <v>19.484042101689163</v>
      </c>
      <c r="K14" s="18">
        <v>1.0</v>
      </c>
      <c r="L14" s="18">
        <v>1.5555555555555556</v>
      </c>
    </row>
    <row r="15">
      <c r="A15" s="45" t="s">
        <v>28</v>
      </c>
      <c r="B15" s="45">
        <v>1.0</v>
      </c>
      <c r="C15" s="45">
        <v>17.0</v>
      </c>
      <c r="D15" s="45">
        <v>424.1</v>
      </c>
      <c r="E15" s="45">
        <v>0.0</v>
      </c>
      <c r="F15" s="45">
        <v>4.6</v>
      </c>
      <c r="G15" s="45">
        <v>0.0</v>
      </c>
      <c r="H15" s="45">
        <v>3.0</v>
      </c>
      <c r="I15" s="18">
        <v>5.0</v>
      </c>
      <c r="J15" s="18">
        <v>31.61089890501655</v>
      </c>
      <c r="K15" s="18">
        <v>5.0</v>
      </c>
      <c r="L15" s="18">
        <v>1.2</v>
      </c>
    </row>
    <row r="16">
      <c r="A16" s="45" t="s">
        <v>28</v>
      </c>
      <c r="B16" s="45">
        <v>1.0</v>
      </c>
      <c r="C16" s="45">
        <v>18.0</v>
      </c>
      <c r="D16" s="45">
        <v>422.2</v>
      </c>
      <c r="E16" s="45">
        <v>0.0</v>
      </c>
      <c r="F16" s="45">
        <v>5.6</v>
      </c>
      <c r="G16" s="45">
        <v>0.0</v>
      </c>
      <c r="H16" s="45">
        <v>2.0</v>
      </c>
      <c r="I16" s="18">
        <v>5.0</v>
      </c>
      <c r="J16" s="18">
        <v>49.082222222222214</v>
      </c>
      <c r="K16" s="18">
        <v>7.0</v>
      </c>
      <c r="L16" s="18">
        <v>1.4444444444444444</v>
      </c>
    </row>
    <row r="17">
      <c r="A17" s="45" t="s">
        <v>28</v>
      </c>
      <c r="B17" s="45">
        <v>1.0</v>
      </c>
      <c r="C17" s="45">
        <v>19.0</v>
      </c>
      <c r="D17" s="45">
        <v>421.0</v>
      </c>
      <c r="E17" s="45">
        <v>0.0</v>
      </c>
      <c r="F17" s="45">
        <v>6.0</v>
      </c>
      <c r="G17" s="45">
        <v>0.0</v>
      </c>
      <c r="H17" s="45">
        <v>2.0</v>
      </c>
      <c r="I17" s="18">
        <v>5.0</v>
      </c>
      <c r="J17" s="18">
        <v>28.436210847975556</v>
      </c>
      <c r="K17" s="18">
        <v>10.0</v>
      </c>
      <c r="L17" s="18">
        <v>1.4285714285714286</v>
      </c>
    </row>
    <row r="18">
      <c r="A18" s="45" t="s">
        <v>28</v>
      </c>
      <c r="B18" s="45">
        <v>1.0</v>
      </c>
      <c r="C18" s="45">
        <v>20.0</v>
      </c>
      <c r="D18" s="45">
        <v>418.7</v>
      </c>
      <c r="E18" s="45">
        <v>0.0</v>
      </c>
      <c r="F18" s="45">
        <v>4.6</v>
      </c>
      <c r="G18" s="45">
        <v>0.0</v>
      </c>
      <c r="H18" s="45">
        <v>4.0</v>
      </c>
      <c r="I18" s="18">
        <v>6.0</v>
      </c>
      <c r="J18" s="18">
        <v>22.280112044817926</v>
      </c>
      <c r="K18" s="18">
        <v>5.0</v>
      </c>
      <c r="L18" s="18">
        <v>1.3333333333333333</v>
      </c>
    </row>
    <row r="19">
      <c r="A19" s="45" t="s">
        <v>28</v>
      </c>
      <c r="B19" s="45">
        <v>1.0</v>
      </c>
      <c r="C19" s="45">
        <v>21.0</v>
      </c>
      <c r="D19" s="45">
        <v>424.4</v>
      </c>
      <c r="E19" s="45">
        <v>0.0</v>
      </c>
      <c r="F19" s="45">
        <v>10.8</v>
      </c>
      <c r="G19" s="45">
        <v>0.0</v>
      </c>
      <c r="H19" s="45">
        <v>2.0</v>
      </c>
      <c r="I19" s="18">
        <v>3.0</v>
      </c>
      <c r="J19" s="18">
        <v>17.641850128481142</v>
      </c>
      <c r="K19" s="18">
        <v>3.0</v>
      </c>
      <c r="L19" s="18">
        <v>1.2727272727272727</v>
      </c>
    </row>
    <row r="20">
      <c r="A20" s="45" t="s">
        <v>28</v>
      </c>
      <c r="B20" s="45">
        <v>1.0</v>
      </c>
      <c r="C20" s="45">
        <v>23.0</v>
      </c>
      <c r="D20" s="45">
        <v>421.6</v>
      </c>
      <c r="E20" s="45">
        <v>0.0</v>
      </c>
      <c r="F20" s="45">
        <v>7.4</v>
      </c>
      <c r="G20" s="45">
        <v>0.0</v>
      </c>
      <c r="H20" s="45">
        <v>1.0</v>
      </c>
      <c r="I20" s="18">
        <v>3.0</v>
      </c>
      <c r="J20" s="18">
        <v>18.432791298337516</v>
      </c>
      <c r="K20" s="18">
        <v>4.0</v>
      </c>
      <c r="L20" s="18">
        <v>1.7142857142857142</v>
      </c>
    </row>
    <row r="21">
      <c r="A21" s="45" t="s">
        <v>28</v>
      </c>
      <c r="B21" s="45">
        <v>1.0</v>
      </c>
      <c r="C21" s="45">
        <v>24.0</v>
      </c>
      <c r="D21" s="45">
        <v>421.8</v>
      </c>
      <c r="E21" s="45">
        <v>0.0</v>
      </c>
      <c r="F21" s="45">
        <v>8.4</v>
      </c>
      <c r="G21" s="45">
        <v>0.0</v>
      </c>
      <c r="H21" s="45">
        <v>1.0</v>
      </c>
      <c r="I21" s="18">
        <v>5.0</v>
      </c>
      <c r="J21" s="18">
        <v>21.186783804430863</v>
      </c>
      <c r="K21" s="18">
        <v>1.0</v>
      </c>
      <c r="L21" s="18">
        <v>1.2</v>
      </c>
    </row>
    <row r="22">
      <c r="A22" s="45" t="s">
        <v>28</v>
      </c>
      <c r="B22" s="45">
        <v>1.0</v>
      </c>
      <c r="C22" s="45">
        <v>30.0</v>
      </c>
      <c r="D22" s="45">
        <v>420.1</v>
      </c>
      <c r="E22" s="45">
        <v>0.0</v>
      </c>
      <c r="F22" s="45">
        <v>17.2</v>
      </c>
      <c r="G22" s="45">
        <v>0.0</v>
      </c>
      <c r="H22" s="45">
        <v>1.0</v>
      </c>
      <c r="I22" s="18">
        <v>1.0</v>
      </c>
      <c r="J22" s="18">
        <v>21.2</v>
      </c>
      <c r="K22" s="18">
        <v>1.0</v>
      </c>
      <c r="L22" s="18">
        <v>1.5</v>
      </c>
    </row>
    <row r="23">
      <c r="A23" s="45" t="s">
        <v>28</v>
      </c>
      <c r="B23" s="45">
        <v>1.0</v>
      </c>
      <c r="C23" s="45">
        <v>31.0</v>
      </c>
      <c r="D23" s="45">
        <v>423.4</v>
      </c>
      <c r="E23" s="45">
        <v>0.0</v>
      </c>
      <c r="F23" s="45">
        <v>5.8</v>
      </c>
      <c r="G23" s="45">
        <v>0.0</v>
      </c>
      <c r="H23" s="45">
        <v>3.0</v>
      </c>
      <c r="I23" s="18">
        <v>4.0</v>
      </c>
      <c r="J23" s="18">
        <v>34.785714285714285</v>
      </c>
      <c r="K23" s="18">
        <v>3.0</v>
      </c>
      <c r="L23" s="18">
        <v>1.1428571428571428</v>
      </c>
    </row>
    <row r="24">
      <c r="A24" s="45" t="s">
        <v>28</v>
      </c>
      <c r="B24" s="45">
        <v>1.0</v>
      </c>
      <c r="C24" s="45">
        <v>34.0</v>
      </c>
      <c r="D24" s="45">
        <v>420.3</v>
      </c>
      <c r="E24" s="45">
        <v>0.0</v>
      </c>
      <c r="F24" s="45">
        <v>9.8</v>
      </c>
      <c r="G24" s="45">
        <v>0.0</v>
      </c>
      <c r="H24" s="45">
        <v>3.0</v>
      </c>
      <c r="I24" s="18">
        <v>4.0</v>
      </c>
      <c r="J24" s="18">
        <v>25.475</v>
      </c>
      <c r="K24" s="18">
        <v>0.0</v>
      </c>
      <c r="L24" s="18">
        <v>1.0</v>
      </c>
    </row>
    <row r="25">
      <c r="A25" s="45" t="s">
        <v>28</v>
      </c>
      <c r="B25" s="45">
        <v>1.0</v>
      </c>
      <c r="C25" s="45">
        <v>36.0</v>
      </c>
      <c r="D25" s="45">
        <v>424.7</v>
      </c>
      <c r="E25" s="45">
        <v>0.0</v>
      </c>
      <c r="F25" s="45">
        <v>6.4</v>
      </c>
      <c r="G25" s="45">
        <v>0.0</v>
      </c>
      <c r="H25" s="45">
        <v>2.0</v>
      </c>
      <c r="I25" s="18">
        <v>5.0</v>
      </c>
      <c r="J25" s="18">
        <v>31.548115609880316</v>
      </c>
      <c r="K25" s="18">
        <v>3.0</v>
      </c>
      <c r="L25" s="18">
        <v>1.5</v>
      </c>
    </row>
    <row r="26">
      <c r="A26" s="45" t="s">
        <v>28</v>
      </c>
      <c r="B26" s="45">
        <v>1.0</v>
      </c>
      <c r="C26" s="45">
        <v>38.0</v>
      </c>
      <c r="D26" s="45">
        <v>422.0</v>
      </c>
      <c r="E26" s="45">
        <v>0.0</v>
      </c>
      <c r="F26" s="45">
        <v>5.6</v>
      </c>
      <c r="G26" s="45">
        <v>0.0</v>
      </c>
      <c r="H26" s="45">
        <v>2.0</v>
      </c>
      <c r="I26" s="45">
        <v>5.0</v>
      </c>
      <c r="J26" s="18">
        <v>18.778558696205756</v>
      </c>
      <c r="K26" s="18">
        <v>1.0</v>
      </c>
      <c r="L26" s="18">
        <v>1.0</v>
      </c>
    </row>
    <row r="27">
      <c r="A27" s="45" t="s">
        <v>28</v>
      </c>
      <c r="B27" s="45">
        <v>1.0</v>
      </c>
      <c r="C27" s="45">
        <v>40.0</v>
      </c>
      <c r="D27" s="45">
        <v>421.5</v>
      </c>
      <c r="E27" s="45">
        <v>0.0</v>
      </c>
      <c r="F27" s="45">
        <v>10.0</v>
      </c>
      <c r="G27" s="45">
        <v>0.0</v>
      </c>
      <c r="H27" s="45">
        <v>3.0</v>
      </c>
      <c r="I27" s="18">
        <v>5.0</v>
      </c>
      <c r="J27" s="18">
        <v>45.47379679144385</v>
      </c>
      <c r="K27" s="18">
        <v>3.0</v>
      </c>
      <c r="L27" s="18">
        <v>1.0</v>
      </c>
    </row>
    <row r="28">
      <c r="A28" s="45" t="s">
        <v>80</v>
      </c>
      <c r="B28" s="45">
        <v>2.0</v>
      </c>
      <c r="C28" s="45">
        <v>81.0</v>
      </c>
      <c r="D28" s="45">
        <v>404.4</v>
      </c>
      <c r="E28" s="45">
        <v>1.0</v>
      </c>
      <c r="F28" s="45">
        <v>15.4</v>
      </c>
      <c r="G28" s="45">
        <v>0.0</v>
      </c>
      <c r="H28" s="45">
        <v>2.0</v>
      </c>
      <c r="I28" s="18">
        <v>3.0</v>
      </c>
      <c r="J28" s="18">
        <v>33.19107036754096</v>
      </c>
      <c r="K28" s="18">
        <v>0.0</v>
      </c>
      <c r="L28" s="18">
        <v>1.3333333333333333</v>
      </c>
    </row>
    <row r="29">
      <c r="A29" s="45" t="s">
        <v>80</v>
      </c>
      <c r="B29" s="45">
        <v>2.0</v>
      </c>
      <c r="C29" s="45">
        <v>82.0</v>
      </c>
      <c r="D29" s="45">
        <v>409.6</v>
      </c>
      <c r="E29" s="45">
        <v>1.0</v>
      </c>
      <c r="F29" s="45">
        <v>7.4</v>
      </c>
      <c r="G29" s="45">
        <v>0.0</v>
      </c>
      <c r="H29" s="45">
        <v>2.0</v>
      </c>
      <c r="I29" s="18">
        <v>3.0</v>
      </c>
      <c r="J29" s="18">
        <v>15.891583906289789</v>
      </c>
      <c r="K29" s="18">
        <v>0.0</v>
      </c>
      <c r="L29" s="18">
        <v>1.0</v>
      </c>
    </row>
    <row r="30">
      <c r="A30" s="45" t="s">
        <v>80</v>
      </c>
      <c r="B30" s="45">
        <v>2.0</v>
      </c>
      <c r="C30" s="45">
        <v>83.0</v>
      </c>
      <c r="D30" s="45">
        <v>402.7</v>
      </c>
      <c r="E30" s="45">
        <v>1.0</v>
      </c>
      <c r="F30" s="45">
        <v>11.2</v>
      </c>
      <c r="G30" s="45">
        <v>9.6</v>
      </c>
      <c r="H30" s="45">
        <v>4.0</v>
      </c>
      <c r="I30" s="18">
        <v>2.0</v>
      </c>
      <c r="J30" s="18">
        <v>45.40881079704609</v>
      </c>
      <c r="K30" s="18">
        <v>0.0</v>
      </c>
      <c r="L30" s="18">
        <v>1.0</v>
      </c>
    </row>
    <row r="31">
      <c r="A31" s="45" t="s">
        <v>80</v>
      </c>
      <c r="B31" s="45">
        <v>2.0</v>
      </c>
      <c r="C31" s="45">
        <v>84.0</v>
      </c>
      <c r="D31" s="45">
        <v>400.0</v>
      </c>
      <c r="E31" s="45">
        <v>1.0</v>
      </c>
      <c r="F31" s="45">
        <v>14.0</v>
      </c>
      <c r="G31" s="45">
        <v>0.0</v>
      </c>
      <c r="H31" s="45">
        <v>4.0</v>
      </c>
      <c r="I31" s="18">
        <v>5.0</v>
      </c>
      <c r="J31" s="18">
        <v>43.17961123843477</v>
      </c>
      <c r="K31" s="18">
        <v>1.0</v>
      </c>
      <c r="L31" s="18">
        <v>1.1666666666666667</v>
      </c>
    </row>
    <row r="32">
      <c r="A32" s="45" t="s">
        <v>80</v>
      </c>
      <c r="B32" s="45">
        <v>2.0</v>
      </c>
      <c r="C32" s="45">
        <v>85.0</v>
      </c>
      <c r="D32" s="45">
        <v>386.7</v>
      </c>
      <c r="E32" s="45">
        <v>2.0</v>
      </c>
      <c r="F32" s="45">
        <v>7.2</v>
      </c>
      <c r="G32" s="45">
        <v>0.0</v>
      </c>
      <c r="H32" s="45">
        <v>4.0</v>
      </c>
      <c r="I32" s="18">
        <v>5.0</v>
      </c>
      <c r="J32" s="18">
        <v>30.149796282149225</v>
      </c>
      <c r="K32" s="18">
        <v>0.0</v>
      </c>
      <c r="L32" s="18">
        <v>1.0</v>
      </c>
    </row>
    <row r="33">
      <c r="A33" s="45" t="s">
        <v>80</v>
      </c>
      <c r="B33" s="45">
        <v>2.0</v>
      </c>
      <c r="C33" s="45">
        <v>87.0</v>
      </c>
      <c r="D33" s="45">
        <v>413.9</v>
      </c>
      <c r="E33" s="45">
        <v>2.0</v>
      </c>
      <c r="F33" s="45">
        <v>13.2</v>
      </c>
      <c r="G33" s="45">
        <v>0.0</v>
      </c>
      <c r="H33" s="45">
        <v>2.0</v>
      </c>
      <c r="I33" s="18">
        <v>5.0</v>
      </c>
      <c r="J33" s="18">
        <v>27.271999708974498</v>
      </c>
      <c r="K33" s="18">
        <v>2.0</v>
      </c>
      <c r="L33" s="18">
        <v>1.2857142857142858</v>
      </c>
    </row>
    <row r="34">
      <c r="A34" s="45" t="s">
        <v>80</v>
      </c>
      <c r="B34" s="45">
        <v>2.0</v>
      </c>
      <c r="C34" s="45">
        <v>88.0</v>
      </c>
      <c r="D34" s="45">
        <v>414.2</v>
      </c>
      <c r="E34" s="45">
        <v>1.0</v>
      </c>
      <c r="F34" s="45">
        <v>7.6</v>
      </c>
      <c r="G34" s="45">
        <v>0.0</v>
      </c>
      <c r="H34" s="45">
        <v>3.0</v>
      </c>
      <c r="I34" s="18">
        <v>3.0</v>
      </c>
      <c r="J34" s="18">
        <v>31.45772854596384</v>
      </c>
      <c r="K34" s="18">
        <v>0.0</v>
      </c>
      <c r="L34" s="18">
        <v>1.25</v>
      </c>
    </row>
    <row r="35">
      <c r="A35" s="45" t="s">
        <v>80</v>
      </c>
      <c r="B35" s="45">
        <v>2.0</v>
      </c>
      <c r="C35" s="45">
        <v>89.0</v>
      </c>
      <c r="D35" s="45">
        <v>412.2</v>
      </c>
      <c r="E35" s="45">
        <v>1.0</v>
      </c>
      <c r="F35" s="45">
        <v>10.8</v>
      </c>
      <c r="G35" s="45">
        <v>0.0</v>
      </c>
      <c r="H35" s="45">
        <v>2.0</v>
      </c>
      <c r="I35" s="18">
        <v>4.0</v>
      </c>
      <c r="J35" s="18">
        <v>36.88601986249045</v>
      </c>
      <c r="K35" s="18">
        <v>2.0</v>
      </c>
      <c r="L35" s="18">
        <v>1.6</v>
      </c>
    </row>
    <row r="36">
      <c r="A36" s="45" t="s">
        <v>80</v>
      </c>
      <c r="B36" s="45">
        <v>2.0</v>
      </c>
      <c r="C36" s="45">
        <v>91.0</v>
      </c>
      <c r="D36" s="45">
        <v>409.9</v>
      </c>
      <c r="E36" s="45">
        <v>2.0</v>
      </c>
      <c r="F36" s="45">
        <v>4.2</v>
      </c>
      <c r="G36" s="45">
        <v>0.0</v>
      </c>
      <c r="H36" s="45">
        <v>3.0</v>
      </c>
      <c r="I36" s="18">
        <v>5.0</v>
      </c>
      <c r="J36" s="18">
        <v>30.653170359052712</v>
      </c>
      <c r="K36" s="18">
        <v>1.0</v>
      </c>
      <c r="L36" s="18">
        <v>1.3333333333333333</v>
      </c>
    </row>
    <row r="37">
      <c r="A37" s="45" t="s">
        <v>80</v>
      </c>
      <c r="B37" s="45">
        <v>2.0</v>
      </c>
      <c r="C37" s="45">
        <v>92.0</v>
      </c>
      <c r="D37" s="45">
        <v>397.5</v>
      </c>
      <c r="E37" s="45">
        <v>2.0</v>
      </c>
      <c r="F37" s="45">
        <v>6.4</v>
      </c>
      <c r="G37" s="45">
        <v>0.0</v>
      </c>
      <c r="H37" s="45">
        <v>2.0</v>
      </c>
      <c r="I37" s="18">
        <v>3.0</v>
      </c>
      <c r="J37" s="18">
        <v>41.24211866564807</v>
      </c>
      <c r="K37" s="18">
        <v>0.0</v>
      </c>
      <c r="L37" s="18">
        <v>1.0</v>
      </c>
    </row>
    <row r="38">
      <c r="A38" s="45" t="s">
        <v>80</v>
      </c>
      <c r="B38" s="45">
        <v>2.0</v>
      </c>
      <c r="C38" s="45">
        <v>94.0</v>
      </c>
      <c r="D38" s="45">
        <v>421.3</v>
      </c>
      <c r="E38" s="45">
        <v>2.0</v>
      </c>
      <c r="F38" s="45">
        <v>7.8</v>
      </c>
      <c r="G38" s="45">
        <v>0.0</v>
      </c>
      <c r="H38" s="45">
        <v>2.0</v>
      </c>
      <c r="I38" s="18">
        <v>4.0</v>
      </c>
      <c r="J38" s="18">
        <v>33.119599354893474</v>
      </c>
      <c r="K38" s="18">
        <v>1.0</v>
      </c>
      <c r="L38" s="18">
        <v>1.8333333333333333</v>
      </c>
    </row>
    <row r="39">
      <c r="A39" s="45" t="s">
        <v>80</v>
      </c>
      <c r="B39" s="45">
        <v>2.0</v>
      </c>
      <c r="C39" s="45">
        <v>98.0</v>
      </c>
      <c r="D39" s="45">
        <v>431.5</v>
      </c>
      <c r="E39" s="45">
        <v>2.0</v>
      </c>
      <c r="F39" s="45">
        <v>7.6</v>
      </c>
      <c r="G39" s="45">
        <v>0.0</v>
      </c>
      <c r="H39" s="45">
        <v>2.0</v>
      </c>
      <c r="I39" s="18">
        <v>4.0</v>
      </c>
      <c r="J39" s="18">
        <v>29.113035113035114</v>
      </c>
      <c r="K39" s="18">
        <v>6.0</v>
      </c>
      <c r="L39" s="18">
        <v>1.5555555555555556</v>
      </c>
    </row>
    <row r="40">
      <c r="A40" s="45" t="s">
        <v>80</v>
      </c>
      <c r="B40" s="45">
        <v>2.0</v>
      </c>
      <c r="C40" s="45">
        <v>99.0</v>
      </c>
      <c r="D40" s="45">
        <v>425.6</v>
      </c>
      <c r="E40" s="45">
        <v>2.0</v>
      </c>
      <c r="F40" s="45">
        <v>15.6</v>
      </c>
      <c r="G40" s="45">
        <v>1.4</v>
      </c>
      <c r="H40" s="45">
        <v>2.0</v>
      </c>
      <c r="I40" s="18">
        <v>4.0</v>
      </c>
      <c r="J40" s="18">
        <v>15.0</v>
      </c>
      <c r="K40" s="18">
        <v>0.0</v>
      </c>
      <c r="L40" s="18">
        <v>2.0</v>
      </c>
    </row>
    <row r="41">
      <c r="A41" s="45" t="s">
        <v>80</v>
      </c>
      <c r="B41" s="45">
        <v>2.0</v>
      </c>
      <c r="C41" s="45">
        <v>101.0</v>
      </c>
      <c r="D41" s="45">
        <v>425.9</v>
      </c>
      <c r="E41" s="45">
        <v>2.0</v>
      </c>
      <c r="F41" s="45">
        <v>17.6</v>
      </c>
      <c r="G41" s="45">
        <v>13.0</v>
      </c>
      <c r="H41" s="45">
        <v>1.0</v>
      </c>
      <c r="I41" s="18">
        <v>4.0</v>
      </c>
      <c r="J41" s="18">
        <v>25.716407775231307</v>
      </c>
      <c r="K41" s="18">
        <v>0.0</v>
      </c>
      <c r="L41" s="18">
        <v>1.0</v>
      </c>
    </row>
    <row r="42">
      <c r="A42" s="45" t="s">
        <v>80</v>
      </c>
      <c r="B42" s="45">
        <v>2.0</v>
      </c>
      <c r="C42" s="45">
        <v>102.0</v>
      </c>
      <c r="D42" s="45">
        <v>429.4</v>
      </c>
      <c r="E42" s="45">
        <v>2.0</v>
      </c>
      <c r="F42" s="45">
        <v>27.8</v>
      </c>
      <c r="G42" s="45">
        <v>22.2</v>
      </c>
      <c r="H42" s="45">
        <v>3.0</v>
      </c>
      <c r="I42" s="18">
        <v>4.0</v>
      </c>
      <c r="J42" s="18">
        <v>42.27914438502673</v>
      </c>
      <c r="K42" s="18">
        <v>2.0</v>
      </c>
      <c r="L42" s="18">
        <v>1.4</v>
      </c>
    </row>
    <row r="43">
      <c r="A43" s="45" t="s">
        <v>80</v>
      </c>
      <c r="B43" s="45">
        <v>2.0</v>
      </c>
      <c r="C43" s="45">
        <v>103.0</v>
      </c>
      <c r="D43" s="45">
        <v>430.0</v>
      </c>
      <c r="E43" s="45">
        <v>1.0</v>
      </c>
      <c r="F43" s="45">
        <v>10.8</v>
      </c>
      <c r="G43" s="45">
        <v>0.8</v>
      </c>
      <c r="H43" s="45">
        <v>2.0</v>
      </c>
      <c r="I43" s="18">
        <v>2.0</v>
      </c>
      <c r="J43" s="18">
        <v>35.14144243556008</v>
      </c>
      <c r="K43" s="18">
        <v>3.0</v>
      </c>
      <c r="L43" s="18">
        <v>1.4444444444444444</v>
      </c>
    </row>
    <row r="44">
      <c r="A44" s="45" t="s">
        <v>80</v>
      </c>
      <c r="B44" s="45">
        <v>2.0</v>
      </c>
      <c r="C44" s="45">
        <v>104.0</v>
      </c>
      <c r="D44" s="45">
        <v>428.2</v>
      </c>
      <c r="E44" s="45">
        <v>1.0</v>
      </c>
      <c r="F44" s="45">
        <v>10.8</v>
      </c>
      <c r="G44" s="45">
        <v>0.0</v>
      </c>
      <c r="H44" s="45">
        <v>1.0</v>
      </c>
      <c r="I44" s="18">
        <v>3.0</v>
      </c>
      <c r="J44" s="18">
        <v>50.088610898905024</v>
      </c>
      <c r="K44" s="18">
        <v>15.0</v>
      </c>
      <c r="L44" s="18">
        <v>2.0</v>
      </c>
    </row>
    <row r="45">
      <c r="A45" s="45" t="s">
        <v>80</v>
      </c>
      <c r="B45" s="45">
        <v>2.0</v>
      </c>
      <c r="C45" s="45">
        <v>105.0</v>
      </c>
      <c r="D45" s="45">
        <v>429.2</v>
      </c>
      <c r="E45" s="45">
        <v>1.0</v>
      </c>
      <c r="F45" s="45">
        <v>10.8</v>
      </c>
      <c r="G45" s="45">
        <v>2.8</v>
      </c>
      <c r="H45" s="45">
        <v>2.0</v>
      </c>
      <c r="I45" s="18">
        <v>4.0</v>
      </c>
      <c r="J45" s="18">
        <v>41.21089041677277</v>
      </c>
      <c r="K45" s="18">
        <v>0.0</v>
      </c>
      <c r="L45" s="18">
        <v>1.5</v>
      </c>
    </row>
    <row r="46">
      <c r="A46" s="45" t="s">
        <v>80</v>
      </c>
      <c r="B46" s="45">
        <v>2.0</v>
      </c>
      <c r="C46" s="45">
        <v>106.0</v>
      </c>
      <c r="D46" s="45">
        <v>433.6</v>
      </c>
      <c r="E46" s="45">
        <v>1.0</v>
      </c>
      <c r="F46" s="45">
        <v>6.2</v>
      </c>
      <c r="G46" s="45">
        <v>0.0</v>
      </c>
      <c r="H46" s="45">
        <v>3.0</v>
      </c>
      <c r="I46" s="18">
        <v>3.0</v>
      </c>
      <c r="J46" s="18">
        <v>26.322026992615225</v>
      </c>
      <c r="K46" s="18">
        <v>0.0</v>
      </c>
      <c r="L46" s="18">
        <v>1.6666666666666667</v>
      </c>
    </row>
    <row r="47">
      <c r="A47" s="45" t="s">
        <v>80</v>
      </c>
      <c r="B47" s="45">
        <v>2.0</v>
      </c>
      <c r="C47" s="45">
        <v>108.0</v>
      </c>
      <c r="D47" s="45">
        <v>431.3</v>
      </c>
      <c r="E47" s="45">
        <v>1.0</v>
      </c>
      <c r="F47" s="45">
        <v>9.4</v>
      </c>
      <c r="G47" s="45">
        <v>0.0</v>
      </c>
      <c r="H47" s="45">
        <v>1.0</v>
      </c>
      <c r="I47" s="18">
        <v>2.0</v>
      </c>
      <c r="J47" s="18">
        <v>49.80392156862745</v>
      </c>
      <c r="K47" s="18">
        <v>0.0</v>
      </c>
      <c r="L47" s="18">
        <v>1.25</v>
      </c>
    </row>
    <row r="48">
      <c r="A48" s="45" t="s">
        <v>80</v>
      </c>
      <c r="B48" s="45">
        <v>2.0</v>
      </c>
      <c r="C48" s="45">
        <v>109.0</v>
      </c>
      <c r="D48" s="45">
        <v>430.6</v>
      </c>
      <c r="E48" s="45">
        <v>1.0</v>
      </c>
      <c r="F48" s="45">
        <v>9.8</v>
      </c>
      <c r="G48" s="45">
        <v>0.0</v>
      </c>
      <c r="H48" s="45">
        <v>2.0</v>
      </c>
      <c r="I48" s="18">
        <v>4.0</v>
      </c>
      <c r="J48" s="18">
        <v>47.10975299210593</v>
      </c>
      <c r="K48" s="18">
        <v>0.0</v>
      </c>
      <c r="L48" s="18">
        <v>1.0</v>
      </c>
    </row>
    <row r="49">
      <c r="A49" s="45" t="s">
        <v>80</v>
      </c>
      <c r="B49" s="45">
        <v>2.0</v>
      </c>
      <c r="C49" s="45">
        <v>110.0</v>
      </c>
      <c r="D49" s="45">
        <v>429.8</v>
      </c>
      <c r="E49" s="45">
        <v>1.0</v>
      </c>
      <c r="F49" s="45">
        <v>6.4</v>
      </c>
      <c r="G49" s="45">
        <v>0.0</v>
      </c>
      <c r="H49" s="45">
        <v>2.0</v>
      </c>
      <c r="I49" s="45">
        <v>2.0</v>
      </c>
      <c r="J49" s="18">
        <v>38.54787369493252</v>
      </c>
      <c r="K49" s="18">
        <v>2.0</v>
      </c>
      <c r="L49" s="18">
        <v>1.5</v>
      </c>
    </row>
    <row r="50">
      <c r="A50" s="45" t="s">
        <v>80</v>
      </c>
      <c r="B50" s="45">
        <v>2.0</v>
      </c>
      <c r="C50" s="45">
        <v>111.0</v>
      </c>
      <c r="D50" s="45">
        <v>426.1</v>
      </c>
      <c r="E50" s="45">
        <v>2.0</v>
      </c>
      <c r="F50" s="45">
        <v>4.6</v>
      </c>
      <c r="G50" s="45">
        <v>0.0</v>
      </c>
      <c r="H50" s="45">
        <v>2.0</v>
      </c>
      <c r="I50" s="18">
        <v>4.0</v>
      </c>
      <c r="J50" s="18">
        <v>64.0</v>
      </c>
      <c r="K50" s="18">
        <v>0.0</v>
      </c>
      <c r="L50" s="18">
        <v>1.0</v>
      </c>
    </row>
    <row r="51">
      <c r="A51" s="45" t="s">
        <v>80</v>
      </c>
      <c r="B51" s="45">
        <v>2.0</v>
      </c>
      <c r="C51" s="45">
        <v>112.0</v>
      </c>
      <c r="D51" s="45">
        <v>425.4</v>
      </c>
      <c r="E51" s="45">
        <v>2.0</v>
      </c>
      <c r="F51" s="45">
        <v>10.0</v>
      </c>
      <c r="G51" s="45">
        <v>0.0</v>
      </c>
      <c r="H51" s="45">
        <v>2.0</v>
      </c>
      <c r="I51" s="18">
        <v>4.0</v>
      </c>
      <c r="J51" s="18">
        <v>77.5</v>
      </c>
      <c r="K51" s="18">
        <v>2.0</v>
      </c>
      <c r="L51" s="18">
        <v>1.5</v>
      </c>
    </row>
    <row r="52">
      <c r="A52" s="45" t="s">
        <v>80</v>
      </c>
      <c r="B52" s="45">
        <v>2.0</v>
      </c>
      <c r="C52" s="45">
        <v>114.0</v>
      </c>
      <c r="D52" s="45">
        <v>406.4</v>
      </c>
      <c r="E52" s="45">
        <v>2.0</v>
      </c>
      <c r="F52" s="45">
        <v>6.8</v>
      </c>
      <c r="G52" s="45">
        <v>0.2</v>
      </c>
      <c r="H52" s="45">
        <v>3.0</v>
      </c>
      <c r="I52" s="18">
        <v>1.0</v>
      </c>
      <c r="J52" s="18">
        <v>43.13385960444784</v>
      </c>
      <c r="K52" s="18">
        <v>2.0</v>
      </c>
      <c r="L52" s="18">
        <v>1.5</v>
      </c>
    </row>
    <row r="53">
      <c r="A53" s="45" t="s">
        <v>80</v>
      </c>
      <c r="B53" s="45">
        <v>2.0</v>
      </c>
      <c r="C53" s="45">
        <v>115.0</v>
      </c>
      <c r="D53" s="45">
        <v>411.3</v>
      </c>
      <c r="E53" s="45">
        <v>2.0</v>
      </c>
      <c r="F53" s="45">
        <v>5.0</v>
      </c>
      <c r="G53" s="45">
        <v>0.0</v>
      </c>
      <c r="H53" s="45">
        <v>4.0</v>
      </c>
      <c r="I53" s="18">
        <v>2.0</v>
      </c>
      <c r="J53" s="18">
        <v>46.75833969951617</v>
      </c>
      <c r="K53" s="18">
        <v>5.0</v>
      </c>
      <c r="L53" s="18">
        <v>1.6</v>
      </c>
    </row>
    <row r="54">
      <c r="A54" s="45" t="s">
        <v>80</v>
      </c>
      <c r="B54" s="45">
        <v>2.0</v>
      </c>
      <c r="C54" s="45">
        <v>117.0</v>
      </c>
      <c r="D54" s="45">
        <v>403.6</v>
      </c>
      <c r="E54" s="45">
        <v>2.0</v>
      </c>
      <c r="F54" s="45">
        <v>3.6</v>
      </c>
      <c r="G54" s="45">
        <v>0.0</v>
      </c>
      <c r="H54" s="45">
        <v>3.0</v>
      </c>
      <c r="I54" s="18">
        <v>3.0</v>
      </c>
      <c r="J54" s="18">
        <v>36.452667430608614</v>
      </c>
      <c r="K54" s="18">
        <v>6.0</v>
      </c>
      <c r="L54" s="18">
        <v>1.375</v>
      </c>
    </row>
    <row r="55">
      <c r="A55" s="45" t="s">
        <v>80</v>
      </c>
      <c r="B55" s="45">
        <v>2.0</v>
      </c>
      <c r="C55" s="45">
        <v>118.0</v>
      </c>
      <c r="D55" s="45">
        <v>398.7</v>
      </c>
      <c r="E55" s="45">
        <v>2.0</v>
      </c>
      <c r="F55" s="45">
        <v>11.6</v>
      </c>
      <c r="G55" s="45">
        <v>7.8</v>
      </c>
      <c r="H55" s="45">
        <v>3.0</v>
      </c>
      <c r="I55" s="18">
        <v>2.0</v>
      </c>
      <c r="J55" s="18">
        <v>29.814848253350927</v>
      </c>
      <c r="K55" s="18">
        <v>0.0</v>
      </c>
      <c r="L55" s="18">
        <v>1.0909090909090908</v>
      </c>
    </row>
    <row r="56">
      <c r="A56" s="45" t="s">
        <v>80</v>
      </c>
      <c r="B56" s="45">
        <v>2.0</v>
      </c>
      <c r="C56" s="45">
        <v>119.0</v>
      </c>
      <c r="D56" s="45">
        <v>380.7</v>
      </c>
      <c r="E56" s="45">
        <v>2.0</v>
      </c>
      <c r="F56" s="45">
        <v>2.2</v>
      </c>
      <c r="G56" s="45">
        <v>0.0</v>
      </c>
      <c r="H56" s="45">
        <v>2.0</v>
      </c>
      <c r="I56" s="18">
        <v>3.0</v>
      </c>
      <c r="J56" s="18">
        <v>35.994601476954415</v>
      </c>
      <c r="K56" s="18">
        <v>2.0</v>
      </c>
      <c r="L56" s="18">
        <v>1.5</v>
      </c>
    </row>
    <row r="57">
      <c r="A57" s="45" t="s">
        <v>80</v>
      </c>
      <c r="B57" s="45">
        <v>2.0</v>
      </c>
      <c r="C57" s="45">
        <v>120.0</v>
      </c>
      <c r="D57" s="45">
        <v>384.9</v>
      </c>
      <c r="E57" s="45">
        <v>2.0</v>
      </c>
      <c r="F57" s="45">
        <v>8.2</v>
      </c>
      <c r="G57" s="45">
        <v>0.0</v>
      </c>
      <c r="H57" s="45">
        <v>3.0</v>
      </c>
      <c r="I57" s="18">
        <v>4.0</v>
      </c>
      <c r="J57" s="18">
        <v>36.16723962312198</v>
      </c>
      <c r="K57" s="18">
        <v>1.0</v>
      </c>
      <c r="L57" s="18">
        <v>1.0</v>
      </c>
    </row>
    <row r="58">
      <c r="A58" s="45" t="s">
        <v>140</v>
      </c>
      <c r="B58" s="45">
        <v>3.0</v>
      </c>
      <c r="C58" s="45">
        <v>121.0</v>
      </c>
      <c r="D58" s="45">
        <v>1066.9</v>
      </c>
      <c r="E58" s="45">
        <v>1.0</v>
      </c>
      <c r="F58" s="45">
        <v>11.0</v>
      </c>
      <c r="G58" s="45">
        <v>7.2</v>
      </c>
      <c r="H58" s="45">
        <v>3.0</v>
      </c>
      <c r="I58" s="18">
        <v>1.0</v>
      </c>
      <c r="J58" s="18">
        <v>15.172735760971056</v>
      </c>
      <c r="K58" s="18">
        <v>0.0</v>
      </c>
      <c r="L58" s="18">
        <v>1.0</v>
      </c>
    </row>
    <row r="59">
      <c r="A59" s="45" t="s">
        <v>140</v>
      </c>
      <c r="B59" s="45">
        <v>3.0</v>
      </c>
      <c r="C59" s="45">
        <v>122.0</v>
      </c>
      <c r="D59" s="45">
        <v>1065.9</v>
      </c>
      <c r="E59" s="45">
        <v>1.0</v>
      </c>
      <c r="F59" s="45">
        <v>7.6</v>
      </c>
      <c r="G59" s="45">
        <v>0.2</v>
      </c>
      <c r="H59" s="45">
        <v>3.0</v>
      </c>
      <c r="I59" s="18">
        <v>1.0</v>
      </c>
      <c r="J59" s="18">
        <v>23.093251846193024</v>
      </c>
      <c r="K59" s="18">
        <v>0.0</v>
      </c>
      <c r="L59" s="18">
        <v>1.4</v>
      </c>
    </row>
    <row r="60">
      <c r="A60" s="45" t="s">
        <v>140</v>
      </c>
      <c r="B60" s="45">
        <v>3.0</v>
      </c>
      <c r="C60" s="45">
        <v>123.0</v>
      </c>
      <c r="D60" s="45">
        <v>1061.5</v>
      </c>
      <c r="E60" s="45">
        <v>1.0</v>
      </c>
      <c r="F60" s="45">
        <v>3.7</v>
      </c>
      <c r="G60" s="45">
        <v>2.0</v>
      </c>
      <c r="H60" s="45">
        <v>3.0</v>
      </c>
      <c r="I60" s="18">
        <v>1.0</v>
      </c>
      <c r="J60" s="18">
        <v>20.40361599185129</v>
      </c>
      <c r="K60" s="18">
        <v>0.0</v>
      </c>
      <c r="L60" s="18">
        <v>1.0</v>
      </c>
    </row>
    <row r="61">
      <c r="A61" s="45" t="s">
        <v>140</v>
      </c>
      <c r="B61" s="45">
        <v>3.0</v>
      </c>
      <c r="C61" s="45">
        <v>124.0</v>
      </c>
      <c r="D61" s="45">
        <v>1060.7</v>
      </c>
      <c r="E61" s="45">
        <v>1.0</v>
      </c>
      <c r="F61" s="45">
        <v>5.4</v>
      </c>
      <c r="G61" s="45">
        <v>1.0</v>
      </c>
      <c r="H61" s="45">
        <v>1.0</v>
      </c>
      <c r="I61" s="18">
        <v>1.0</v>
      </c>
      <c r="J61" s="18">
        <v>110.0</v>
      </c>
      <c r="K61" s="18">
        <v>0.0</v>
      </c>
      <c r="L61" s="18">
        <v>3.0</v>
      </c>
    </row>
    <row r="62">
      <c r="A62" s="45" t="s">
        <v>140</v>
      </c>
      <c r="B62" s="45">
        <v>3.0</v>
      </c>
      <c r="C62" s="45">
        <v>125.0</v>
      </c>
      <c r="D62" s="45">
        <v>1068.2</v>
      </c>
      <c r="E62" s="45">
        <v>2.0</v>
      </c>
      <c r="F62" s="45">
        <v>7.4</v>
      </c>
      <c r="G62" s="45">
        <v>1.6</v>
      </c>
      <c r="H62" s="45">
        <v>2.0</v>
      </c>
      <c r="I62" s="18">
        <v>2.0</v>
      </c>
      <c r="J62" s="18">
        <v>22.281639928698752</v>
      </c>
      <c r="K62" s="18">
        <v>0.0</v>
      </c>
      <c r="L62" s="18">
        <v>1.0</v>
      </c>
    </row>
    <row r="63">
      <c r="A63" s="45" t="s">
        <v>140</v>
      </c>
      <c r="B63" s="45">
        <v>3.0</v>
      </c>
      <c r="C63" s="45">
        <v>127.0</v>
      </c>
      <c r="D63" s="45">
        <v>1072.3</v>
      </c>
      <c r="E63" s="45">
        <v>1.0</v>
      </c>
      <c r="F63" s="45">
        <v>10.6</v>
      </c>
      <c r="G63" s="45">
        <v>7.8</v>
      </c>
      <c r="H63" s="45">
        <v>3.0</v>
      </c>
      <c r="I63" s="18">
        <v>2.0</v>
      </c>
      <c r="J63" s="18">
        <v>56.51477591036415</v>
      </c>
      <c r="K63" s="18">
        <v>9.0</v>
      </c>
      <c r="L63" s="18">
        <v>1.25</v>
      </c>
    </row>
    <row r="64">
      <c r="A64" s="45" t="s">
        <v>140</v>
      </c>
      <c r="B64" s="45">
        <v>3.0</v>
      </c>
      <c r="C64" s="45">
        <v>128.0</v>
      </c>
      <c r="D64" s="45">
        <v>1075.8</v>
      </c>
      <c r="E64" s="45">
        <v>2.0</v>
      </c>
      <c r="F64" s="45">
        <v>2.4</v>
      </c>
      <c r="G64" s="45">
        <v>1.2</v>
      </c>
      <c r="H64" s="45">
        <v>2.0</v>
      </c>
      <c r="I64" s="18">
        <v>1.0</v>
      </c>
      <c r="J64" s="18">
        <v>27.148859543817526</v>
      </c>
      <c r="K64" s="18">
        <v>0.0</v>
      </c>
      <c r="L64" s="18">
        <v>1.8571428571428572</v>
      </c>
    </row>
    <row r="65">
      <c r="A65" s="45" t="s">
        <v>140</v>
      </c>
      <c r="B65" s="45">
        <v>3.0</v>
      </c>
      <c r="C65" s="45">
        <v>129.0</v>
      </c>
      <c r="D65" s="45">
        <v>1082.6</v>
      </c>
      <c r="E65" s="45">
        <v>2.0</v>
      </c>
      <c r="F65" s="45">
        <v>3.4</v>
      </c>
      <c r="G65" s="45">
        <v>2.0</v>
      </c>
      <c r="H65" s="45">
        <v>3.0</v>
      </c>
      <c r="I65" s="18">
        <v>1.0</v>
      </c>
      <c r="J65" s="18">
        <v>38.71912401324166</v>
      </c>
      <c r="K65" s="18">
        <v>0.0</v>
      </c>
      <c r="L65" s="18">
        <v>1.5</v>
      </c>
    </row>
    <row r="66">
      <c r="A66" s="45" t="s">
        <v>140</v>
      </c>
      <c r="B66" s="45">
        <v>3.0</v>
      </c>
      <c r="C66" s="45">
        <v>132.0</v>
      </c>
      <c r="D66" s="45">
        <v>1090.6</v>
      </c>
      <c r="E66" s="45">
        <v>2.0</v>
      </c>
      <c r="F66" s="45">
        <v>3.6</v>
      </c>
      <c r="G66" s="45">
        <v>2.0</v>
      </c>
      <c r="H66" s="45">
        <v>2.0</v>
      </c>
      <c r="I66" s="18">
        <v>1.0</v>
      </c>
      <c r="J66" s="18">
        <v>17.02953908836262</v>
      </c>
      <c r="K66" s="18">
        <v>0.0</v>
      </c>
      <c r="L66" s="18">
        <v>1.0</v>
      </c>
    </row>
    <row r="67">
      <c r="A67" s="45" t="s">
        <v>140</v>
      </c>
      <c r="B67" s="45">
        <v>3.0</v>
      </c>
      <c r="C67" s="45">
        <v>133.0</v>
      </c>
      <c r="D67" s="45">
        <v>1082.3</v>
      </c>
      <c r="E67" s="45">
        <v>3.0</v>
      </c>
      <c r="F67" s="45">
        <v>5.2</v>
      </c>
      <c r="G67" s="45">
        <v>2.8</v>
      </c>
      <c r="H67" s="45">
        <v>3.0</v>
      </c>
      <c r="I67" s="18">
        <v>1.0</v>
      </c>
      <c r="J67" s="47">
        <v>22.32761791585321</v>
      </c>
      <c r="K67" s="18">
        <v>0.0</v>
      </c>
      <c r="L67" s="18">
        <v>1.5555555555555556</v>
      </c>
    </row>
    <row r="68">
      <c r="A68" s="45" t="s">
        <v>140</v>
      </c>
      <c r="B68" s="45">
        <v>3.0</v>
      </c>
      <c r="C68" s="45">
        <v>134.0</v>
      </c>
      <c r="D68" s="45">
        <v>1088.4</v>
      </c>
      <c r="E68" s="45">
        <v>2.0</v>
      </c>
      <c r="F68" s="45">
        <v>2.0</v>
      </c>
      <c r="G68" s="45">
        <v>0.0</v>
      </c>
      <c r="H68" s="45">
        <v>3.0</v>
      </c>
      <c r="I68" s="18">
        <v>1.0</v>
      </c>
      <c r="J68" s="18">
        <v>29.67116929416395</v>
      </c>
      <c r="K68" s="18">
        <v>0.0</v>
      </c>
      <c r="L68" s="18">
        <v>1.7272727272727273</v>
      </c>
    </row>
    <row r="69">
      <c r="A69" s="45" t="s">
        <v>140</v>
      </c>
      <c r="B69" s="45">
        <v>3.0</v>
      </c>
      <c r="C69" s="45">
        <v>135.0</v>
      </c>
      <c r="D69" s="45">
        <v>1091.0</v>
      </c>
      <c r="E69" s="45">
        <v>2.0</v>
      </c>
      <c r="F69" s="45">
        <v>3.0</v>
      </c>
      <c r="G69" s="45">
        <v>0.4</v>
      </c>
      <c r="H69" s="45">
        <v>3.0</v>
      </c>
      <c r="I69" s="18">
        <v>1.0</v>
      </c>
      <c r="J69" s="18">
        <v>23.074634812602728</v>
      </c>
      <c r="K69" s="18">
        <v>0.0</v>
      </c>
      <c r="L69" s="18">
        <v>1.7272727272727273</v>
      </c>
    </row>
    <row r="70">
      <c r="A70" s="45" t="s">
        <v>140</v>
      </c>
      <c r="B70" s="45">
        <v>3.0</v>
      </c>
      <c r="C70" s="45">
        <v>136.0</v>
      </c>
      <c r="D70" s="45">
        <v>1090.0</v>
      </c>
      <c r="E70" s="45">
        <v>3.0</v>
      </c>
      <c r="F70" s="45">
        <v>9.4</v>
      </c>
      <c r="G70" s="45">
        <v>4.6</v>
      </c>
      <c r="H70" s="45">
        <v>3.0</v>
      </c>
      <c r="I70" s="18">
        <v>1.0</v>
      </c>
      <c r="J70" s="18">
        <v>17.344665138782783</v>
      </c>
      <c r="K70" s="18">
        <v>0.0</v>
      </c>
      <c r="L70" s="18">
        <v>1.3</v>
      </c>
    </row>
    <row r="71">
      <c r="A71" s="45" t="s">
        <v>140</v>
      </c>
      <c r="B71" s="45">
        <v>3.0</v>
      </c>
      <c r="C71" s="45">
        <v>137.0</v>
      </c>
      <c r="D71" s="45">
        <v>1090.6</v>
      </c>
      <c r="E71" s="45">
        <v>2.0</v>
      </c>
      <c r="F71" s="45">
        <v>5.2</v>
      </c>
      <c r="G71" s="45">
        <v>2.4</v>
      </c>
      <c r="H71" s="45">
        <v>3.0</v>
      </c>
      <c r="I71" s="18">
        <v>1.0</v>
      </c>
      <c r="J71" s="18">
        <v>20.27465834818776</v>
      </c>
      <c r="K71" s="18">
        <v>0.0</v>
      </c>
      <c r="L71" s="18">
        <v>1.5833333333333333</v>
      </c>
    </row>
    <row r="72">
      <c r="A72" s="45" t="s">
        <v>140</v>
      </c>
      <c r="B72" s="45">
        <v>3.0</v>
      </c>
      <c r="C72" s="45">
        <v>138.0</v>
      </c>
      <c r="D72" s="45">
        <v>1099.0</v>
      </c>
      <c r="E72" s="45">
        <v>3.0</v>
      </c>
      <c r="F72" s="45">
        <v>7.4</v>
      </c>
      <c r="G72" s="45">
        <v>2.4</v>
      </c>
      <c r="H72" s="45">
        <v>3.0</v>
      </c>
      <c r="I72" s="18">
        <v>1.0</v>
      </c>
      <c r="J72" s="18">
        <v>22.40510749754447</v>
      </c>
      <c r="K72" s="18">
        <v>0.0</v>
      </c>
      <c r="L72" s="18">
        <v>1.5</v>
      </c>
    </row>
    <row r="73">
      <c r="A73" s="45" t="s">
        <v>140</v>
      </c>
      <c r="B73" s="45">
        <v>3.0</v>
      </c>
      <c r="C73" s="45">
        <v>140.0</v>
      </c>
      <c r="D73" s="45">
        <v>1058.4</v>
      </c>
      <c r="E73" s="45">
        <v>2.0</v>
      </c>
      <c r="F73" s="45">
        <v>5.4</v>
      </c>
      <c r="G73" s="45">
        <v>0.8</v>
      </c>
      <c r="H73" s="45">
        <v>3.0</v>
      </c>
      <c r="I73" s="18">
        <v>1.0</v>
      </c>
      <c r="J73" s="18">
        <v>23.018298228382264</v>
      </c>
      <c r="K73" s="18">
        <v>0.0</v>
      </c>
      <c r="L73" s="18">
        <v>1.5714285714285714</v>
      </c>
    </row>
    <row r="74">
      <c r="A74" s="45" t="s">
        <v>140</v>
      </c>
      <c r="B74" s="45">
        <v>3.0</v>
      </c>
      <c r="C74" s="45">
        <v>141.0</v>
      </c>
      <c r="D74" s="45">
        <v>1061.7</v>
      </c>
      <c r="E74" s="45">
        <v>3.0</v>
      </c>
      <c r="F74" s="45">
        <v>1.0</v>
      </c>
      <c r="G74" s="45">
        <v>0.6</v>
      </c>
      <c r="H74" s="45">
        <v>4.0</v>
      </c>
      <c r="I74" s="18">
        <v>2.0</v>
      </c>
      <c r="J74" s="18">
        <v>33.872060945590356</v>
      </c>
      <c r="K74" s="18">
        <v>1.0</v>
      </c>
      <c r="L74" s="18">
        <v>1.6666666666666667</v>
      </c>
    </row>
    <row r="75">
      <c r="A75" s="45" t="s">
        <v>140</v>
      </c>
      <c r="B75" s="45">
        <v>3.0</v>
      </c>
      <c r="C75" s="45">
        <v>142.0</v>
      </c>
      <c r="D75" s="45">
        <v>1065.6</v>
      </c>
      <c r="E75" s="45">
        <v>2.0</v>
      </c>
      <c r="F75" s="45">
        <v>3.8</v>
      </c>
      <c r="G75" s="45">
        <v>1.8</v>
      </c>
      <c r="H75" s="45">
        <v>3.0</v>
      </c>
      <c r="I75" s="18">
        <v>2.0</v>
      </c>
      <c r="J75" s="18">
        <v>34.56837280366692</v>
      </c>
      <c r="K75" s="18">
        <v>0.0</v>
      </c>
      <c r="L75" s="18">
        <v>2.0</v>
      </c>
    </row>
    <row r="76">
      <c r="A76" s="45" t="s">
        <v>140</v>
      </c>
      <c r="B76" s="45">
        <v>3.0</v>
      </c>
      <c r="C76" s="45">
        <v>143.0</v>
      </c>
      <c r="D76" s="45">
        <v>1063.8</v>
      </c>
      <c r="E76" s="45">
        <v>2.0</v>
      </c>
      <c r="F76" s="45">
        <v>1.8</v>
      </c>
      <c r="G76" s="45">
        <v>0.6</v>
      </c>
      <c r="H76" s="45">
        <v>3.0</v>
      </c>
      <c r="I76" s="18">
        <v>1.0</v>
      </c>
      <c r="J76" s="18">
        <v>25.69911601004038</v>
      </c>
      <c r="K76" s="18">
        <v>1.0</v>
      </c>
      <c r="L76" s="18">
        <v>2.0</v>
      </c>
    </row>
    <row r="77">
      <c r="A77" s="45" t="s">
        <v>140</v>
      </c>
      <c r="B77" s="45">
        <v>3.0</v>
      </c>
      <c r="C77" s="45">
        <v>144.0</v>
      </c>
      <c r="D77" s="45">
        <v>1056.1</v>
      </c>
      <c r="E77" s="45">
        <v>2.0</v>
      </c>
      <c r="F77" s="45">
        <v>2.0</v>
      </c>
      <c r="G77" s="45">
        <v>1.2</v>
      </c>
      <c r="H77" s="45">
        <v>3.0</v>
      </c>
      <c r="I77" s="18">
        <v>1.0</v>
      </c>
      <c r="J77" s="18">
        <v>34.36287242169595</v>
      </c>
      <c r="K77" s="18">
        <v>0.0</v>
      </c>
      <c r="L77" s="18">
        <v>2.0</v>
      </c>
    </row>
    <row r="78">
      <c r="A78" s="45" t="s">
        <v>140</v>
      </c>
      <c r="B78" s="45">
        <v>3.0</v>
      </c>
      <c r="C78" s="45">
        <v>145.0</v>
      </c>
      <c r="D78" s="45">
        <v>1063.9</v>
      </c>
      <c r="E78" s="45">
        <v>2.0</v>
      </c>
      <c r="F78" s="45">
        <v>3.0</v>
      </c>
      <c r="G78" s="45">
        <v>0.4</v>
      </c>
      <c r="H78" s="45">
        <v>3.0</v>
      </c>
      <c r="I78" s="18">
        <v>1.0</v>
      </c>
      <c r="J78" s="18">
        <v>45.07813428401664</v>
      </c>
      <c r="K78" s="18">
        <v>0.0</v>
      </c>
      <c r="L78" s="18">
        <v>2.0</v>
      </c>
    </row>
    <row r="79">
      <c r="A79" s="45" t="s">
        <v>140</v>
      </c>
      <c r="B79" s="45">
        <v>3.0</v>
      </c>
      <c r="C79" s="45">
        <v>146.0</v>
      </c>
      <c r="D79" s="45">
        <v>1055.1</v>
      </c>
      <c r="E79" s="45">
        <v>2.0</v>
      </c>
      <c r="F79" s="45">
        <v>4.2</v>
      </c>
      <c r="G79" s="45">
        <v>1.2</v>
      </c>
      <c r="H79" s="45">
        <v>3.0</v>
      </c>
      <c r="I79" s="18">
        <v>1.0</v>
      </c>
      <c r="J79" s="18">
        <v>16.403913080383667</v>
      </c>
      <c r="K79" s="18">
        <v>0.0</v>
      </c>
      <c r="L79" s="18">
        <v>2.0</v>
      </c>
    </row>
    <row r="80">
      <c r="A80" s="45" t="s">
        <v>140</v>
      </c>
      <c r="B80" s="45">
        <v>3.0</v>
      </c>
      <c r="C80" s="45">
        <v>147.0</v>
      </c>
      <c r="D80" s="45">
        <v>1048.0</v>
      </c>
      <c r="E80" s="45">
        <v>0.0</v>
      </c>
      <c r="F80" s="45">
        <v>3.4</v>
      </c>
      <c r="G80" s="45">
        <v>0.0</v>
      </c>
      <c r="H80" s="45">
        <v>2.0</v>
      </c>
      <c r="I80" s="18">
        <v>1.0</v>
      </c>
      <c r="J80" s="18">
        <v>76.0</v>
      </c>
      <c r="K80" s="18">
        <v>0.0</v>
      </c>
      <c r="L80" s="18">
        <v>2.0</v>
      </c>
    </row>
    <row r="81">
      <c r="A81" s="45" t="s">
        <v>140</v>
      </c>
      <c r="B81" s="45">
        <v>3.0</v>
      </c>
      <c r="C81" s="45">
        <v>151.0</v>
      </c>
      <c r="D81" s="45">
        <v>1035.0</v>
      </c>
      <c r="E81" s="45">
        <v>0.0</v>
      </c>
      <c r="F81" s="45">
        <v>3.4</v>
      </c>
      <c r="G81" s="45">
        <v>0.6</v>
      </c>
      <c r="H81" s="45">
        <v>3.0</v>
      </c>
      <c r="I81" s="18">
        <v>1.0</v>
      </c>
      <c r="J81" s="18">
        <v>18.217553688141926</v>
      </c>
      <c r="K81" s="18">
        <v>0.0</v>
      </c>
      <c r="L81" s="18">
        <v>1.7777777777777777</v>
      </c>
    </row>
    <row r="82">
      <c r="A82" s="45" t="s">
        <v>140</v>
      </c>
      <c r="B82" s="45">
        <v>3.0</v>
      </c>
      <c r="C82" s="45">
        <v>152.0</v>
      </c>
      <c r="D82" s="45">
        <v>1031.6</v>
      </c>
      <c r="E82" s="45">
        <v>0.0</v>
      </c>
      <c r="F82" s="45">
        <v>4.4</v>
      </c>
      <c r="G82" s="45">
        <v>0.4</v>
      </c>
      <c r="H82" s="45">
        <v>3.0</v>
      </c>
      <c r="I82" s="18">
        <v>3.0</v>
      </c>
      <c r="J82" s="18">
        <v>25.70690094219506</v>
      </c>
      <c r="K82" s="18">
        <v>1.0</v>
      </c>
      <c r="L82" s="18">
        <v>1.375</v>
      </c>
    </row>
    <row r="83">
      <c r="A83" s="45" t="s">
        <v>140</v>
      </c>
      <c r="B83" s="45">
        <v>3.0</v>
      </c>
      <c r="C83" s="45">
        <v>153.0</v>
      </c>
      <c r="D83" s="45">
        <v>1031.0</v>
      </c>
      <c r="E83" s="45">
        <v>0.0</v>
      </c>
      <c r="F83" s="45">
        <v>5.8</v>
      </c>
      <c r="G83" s="45">
        <v>0.6</v>
      </c>
      <c r="H83" s="45">
        <v>4.0</v>
      </c>
      <c r="I83" s="18">
        <v>2.0</v>
      </c>
      <c r="J83" s="18">
        <v>23.087259146082673</v>
      </c>
      <c r="K83" s="18">
        <v>2.0</v>
      </c>
      <c r="L83" s="18">
        <v>1.2222222222222223</v>
      </c>
    </row>
    <row r="84">
      <c r="A84" s="45" t="s">
        <v>140</v>
      </c>
      <c r="B84" s="45">
        <v>3.0</v>
      </c>
      <c r="C84" s="45">
        <v>154.0</v>
      </c>
      <c r="D84" s="45">
        <v>1031.4</v>
      </c>
      <c r="E84" s="45">
        <v>0.0</v>
      </c>
      <c r="F84" s="45">
        <v>13.4</v>
      </c>
      <c r="G84" s="45">
        <v>4.6</v>
      </c>
      <c r="H84" s="45">
        <v>4.0</v>
      </c>
      <c r="I84" s="18">
        <v>3.0</v>
      </c>
      <c r="J84" s="18">
        <v>24.270471825093672</v>
      </c>
      <c r="K84" s="18">
        <v>1.0</v>
      </c>
      <c r="L84" s="18">
        <v>1.5714285714285714</v>
      </c>
    </row>
    <row r="85">
      <c r="A85" s="45" t="s">
        <v>140</v>
      </c>
      <c r="B85" s="45">
        <v>3.0</v>
      </c>
      <c r="C85" s="45">
        <v>155.0</v>
      </c>
      <c r="D85" s="45">
        <v>1048.7</v>
      </c>
      <c r="E85" s="45">
        <v>0.0</v>
      </c>
      <c r="F85" s="45">
        <v>0.8</v>
      </c>
      <c r="G85" s="45">
        <v>4.6</v>
      </c>
      <c r="H85" s="45">
        <v>4.0</v>
      </c>
      <c r="I85" s="18">
        <v>1.0</v>
      </c>
      <c r="J85" s="18">
        <v>32.17044393514982</v>
      </c>
      <c r="K85" s="18">
        <v>0.0</v>
      </c>
      <c r="L85" s="18">
        <v>2.0</v>
      </c>
    </row>
    <row r="86">
      <c r="A86" s="45" t="s">
        <v>140</v>
      </c>
      <c r="B86" s="45">
        <v>3.0</v>
      </c>
      <c r="C86" s="45">
        <v>156.0</v>
      </c>
      <c r="D86" s="45">
        <v>1052.5</v>
      </c>
      <c r="E86" s="45">
        <v>1.0</v>
      </c>
      <c r="F86" s="45">
        <v>2.4</v>
      </c>
      <c r="G86" s="45">
        <v>0.6</v>
      </c>
      <c r="H86" s="45">
        <v>4.0</v>
      </c>
      <c r="I86" s="18">
        <v>2.0</v>
      </c>
      <c r="J86" s="18">
        <v>34.06251591545709</v>
      </c>
      <c r="K86" s="18">
        <v>0.0</v>
      </c>
      <c r="L86" s="18">
        <v>2.0</v>
      </c>
    </row>
    <row r="87">
      <c r="A87" s="45" t="s">
        <v>140</v>
      </c>
      <c r="B87" s="45">
        <v>3.0</v>
      </c>
      <c r="C87" s="45">
        <v>159.0</v>
      </c>
      <c r="D87" s="45">
        <v>1101.5</v>
      </c>
      <c r="E87" s="45">
        <v>3.0</v>
      </c>
      <c r="F87" s="45">
        <v>1.4</v>
      </c>
      <c r="G87" s="45">
        <v>0.6</v>
      </c>
      <c r="H87" s="45">
        <v>3.0</v>
      </c>
      <c r="I87" s="18">
        <v>1.0</v>
      </c>
      <c r="J87" s="18">
        <v>20.39390119684237</v>
      </c>
      <c r="K87" s="18">
        <v>0.0</v>
      </c>
      <c r="L87" s="18">
        <v>1.6</v>
      </c>
    </row>
  </sheetData>
  <conditionalFormatting sqref="J67">
    <cfRule type="containsBlanks" dxfId="0" priority="1">
      <formula>LEN(TRIM(J67))=0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4.63"/>
    <col customWidth="1" min="3" max="3" width="4.88"/>
    <col customWidth="1" min="4" max="4" width="20.25"/>
    <col customWidth="1" min="5" max="5" width="14.5"/>
    <col customWidth="1" min="6" max="6" width="17.63"/>
    <col customWidth="1" min="11" max="11" width="13.5"/>
  </cols>
  <sheetData>
    <row r="1">
      <c r="A1" s="48" t="s">
        <v>1</v>
      </c>
      <c r="B1" s="48" t="s">
        <v>2</v>
      </c>
      <c r="C1" s="49" t="s">
        <v>3</v>
      </c>
      <c r="D1" s="50" t="s">
        <v>205</v>
      </c>
      <c r="E1" s="50" t="s">
        <v>201</v>
      </c>
      <c r="F1" s="50" t="s">
        <v>206</v>
      </c>
    </row>
    <row r="2">
      <c r="A2" s="51" t="s">
        <v>28</v>
      </c>
      <c r="B2" s="52">
        <v>1.0</v>
      </c>
      <c r="C2" s="53">
        <v>2.0</v>
      </c>
      <c r="D2" s="54">
        <v>0.0</v>
      </c>
      <c r="E2" s="54">
        <f t="shared" ref="E2:E87" si="1">D2/5</f>
        <v>0</v>
      </c>
      <c r="F2" s="54">
        <v>0.0</v>
      </c>
      <c r="K2" s="55"/>
    </row>
    <row r="3">
      <c r="A3" s="51" t="s">
        <v>28</v>
      </c>
      <c r="B3" s="52">
        <v>1.0</v>
      </c>
      <c r="C3" s="53">
        <v>3.0</v>
      </c>
      <c r="D3" s="54">
        <v>0.0</v>
      </c>
      <c r="E3" s="54">
        <f t="shared" si="1"/>
        <v>0</v>
      </c>
      <c r="F3" s="54">
        <v>1.0</v>
      </c>
      <c r="K3" s="55"/>
    </row>
    <row r="4">
      <c r="A4" s="51" t="s">
        <v>28</v>
      </c>
      <c r="B4" s="52">
        <v>1.0</v>
      </c>
      <c r="C4" s="53">
        <v>4.0</v>
      </c>
      <c r="D4" s="54">
        <v>0.0</v>
      </c>
      <c r="E4" s="54">
        <f t="shared" si="1"/>
        <v>0</v>
      </c>
      <c r="F4" s="54">
        <v>0.0</v>
      </c>
      <c r="K4" s="55"/>
    </row>
    <row r="5">
      <c r="A5" s="51" t="s">
        <v>28</v>
      </c>
      <c r="B5" s="52">
        <v>1.0</v>
      </c>
      <c r="C5" s="53">
        <v>5.0</v>
      </c>
      <c r="D5" s="54">
        <v>0.0</v>
      </c>
      <c r="E5" s="54">
        <f t="shared" si="1"/>
        <v>0</v>
      </c>
      <c r="F5" s="54">
        <v>0.0</v>
      </c>
    </row>
    <row r="6">
      <c r="A6" s="51" t="s">
        <v>28</v>
      </c>
      <c r="B6" s="52">
        <v>1.0</v>
      </c>
      <c r="C6" s="53">
        <v>6.0</v>
      </c>
      <c r="D6" s="54">
        <v>0.0</v>
      </c>
      <c r="E6" s="54">
        <f t="shared" si="1"/>
        <v>0</v>
      </c>
      <c r="F6" s="54">
        <v>0.0</v>
      </c>
    </row>
    <row r="7">
      <c r="A7" s="51" t="s">
        <v>28</v>
      </c>
      <c r="B7" s="52">
        <v>1.0</v>
      </c>
      <c r="C7" s="53">
        <v>7.0</v>
      </c>
      <c r="D7" s="54">
        <v>0.0</v>
      </c>
      <c r="E7" s="54">
        <f t="shared" si="1"/>
        <v>0</v>
      </c>
      <c r="F7" s="54">
        <v>1.0</v>
      </c>
    </row>
    <row r="8">
      <c r="A8" s="51" t="s">
        <v>28</v>
      </c>
      <c r="B8" s="52">
        <v>1.0</v>
      </c>
      <c r="C8" s="53">
        <v>8.0</v>
      </c>
      <c r="D8" s="54">
        <v>1.0</v>
      </c>
      <c r="E8" s="54">
        <f t="shared" si="1"/>
        <v>0.2</v>
      </c>
      <c r="F8" s="54">
        <v>1.0</v>
      </c>
    </row>
    <row r="9">
      <c r="A9" s="51" t="s">
        <v>28</v>
      </c>
      <c r="B9" s="52">
        <v>1.0</v>
      </c>
      <c r="C9" s="53">
        <v>10.0</v>
      </c>
      <c r="D9" s="54">
        <v>0.0</v>
      </c>
      <c r="E9" s="54">
        <f t="shared" si="1"/>
        <v>0</v>
      </c>
      <c r="F9" s="54">
        <v>1.0</v>
      </c>
    </row>
    <row r="10">
      <c r="A10" s="51" t="s">
        <v>28</v>
      </c>
      <c r="B10" s="52">
        <v>1.0</v>
      </c>
      <c r="C10" s="53">
        <v>11.0</v>
      </c>
      <c r="D10" s="54">
        <v>0.0</v>
      </c>
      <c r="E10" s="54">
        <f t="shared" si="1"/>
        <v>0</v>
      </c>
      <c r="F10" s="54">
        <v>0.0</v>
      </c>
    </row>
    <row r="11">
      <c r="A11" s="51" t="s">
        <v>28</v>
      </c>
      <c r="B11" s="52">
        <v>1.0</v>
      </c>
      <c r="C11" s="53">
        <v>12.0</v>
      </c>
      <c r="D11" s="54">
        <v>0.0</v>
      </c>
      <c r="E11" s="54">
        <f t="shared" si="1"/>
        <v>0</v>
      </c>
      <c r="F11" s="54">
        <v>1.0</v>
      </c>
    </row>
    <row r="12">
      <c r="A12" s="51" t="s">
        <v>28</v>
      </c>
      <c r="B12" s="52">
        <v>1.0</v>
      </c>
      <c r="C12" s="53">
        <v>14.0</v>
      </c>
      <c r="D12" s="54">
        <v>1.0</v>
      </c>
      <c r="E12" s="54">
        <f t="shared" si="1"/>
        <v>0.2</v>
      </c>
      <c r="F12" s="54">
        <v>1.0</v>
      </c>
    </row>
    <row r="13">
      <c r="A13" s="51" t="s">
        <v>28</v>
      </c>
      <c r="B13" s="52">
        <v>1.0</v>
      </c>
      <c r="C13" s="53">
        <v>15.0</v>
      </c>
      <c r="D13" s="54">
        <v>0.0</v>
      </c>
      <c r="E13" s="54">
        <f t="shared" si="1"/>
        <v>0</v>
      </c>
      <c r="F13" s="54">
        <v>0.0</v>
      </c>
    </row>
    <row r="14">
      <c r="A14" s="51" t="s">
        <v>28</v>
      </c>
      <c r="B14" s="52">
        <v>1.0</v>
      </c>
      <c r="C14" s="53">
        <v>16.0</v>
      </c>
      <c r="D14" s="54">
        <v>0.0</v>
      </c>
      <c r="E14" s="54">
        <f t="shared" si="1"/>
        <v>0</v>
      </c>
      <c r="F14" s="54">
        <v>0.0</v>
      </c>
    </row>
    <row r="15">
      <c r="A15" s="51" t="s">
        <v>28</v>
      </c>
      <c r="B15" s="52">
        <v>1.0</v>
      </c>
      <c r="C15" s="53">
        <v>17.0</v>
      </c>
      <c r="D15" s="54">
        <v>0.0</v>
      </c>
      <c r="E15" s="54">
        <f t="shared" si="1"/>
        <v>0</v>
      </c>
      <c r="F15" s="54">
        <v>0.0</v>
      </c>
    </row>
    <row r="16">
      <c r="A16" s="51" t="s">
        <v>28</v>
      </c>
      <c r="B16" s="52">
        <v>1.0</v>
      </c>
      <c r="C16" s="53">
        <v>18.0</v>
      </c>
      <c r="D16" s="54">
        <v>0.0</v>
      </c>
      <c r="E16" s="54">
        <f t="shared" si="1"/>
        <v>0</v>
      </c>
      <c r="F16" s="54">
        <v>0.0</v>
      </c>
    </row>
    <row r="17">
      <c r="A17" s="51" t="s">
        <v>28</v>
      </c>
      <c r="B17" s="52">
        <v>1.0</v>
      </c>
      <c r="C17" s="53">
        <v>19.0</v>
      </c>
      <c r="D17" s="54">
        <v>0.0</v>
      </c>
      <c r="E17" s="54">
        <f t="shared" si="1"/>
        <v>0</v>
      </c>
      <c r="F17" s="54">
        <v>0.0</v>
      </c>
    </row>
    <row r="18">
      <c r="A18" s="51" t="s">
        <v>28</v>
      </c>
      <c r="B18" s="52">
        <v>1.0</v>
      </c>
      <c r="C18" s="53">
        <v>20.0</v>
      </c>
      <c r="D18" s="54">
        <v>0.0</v>
      </c>
      <c r="E18" s="54">
        <f t="shared" si="1"/>
        <v>0</v>
      </c>
      <c r="F18" s="54">
        <v>0.0</v>
      </c>
    </row>
    <row r="19">
      <c r="A19" s="51" t="s">
        <v>28</v>
      </c>
      <c r="B19" s="52">
        <v>1.0</v>
      </c>
      <c r="C19" s="53">
        <v>21.0</v>
      </c>
      <c r="D19" s="54">
        <v>0.0</v>
      </c>
      <c r="E19" s="54">
        <f t="shared" si="1"/>
        <v>0</v>
      </c>
      <c r="F19" s="54">
        <v>0.0</v>
      </c>
    </row>
    <row r="20">
      <c r="A20" s="51" t="s">
        <v>28</v>
      </c>
      <c r="B20" s="52">
        <v>1.0</v>
      </c>
      <c r="C20" s="53">
        <v>23.0</v>
      </c>
      <c r="D20" s="54">
        <v>0.0</v>
      </c>
      <c r="E20" s="54">
        <f t="shared" si="1"/>
        <v>0</v>
      </c>
      <c r="F20" s="54">
        <v>1.0</v>
      </c>
    </row>
    <row r="21">
      <c r="A21" s="51" t="s">
        <v>28</v>
      </c>
      <c r="B21" s="52">
        <v>1.0</v>
      </c>
      <c r="C21" s="53">
        <v>24.0</v>
      </c>
      <c r="D21" s="54">
        <v>0.0</v>
      </c>
      <c r="E21" s="54">
        <f t="shared" si="1"/>
        <v>0</v>
      </c>
      <c r="F21" s="54">
        <v>0.0</v>
      </c>
    </row>
    <row r="22">
      <c r="A22" s="51" t="s">
        <v>28</v>
      </c>
      <c r="B22" s="52">
        <v>1.0</v>
      </c>
      <c r="C22" s="53">
        <v>30.0</v>
      </c>
      <c r="D22" s="54">
        <v>0.0</v>
      </c>
      <c r="E22" s="54">
        <f t="shared" si="1"/>
        <v>0</v>
      </c>
      <c r="F22" s="54">
        <v>0.0</v>
      </c>
    </row>
    <row r="23">
      <c r="A23" s="51" t="s">
        <v>28</v>
      </c>
      <c r="B23" s="52">
        <v>1.0</v>
      </c>
      <c r="C23" s="53">
        <v>31.0</v>
      </c>
      <c r="D23" s="54">
        <v>0.0</v>
      </c>
      <c r="E23" s="54">
        <f t="shared" si="1"/>
        <v>0</v>
      </c>
      <c r="F23" s="54">
        <v>0.0</v>
      </c>
    </row>
    <row r="24">
      <c r="A24" s="51" t="s">
        <v>28</v>
      </c>
      <c r="B24" s="52">
        <v>1.0</v>
      </c>
      <c r="C24" s="53">
        <v>34.0</v>
      </c>
      <c r="D24" s="54">
        <v>0.0</v>
      </c>
      <c r="E24" s="54">
        <f t="shared" si="1"/>
        <v>0</v>
      </c>
      <c r="F24" s="54">
        <v>0.0</v>
      </c>
    </row>
    <row r="25">
      <c r="A25" s="51" t="s">
        <v>28</v>
      </c>
      <c r="B25" s="52">
        <v>1.0</v>
      </c>
      <c r="C25" s="53">
        <v>36.0</v>
      </c>
      <c r="D25" s="54">
        <v>0.0</v>
      </c>
      <c r="E25" s="54">
        <f t="shared" si="1"/>
        <v>0</v>
      </c>
      <c r="F25" s="54">
        <v>0.0</v>
      </c>
    </row>
    <row r="26">
      <c r="A26" s="51" t="s">
        <v>28</v>
      </c>
      <c r="B26" s="52">
        <v>1.0</v>
      </c>
      <c r="C26" s="53">
        <v>38.0</v>
      </c>
      <c r="D26" s="54">
        <v>0.0</v>
      </c>
      <c r="E26" s="54">
        <f t="shared" si="1"/>
        <v>0</v>
      </c>
      <c r="F26" s="54">
        <v>0.0</v>
      </c>
    </row>
    <row r="27">
      <c r="A27" s="51" t="s">
        <v>28</v>
      </c>
      <c r="B27" s="52">
        <v>1.0</v>
      </c>
      <c r="C27" s="53">
        <v>40.0</v>
      </c>
      <c r="D27" s="54">
        <v>0.0</v>
      </c>
      <c r="E27" s="54">
        <f t="shared" si="1"/>
        <v>0</v>
      </c>
      <c r="F27" s="54">
        <v>0.0</v>
      </c>
    </row>
    <row r="28">
      <c r="A28" s="51" t="s">
        <v>80</v>
      </c>
      <c r="B28" s="52">
        <v>2.0</v>
      </c>
      <c r="C28" s="53">
        <v>81.0</v>
      </c>
      <c r="D28" s="54">
        <v>0.0</v>
      </c>
      <c r="E28" s="54">
        <f t="shared" si="1"/>
        <v>0</v>
      </c>
      <c r="F28" s="54">
        <v>0.0</v>
      </c>
    </row>
    <row r="29">
      <c r="A29" s="51" t="s">
        <v>80</v>
      </c>
      <c r="B29" s="52">
        <v>2.0</v>
      </c>
      <c r="C29" s="53">
        <v>82.0</v>
      </c>
      <c r="D29" s="54">
        <v>0.0</v>
      </c>
      <c r="E29" s="54">
        <f t="shared" si="1"/>
        <v>0</v>
      </c>
      <c r="F29" s="54">
        <v>0.0</v>
      </c>
    </row>
    <row r="30">
      <c r="A30" s="51" t="s">
        <v>80</v>
      </c>
      <c r="B30" s="52">
        <v>2.0</v>
      </c>
      <c r="C30" s="53">
        <v>83.0</v>
      </c>
      <c r="D30" s="54">
        <v>48.0</v>
      </c>
      <c r="E30" s="54">
        <f t="shared" si="1"/>
        <v>9.6</v>
      </c>
      <c r="F30" s="54">
        <v>1.0</v>
      </c>
    </row>
    <row r="31">
      <c r="A31" s="51" t="s">
        <v>80</v>
      </c>
      <c r="B31" s="52">
        <v>2.0</v>
      </c>
      <c r="C31" s="53">
        <v>84.0</v>
      </c>
      <c r="D31" s="54">
        <v>0.0</v>
      </c>
      <c r="E31" s="54">
        <f t="shared" si="1"/>
        <v>0</v>
      </c>
      <c r="F31" s="54">
        <v>1.0</v>
      </c>
    </row>
    <row r="32">
      <c r="A32" s="51" t="s">
        <v>80</v>
      </c>
      <c r="B32" s="52">
        <v>2.0</v>
      </c>
      <c r="C32" s="53">
        <v>85.0</v>
      </c>
      <c r="D32" s="54">
        <v>0.0</v>
      </c>
      <c r="E32" s="54">
        <f t="shared" si="1"/>
        <v>0</v>
      </c>
      <c r="F32" s="54">
        <v>0.0</v>
      </c>
    </row>
    <row r="33">
      <c r="A33" s="51" t="s">
        <v>80</v>
      </c>
      <c r="B33" s="52">
        <v>2.0</v>
      </c>
      <c r="C33" s="53">
        <v>87.0</v>
      </c>
      <c r="D33" s="54">
        <v>0.0</v>
      </c>
      <c r="E33" s="54">
        <f t="shared" si="1"/>
        <v>0</v>
      </c>
      <c r="F33" s="54">
        <v>0.0</v>
      </c>
    </row>
    <row r="34">
      <c r="A34" s="51" t="s">
        <v>80</v>
      </c>
      <c r="B34" s="52">
        <v>2.0</v>
      </c>
      <c r="C34" s="53">
        <v>88.0</v>
      </c>
      <c r="D34" s="54">
        <v>0.0</v>
      </c>
      <c r="E34" s="54">
        <f t="shared" si="1"/>
        <v>0</v>
      </c>
      <c r="F34" s="54">
        <v>0.0</v>
      </c>
    </row>
    <row r="35">
      <c r="A35" s="51" t="s">
        <v>80</v>
      </c>
      <c r="B35" s="52">
        <v>2.0</v>
      </c>
      <c r="C35" s="53">
        <v>89.0</v>
      </c>
      <c r="D35" s="54">
        <v>0.0</v>
      </c>
      <c r="E35" s="54">
        <f t="shared" si="1"/>
        <v>0</v>
      </c>
      <c r="F35" s="54">
        <v>0.0</v>
      </c>
    </row>
    <row r="36">
      <c r="A36" s="51" t="s">
        <v>80</v>
      </c>
      <c r="B36" s="52">
        <v>2.0</v>
      </c>
      <c r="C36" s="53">
        <v>91.0</v>
      </c>
      <c r="D36" s="54">
        <v>0.0</v>
      </c>
      <c r="E36" s="54">
        <f t="shared" si="1"/>
        <v>0</v>
      </c>
      <c r="F36" s="54">
        <v>0.0</v>
      </c>
    </row>
    <row r="37">
      <c r="A37" s="51" t="s">
        <v>80</v>
      </c>
      <c r="B37" s="52">
        <v>2.0</v>
      </c>
      <c r="C37" s="53">
        <v>92.0</v>
      </c>
      <c r="D37" s="54">
        <v>0.0</v>
      </c>
      <c r="E37" s="54">
        <f t="shared" si="1"/>
        <v>0</v>
      </c>
      <c r="F37" s="54">
        <v>0.0</v>
      </c>
    </row>
    <row r="38">
      <c r="A38" s="51" t="s">
        <v>80</v>
      </c>
      <c r="B38" s="52">
        <v>2.0</v>
      </c>
      <c r="C38" s="53">
        <v>94.0</v>
      </c>
      <c r="D38" s="54">
        <v>0.0</v>
      </c>
      <c r="E38" s="54">
        <f t="shared" si="1"/>
        <v>0</v>
      </c>
      <c r="F38" s="54">
        <v>0.0</v>
      </c>
    </row>
    <row r="39">
      <c r="A39" s="51" t="s">
        <v>80</v>
      </c>
      <c r="B39" s="52">
        <v>2.0</v>
      </c>
      <c r="C39" s="53">
        <v>98.0</v>
      </c>
      <c r="D39" s="54">
        <v>0.0</v>
      </c>
      <c r="E39" s="54">
        <f t="shared" si="1"/>
        <v>0</v>
      </c>
      <c r="F39" s="54">
        <v>0.0</v>
      </c>
    </row>
    <row r="40">
      <c r="A40" s="51" t="s">
        <v>80</v>
      </c>
      <c r="B40" s="52">
        <v>2.0</v>
      </c>
      <c r="C40" s="53">
        <v>99.0</v>
      </c>
      <c r="D40" s="54">
        <v>7.0</v>
      </c>
      <c r="E40" s="54">
        <f t="shared" si="1"/>
        <v>1.4</v>
      </c>
      <c r="F40" s="54">
        <v>1.0</v>
      </c>
    </row>
    <row r="41">
      <c r="A41" s="51" t="s">
        <v>80</v>
      </c>
      <c r="B41" s="52">
        <v>2.0</v>
      </c>
      <c r="C41" s="53">
        <v>101.0</v>
      </c>
      <c r="D41" s="54">
        <v>65.0</v>
      </c>
      <c r="E41" s="54">
        <f t="shared" si="1"/>
        <v>13</v>
      </c>
      <c r="F41" s="54">
        <v>1.0</v>
      </c>
    </row>
    <row r="42">
      <c r="A42" s="51" t="s">
        <v>80</v>
      </c>
      <c r="B42" s="52">
        <v>2.0</v>
      </c>
      <c r="C42" s="53">
        <v>102.0</v>
      </c>
      <c r="D42" s="54">
        <v>111.0</v>
      </c>
      <c r="E42" s="54">
        <f t="shared" si="1"/>
        <v>22.2</v>
      </c>
      <c r="F42" s="54">
        <v>1.0</v>
      </c>
    </row>
    <row r="43">
      <c r="A43" s="51" t="s">
        <v>80</v>
      </c>
      <c r="B43" s="52">
        <v>2.0</v>
      </c>
      <c r="C43" s="53">
        <v>103.0</v>
      </c>
      <c r="D43" s="54">
        <v>4.0</v>
      </c>
      <c r="E43" s="54">
        <f t="shared" si="1"/>
        <v>0.8</v>
      </c>
      <c r="F43" s="54">
        <v>1.0</v>
      </c>
    </row>
    <row r="44">
      <c r="A44" s="51" t="s">
        <v>80</v>
      </c>
      <c r="B44" s="52">
        <v>2.0</v>
      </c>
      <c r="C44" s="53">
        <v>104.0</v>
      </c>
      <c r="D44" s="54">
        <v>0.0</v>
      </c>
      <c r="E44" s="54">
        <f t="shared" si="1"/>
        <v>0</v>
      </c>
      <c r="F44" s="54">
        <v>0.0</v>
      </c>
    </row>
    <row r="45">
      <c r="A45" s="51" t="s">
        <v>80</v>
      </c>
      <c r="B45" s="52">
        <v>2.0</v>
      </c>
      <c r="C45" s="53">
        <v>105.0</v>
      </c>
      <c r="D45" s="54">
        <v>14.0</v>
      </c>
      <c r="E45" s="54">
        <f t="shared" si="1"/>
        <v>2.8</v>
      </c>
      <c r="F45" s="54">
        <v>1.0</v>
      </c>
    </row>
    <row r="46">
      <c r="A46" s="51" t="s">
        <v>80</v>
      </c>
      <c r="B46" s="52">
        <v>2.0</v>
      </c>
      <c r="C46" s="53">
        <v>106.0</v>
      </c>
      <c r="D46" s="54">
        <v>0.0</v>
      </c>
      <c r="E46" s="54">
        <f t="shared" si="1"/>
        <v>0</v>
      </c>
      <c r="F46" s="54">
        <v>0.0</v>
      </c>
    </row>
    <row r="47">
      <c r="A47" s="51" t="s">
        <v>80</v>
      </c>
      <c r="B47" s="52">
        <v>2.0</v>
      </c>
      <c r="C47" s="53">
        <v>108.0</v>
      </c>
      <c r="D47" s="54">
        <v>0.0</v>
      </c>
      <c r="E47" s="54">
        <f t="shared" si="1"/>
        <v>0</v>
      </c>
      <c r="F47" s="54">
        <v>0.0</v>
      </c>
    </row>
    <row r="48">
      <c r="A48" s="51" t="s">
        <v>80</v>
      </c>
      <c r="B48" s="52">
        <v>2.0</v>
      </c>
      <c r="C48" s="53">
        <v>109.0</v>
      </c>
      <c r="D48" s="54">
        <v>0.0</v>
      </c>
      <c r="E48" s="54">
        <f t="shared" si="1"/>
        <v>0</v>
      </c>
      <c r="F48" s="54">
        <v>0.0</v>
      </c>
    </row>
    <row r="49">
      <c r="A49" s="51" t="s">
        <v>80</v>
      </c>
      <c r="B49" s="52">
        <v>2.0</v>
      </c>
      <c r="C49" s="53">
        <v>110.0</v>
      </c>
      <c r="D49" s="54">
        <v>0.0</v>
      </c>
      <c r="E49" s="54">
        <f t="shared" si="1"/>
        <v>0</v>
      </c>
      <c r="F49" s="54">
        <v>0.0</v>
      </c>
    </row>
    <row r="50">
      <c r="A50" s="51" t="s">
        <v>80</v>
      </c>
      <c r="B50" s="52">
        <v>2.0</v>
      </c>
      <c r="C50" s="53">
        <v>111.0</v>
      </c>
      <c r="D50" s="54">
        <v>0.0</v>
      </c>
      <c r="E50" s="54">
        <f t="shared" si="1"/>
        <v>0</v>
      </c>
      <c r="F50" s="54">
        <v>0.0</v>
      </c>
    </row>
    <row r="51">
      <c r="A51" s="51" t="s">
        <v>80</v>
      </c>
      <c r="B51" s="52">
        <v>2.0</v>
      </c>
      <c r="C51" s="53">
        <v>112.0</v>
      </c>
      <c r="D51" s="54">
        <v>0.0</v>
      </c>
      <c r="E51" s="54">
        <f t="shared" si="1"/>
        <v>0</v>
      </c>
      <c r="F51" s="54">
        <v>0.0</v>
      </c>
    </row>
    <row r="52">
      <c r="A52" s="51" t="s">
        <v>80</v>
      </c>
      <c r="B52" s="52">
        <v>2.0</v>
      </c>
      <c r="C52" s="53">
        <v>114.0</v>
      </c>
      <c r="D52" s="54">
        <v>1.0</v>
      </c>
      <c r="E52" s="54">
        <f t="shared" si="1"/>
        <v>0.2</v>
      </c>
      <c r="F52" s="54">
        <v>1.0</v>
      </c>
    </row>
    <row r="53">
      <c r="A53" s="51" t="s">
        <v>80</v>
      </c>
      <c r="B53" s="52">
        <v>2.0</v>
      </c>
      <c r="C53" s="53">
        <v>115.0</v>
      </c>
      <c r="D53" s="54">
        <v>0.0</v>
      </c>
      <c r="E53" s="54">
        <f t="shared" si="1"/>
        <v>0</v>
      </c>
      <c r="F53" s="54">
        <v>1.0</v>
      </c>
    </row>
    <row r="54">
      <c r="A54" s="51" t="s">
        <v>80</v>
      </c>
      <c r="B54" s="52">
        <v>2.0</v>
      </c>
      <c r="C54" s="53">
        <v>117.0</v>
      </c>
      <c r="D54" s="54">
        <v>0.0</v>
      </c>
      <c r="E54" s="54">
        <f t="shared" si="1"/>
        <v>0</v>
      </c>
      <c r="F54" s="54">
        <v>1.0</v>
      </c>
    </row>
    <row r="55">
      <c r="A55" s="51" t="s">
        <v>80</v>
      </c>
      <c r="B55" s="52">
        <v>2.0</v>
      </c>
      <c r="C55" s="53">
        <v>118.0</v>
      </c>
      <c r="D55" s="56">
        <f>7+9+11+12</f>
        <v>39</v>
      </c>
      <c r="E55" s="54">
        <f t="shared" si="1"/>
        <v>7.8</v>
      </c>
      <c r="F55" s="54">
        <v>1.0</v>
      </c>
    </row>
    <row r="56">
      <c r="A56" s="51" t="s">
        <v>80</v>
      </c>
      <c r="B56" s="52">
        <v>2.0</v>
      </c>
      <c r="C56" s="53">
        <v>119.0</v>
      </c>
      <c r="D56" s="54">
        <v>0.0</v>
      </c>
      <c r="E56" s="54">
        <f t="shared" si="1"/>
        <v>0</v>
      </c>
      <c r="F56" s="54">
        <v>0.0</v>
      </c>
    </row>
    <row r="57">
      <c r="A57" s="51" t="s">
        <v>80</v>
      </c>
      <c r="B57" s="52">
        <v>2.0</v>
      </c>
      <c r="C57" s="53">
        <v>120.0</v>
      </c>
      <c r="D57" s="54">
        <v>0.0</v>
      </c>
      <c r="E57" s="54">
        <f t="shared" si="1"/>
        <v>0</v>
      </c>
      <c r="F57" s="54">
        <v>0.0</v>
      </c>
    </row>
    <row r="58">
      <c r="A58" s="51" t="s">
        <v>140</v>
      </c>
      <c r="B58" s="52">
        <v>3.0</v>
      </c>
      <c r="C58" s="53">
        <v>121.0</v>
      </c>
      <c r="D58" s="54">
        <v>36.0</v>
      </c>
      <c r="E58" s="54">
        <f t="shared" si="1"/>
        <v>7.2</v>
      </c>
      <c r="F58" s="54">
        <v>1.0</v>
      </c>
    </row>
    <row r="59">
      <c r="A59" s="51" t="s">
        <v>140</v>
      </c>
      <c r="B59" s="52">
        <v>3.0</v>
      </c>
      <c r="C59" s="53">
        <v>122.0</v>
      </c>
      <c r="D59" s="54">
        <v>1.0</v>
      </c>
      <c r="E59" s="54">
        <f t="shared" si="1"/>
        <v>0.2</v>
      </c>
      <c r="F59" s="54">
        <v>1.0</v>
      </c>
    </row>
    <row r="60">
      <c r="A60" s="51" t="s">
        <v>140</v>
      </c>
      <c r="B60" s="52">
        <v>3.0</v>
      </c>
      <c r="C60" s="53">
        <v>123.0</v>
      </c>
      <c r="D60" s="54">
        <v>10.0</v>
      </c>
      <c r="E60" s="54">
        <f t="shared" si="1"/>
        <v>2</v>
      </c>
      <c r="F60" s="54">
        <v>1.0</v>
      </c>
    </row>
    <row r="61">
      <c r="A61" s="51" t="s">
        <v>140</v>
      </c>
      <c r="B61" s="52">
        <v>3.0</v>
      </c>
      <c r="C61" s="53">
        <v>124.0</v>
      </c>
      <c r="D61" s="54">
        <v>5.0</v>
      </c>
      <c r="E61" s="54">
        <f t="shared" si="1"/>
        <v>1</v>
      </c>
      <c r="F61" s="54">
        <v>1.0</v>
      </c>
    </row>
    <row r="62">
      <c r="A62" s="51" t="s">
        <v>140</v>
      </c>
      <c r="B62" s="52">
        <v>3.0</v>
      </c>
      <c r="C62" s="53">
        <v>125.0</v>
      </c>
      <c r="D62" s="54">
        <v>8.0</v>
      </c>
      <c r="E62" s="54">
        <f t="shared" si="1"/>
        <v>1.6</v>
      </c>
      <c r="F62" s="54">
        <v>1.0</v>
      </c>
    </row>
    <row r="63">
      <c r="A63" s="51" t="s">
        <v>140</v>
      </c>
      <c r="B63" s="52">
        <v>3.0</v>
      </c>
      <c r="C63" s="53">
        <v>127.0</v>
      </c>
      <c r="D63" s="54">
        <v>39.0</v>
      </c>
      <c r="E63" s="54">
        <f t="shared" si="1"/>
        <v>7.8</v>
      </c>
      <c r="F63" s="54">
        <v>1.0</v>
      </c>
    </row>
    <row r="64">
      <c r="A64" s="51" t="s">
        <v>140</v>
      </c>
      <c r="B64" s="52">
        <v>3.0</v>
      </c>
      <c r="C64" s="53">
        <v>128.0</v>
      </c>
      <c r="D64" s="54">
        <v>6.0</v>
      </c>
      <c r="E64" s="54">
        <f t="shared" si="1"/>
        <v>1.2</v>
      </c>
      <c r="F64" s="54">
        <v>1.0</v>
      </c>
    </row>
    <row r="65">
      <c r="A65" s="51" t="s">
        <v>140</v>
      </c>
      <c r="B65" s="52">
        <v>3.0</v>
      </c>
      <c r="C65" s="53">
        <v>129.0</v>
      </c>
      <c r="D65" s="54">
        <v>10.0</v>
      </c>
      <c r="E65" s="54">
        <f t="shared" si="1"/>
        <v>2</v>
      </c>
      <c r="F65" s="54">
        <v>1.0</v>
      </c>
    </row>
    <row r="66">
      <c r="A66" s="51" t="s">
        <v>140</v>
      </c>
      <c r="B66" s="52">
        <v>3.0</v>
      </c>
      <c r="C66" s="53">
        <v>132.0</v>
      </c>
      <c r="D66" s="54">
        <v>10.0</v>
      </c>
      <c r="E66" s="54">
        <f t="shared" si="1"/>
        <v>2</v>
      </c>
      <c r="F66" s="54">
        <v>1.0</v>
      </c>
    </row>
    <row r="67">
      <c r="A67" s="51" t="s">
        <v>140</v>
      </c>
      <c r="B67" s="52">
        <v>3.0</v>
      </c>
      <c r="C67" s="53">
        <v>133.0</v>
      </c>
      <c r="D67" s="54">
        <v>14.0</v>
      </c>
      <c r="E67" s="54">
        <f t="shared" si="1"/>
        <v>2.8</v>
      </c>
      <c r="F67" s="54">
        <v>1.0</v>
      </c>
    </row>
    <row r="68">
      <c r="A68" s="51" t="s">
        <v>140</v>
      </c>
      <c r="B68" s="52">
        <v>3.0</v>
      </c>
      <c r="C68" s="53">
        <v>134.0</v>
      </c>
      <c r="D68" s="54">
        <v>0.0</v>
      </c>
      <c r="E68" s="54">
        <f t="shared" si="1"/>
        <v>0</v>
      </c>
      <c r="F68" s="54">
        <v>1.0</v>
      </c>
    </row>
    <row r="69">
      <c r="A69" s="51" t="s">
        <v>140</v>
      </c>
      <c r="B69" s="52">
        <v>3.0</v>
      </c>
      <c r="C69" s="53">
        <v>135.0</v>
      </c>
      <c r="D69" s="54">
        <v>2.0</v>
      </c>
      <c r="E69" s="54">
        <f t="shared" si="1"/>
        <v>0.4</v>
      </c>
      <c r="F69" s="54">
        <v>1.0</v>
      </c>
    </row>
    <row r="70">
      <c r="A70" s="51" t="s">
        <v>140</v>
      </c>
      <c r="B70" s="52">
        <v>3.0</v>
      </c>
      <c r="C70" s="53">
        <v>136.0</v>
      </c>
      <c r="D70" s="54">
        <v>23.0</v>
      </c>
      <c r="E70" s="54">
        <f t="shared" si="1"/>
        <v>4.6</v>
      </c>
      <c r="F70" s="54">
        <v>1.0</v>
      </c>
    </row>
    <row r="71">
      <c r="A71" s="51" t="s">
        <v>140</v>
      </c>
      <c r="B71" s="52">
        <v>3.0</v>
      </c>
      <c r="C71" s="53">
        <v>137.0</v>
      </c>
      <c r="D71" s="54">
        <v>12.0</v>
      </c>
      <c r="E71" s="54">
        <f t="shared" si="1"/>
        <v>2.4</v>
      </c>
      <c r="F71" s="54">
        <v>1.0</v>
      </c>
    </row>
    <row r="72">
      <c r="A72" s="51" t="s">
        <v>140</v>
      </c>
      <c r="B72" s="52">
        <v>3.0</v>
      </c>
      <c r="C72" s="53">
        <v>138.0</v>
      </c>
      <c r="D72" s="54">
        <v>12.0</v>
      </c>
      <c r="E72" s="54">
        <f t="shared" si="1"/>
        <v>2.4</v>
      </c>
      <c r="F72" s="54">
        <v>0.0</v>
      </c>
    </row>
    <row r="73">
      <c r="A73" s="51" t="s">
        <v>140</v>
      </c>
      <c r="B73" s="52">
        <v>3.0</v>
      </c>
      <c r="C73" s="53">
        <v>140.0</v>
      </c>
      <c r="D73" s="54">
        <v>4.0</v>
      </c>
      <c r="E73" s="54">
        <f t="shared" si="1"/>
        <v>0.8</v>
      </c>
      <c r="F73" s="54">
        <v>1.0</v>
      </c>
    </row>
    <row r="74">
      <c r="A74" s="51" t="s">
        <v>140</v>
      </c>
      <c r="B74" s="52">
        <v>3.0</v>
      </c>
      <c r="C74" s="53">
        <v>141.0</v>
      </c>
      <c r="D74" s="54">
        <v>3.0</v>
      </c>
      <c r="E74" s="54">
        <f t="shared" si="1"/>
        <v>0.6</v>
      </c>
      <c r="F74" s="54">
        <v>1.0</v>
      </c>
    </row>
    <row r="75">
      <c r="A75" s="51" t="s">
        <v>140</v>
      </c>
      <c r="B75" s="52">
        <v>3.0</v>
      </c>
      <c r="C75" s="53">
        <v>142.0</v>
      </c>
      <c r="D75" s="54">
        <v>9.0</v>
      </c>
      <c r="E75" s="54">
        <f t="shared" si="1"/>
        <v>1.8</v>
      </c>
      <c r="F75" s="54">
        <v>1.0</v>
      </c>
    </row>
    <row r="76">
      <c r="A76" s="51" t="s">
        <v>140</v>
      </c>
      <c r="B76" s="52">
        <v>3.0</v>
      </c>
      <c r="C76" s="53">
        <v>143.0</v>
      </c>
      <c r="D76" s="54">
        <v>3.0</v>
      </c>
      <c r="E76" s="54">
        <f t="shared" si="1"/>
        <v>0.6</v>
      </c>
      <c r="F76" s="54">
        <v>1.0</v>
      </c>
    </row>
    <row r="77">
      <c r="A77" s="51" t="s">
        <v>140</v>
      </c>
      <c r="B77" s="52">
        <v>3.0</v>
      </c>
      <c r="C77" s="53">
        <v>144.0</v>
      </c>
      <c r="D77" s="54">
        <v>6.0</v>
      </c>
      <c r="E77" s="54">
        <f t="shared" si="1"/>
        <v>1.2</v>
      </c>
      <c r="F77" s="54">
        <v>1.0</v>
      </c>
    </row>
    <row r="78">
      <c r="A78" s="51" t="s">
        <v>140</v>
      </c>
      <c r="B78" s="52">
        <v>3.0</v>
      </c>
      <c r="C78" s="53">
        <v>145.0</v>
      </c>
      <c r="D78" s="54">
        <v>2.0</v>
      </c>
      <c r="E78" s="54">
        <f t="shared" si="1"/>
        <v>0.4</v>
      </c>
      <c r="F78" s="54">
        <v>1.0</v>
      </c>
    </row>
    <row r="79">
      <c r="A79" s="51" t="s">
        <v>140</v>
      </c>
      <c r="B79" s="52">
        <v>3.0</v>
      </c>
      <c r="C79" s="53">
        <v>146.0</v>
      </c>
      <c r="D79" s="54">
        <v>6.0</v>
      </c>
      <c r="E79" s="54">
        <f t="shared" si="1"/>
        <v>1.2</v>
      </c>
      <c r="F79" s="54">
        <v>1.0</v>
      </c>
    </row>
    <row r="80">
      <c r="A80" s="51" t="s">
        <v>140</v>
      </c>
      <c r="B80" s="52">
        <v>3.0</v>
      </c>
      <c r="C80" s="53">
        <v>147.0</v>
      </c>
      <c r="D80" s="54">
        <v>0.0</v>
      </c>
      <c r="E80" s="54">
        <f t="shared" si="1"/>
        <v>0</v>
      </c>
      <c r="F80" s="54">
        <v>0.0</v>
      </c>
    </row>
    <row r="81">
      <c r="A81" s="51" t="s">
        <v>140</v>
      </c>
      <c r="B81" s="52">
        <v>3.0</v>
      </c>
      <c r="C81" s="53">
        <v>151.0</v>
      </c>
      <c r="D81" s="54">
        <v>3.0</v>
      </c>
      <c r="E81" s="54">
        <f t="shared" si="1"/>
        <v>0.6</v>
      </c>
      <c r="F81" s="54">
        <v>0.0</v>
      </c>
    </row>
    <row r="82">
      <c r="A82" s="51" t="s">
        <v>140</v>
      </c>
      <c r="B82" s="52">
        <v>3.0</v>
      </c>
      <c r="C82" s="53">
        <v>152.0</v>
      </c>
      <c r="D82" s="54">
        <v>2.0</v>
      </c>
      <c r="E82" s="54">
        <f t="shared" si="1"/>
        <v>0.4</v>
      </c>
      <c r="F82" s="54">
        <v>1.0</v>
      </c>
    </row>
    <row r="83">
      <c r="A83" s="51" t="s">
        <v>140</v>
      </c>
      <c r="B83" s="52">
        <v>3.0</v>
      </c>
      <c r="C83" s="53">
        <v>153.0</v>
      </c>
      <c r="D83" s="54">
        <v>3.0</v>
      </c>
      <c r="E83" s="54">
        <f t="shared" si="1"/>
        <v>0.6</v>
      </c>
      <c r="F83" s="54">
        <v>1.0</v>
      </c>
    </row>
    <row r="84">
      <c r="A84" s="51" t="s">
        <v>140</v>
      </c>
      <c r="B84" s="52">
        <v>3.0</v>
      </c>
      <c r="C84" s="53">
        <v>154.0</v>
      </c>
      <c r="D84" s="54">
        <v>23.0</v>
      </c>
      <c r="E84" s="54">
        <f t="shared" si="1"/>
        <v>4.6</v>
      </c>
      <c r="F84" s="54">
        <v>1.0</v>
      </c>
    </row>
    <row r="85">
      <c r="A85" s="51" t="s">
        <v>140</v>
      </c>
      <c r="B85" s="52">
        <v>3.0</v>
      </c>
      <c r="C85" s="53">
        <v>155.0</v>
      </c>
      <c r="D85" s="54">
        <v>23.0</v>
      </c>
      <c r="E85" s="54">
        <f t="shared" si="1"/>
        <v>4.6</v>
      </c>
      <c r="F85" s="54">
        <v>1.0</v>
      </c>
    </row>
    <row r="86">
      <c r="A86" s="51" t="s">
        <v>140</v>
      </c>
      <c r="B86" s="52">
        <v>3.0</v>
      </c>
      <c r="C86" s="53">
        <v>156.0</v>
      </c>
      <c r="D86" s="54">
        <v>3.0</v>
      </c>
      <c r="E86" s="54">
        <f t="shared" si="1"/>
        <v>0.6</v>
      </c>
      <c r="F86" s="54">
        <v>1.0</v>
      </c>
    </row>
    <row r="87">
      <c r="A87" s="51" t="s">
        <v>140</v>
      </c>
      <c r="B87" s="52">
        <v>3.0</v>
      </c>
      <c r="C87" s="53">
        <v>159.0</v>
      </c>
      <c r="D87" s="54">
        <v>3.0</v>
      </c>
      <c r="E87" s="54">
        <f t="shared" si="1"/>
        <v>0.6</v>
      </c>
      <c r="F87" s="5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5" max="5" width="19.75"/>
    <col customWidth="1" min="6" max="6" width="15.88"/>
    <col customWidth="1" min="10" max="10" width="16.0"/>
  </cols>
  <sheetData>
    <row r="1">
      <c r="A1" s="57" t="s">
        <v>207</v>
      </c>
      <c r="B1" s="58" t="s">
        <v>208</v>
      </c>
      <c r="C1" s="58" t="s">
        <v>209</v>
      </c>
      <c r="D1" s="58" t="s">
        <v>203</v>
      </c>
      <c r="E1" s="58" t="s">
        <v>210</v>
      </c>
      <c r="F1" s="58" t="s">
        <v>211</v>
      </c>
      <c r="G1" s="58" t="s">
        <v>212</v>
      </c>
      <c r="H1" s="59" t="s">
        <v>213</v>
      </c>
      <c r="I1" s="59" t="s">
        <v>214</v>
      </c>
      <c r="J1" s="59" t="s">
        <v>215</v>
      </c>
      <c r="K1" s="60" t="s">
        <v>216</v>
      </c>
      <c r="L1" s="61"/>
    </row>
    <row r="2">
      <c r="A2" s="62" t="s">
        <v>217</v>
      </c>
      <c r="B2" s="63" t="s">
        <v>218</v>
      </c>
      <c r="C2" s="64" t="s">
        <v>219</v>
      </c>
      <c r="D2" s="65">
        <f>108/3.1416</f>
        <v>34.37738732</v>
      </c>
      <c r="E2" s="63">
        <v>1.0</v>
      </c>
      <c r="F2" s="63">
        <v>1.0</v>
      </c>
      <c r="G2" s="63">
        <v>0.0</v>
      </c>
      <c r="H2" s="63">
        <v>0.0</v>
      </c>
      <c r="I2" s="60">
        <v>8.5</v>
      </c>
      <c r="J2" s="63">
        <v>15.0</v>
      </c>
      <c r="K2" s="63">
        <v>0.0</v>
      </c>
      <c r="L2" s="61"/>
      <c r="M2" s="66"/>
    </row>
    <row r="3">
      <c r="A3" s="62" t="s">
        <v>217</v>
      </c>
      <c r="B3" s="67" t="s">
        <v>218</v>
      </c>
      <c r="C3" s="68" t="s">
        <v>220</v>
      </c>
      <c r="D3" s="67">
        <v>43.0</v>
      </c>
      <c r="E3" s="67">
        <v>1.0</v>
      </c>
      <c r="F3" s="67">
        <v>1.0</v>
      </c>
      <c r="G3" s="67">
        <v>0.0</v>
      </c>
      <c r="H3" s="67">
        <v>0.0</v>
      </c>
      <c r="I3" s="69"/>
      <c r="J3" s="70"/>
      <c r="K3" s="70"/>
      <c r="L3" s="69"/>
    </row>
    <row r="4">
      <c r="A4" s="62" t="s">
        <v>217</v>
      </c>
      <c r="B4" s="67" t="s">
        <v>218</v>
      </c>
      <c r="C4" s="68" t="s">
        <v>220</v>
      </c>
      <c r="D4" s="67">
        <v>41.0</v>
      </c>
      <c r="E4" s="67">
        <v>2.0</v>
      </c>
      <c r="F4" s="67">
        <v>1.0</v>
      </c>
      <c r="G4" s="67">
        <v>0.0</v>
      </c>
      <c r="H4" s="67">
        <v>0.0</v>
      </c>
      <c r="I4" s="69"/>
      <c r="J4" s="70"/>
      <c r="K4" s="70"/>
      <c r="L4" s="69"/>
    </row>
    <row r="5">
      <c r="A5" s="62" t="s">
        <v>217</v>
      </c>
      <c r="B5" s="67" t="s">
        <v>221</v>
      </c>
      <c r="C5" s="68" t="s">
        <v>222</v>
      </c>
      <c r="D5" s="67">
        <v>98.0</v>
      </c>
      <c r="E5" s="67">
        <v>1.0</v>
      </c>
      <c r="F5" s="67">
        <v>1.0</v>
      </c>
      <c r="G5" s="67">
        <v>2.0</v>
      </c>
      <c r="H5" s="67" t="s">
        <v>223</v>
      </c>
      <c r="I5" s="69"/>
      <c r="J5" s="70"/>
      <c r="K5" s="70"/>
      <c r="L5" s="69"/>
    </row>
    <row r="6">
      <c r="A6" s="62" t="s">
        <v>217</v>
      </c>
      <c r="B6" s="67" t="s">
        <v>221</v>
      </c>
      <c r="C6" s="68" t="s">
        <v>220</v>
      </c>
      <c r="D6" s="67">
        <v>58.0</v>
      </c>
      <c r="E6" s="67">
        <v>1.0</v>
      </c>
      <c r="F6" s="67">
        <v>1.0</v>
      </c>
      <c r="G6" s="67">
        <v>0.0</v>
      </c>
      <c r="H6" s="67">
        <v>0.0</v>
      </c>
      <c r="I6" s="69"/>
      <c r="J6" s="70"/>
      <c r="K6" s="70"/>
      <c r="L6" s="69"/>
    </row>
    <row r="7">
      <c r="A7" s="71" t="s">
        <v>217</v>
      </c>
      <c r="B7" s="67" t="s">
        <v>221</v>
      </c>
      <c r="C7" s="68" t="s">
        <v>224</v>
      </c>
      <c r="D7" s="67">
        <v>74.0</v>
      </c>
      <c r="E7" s="67">
        <v>1.0</v>
      </c>
      <c r="F7" s="67">
        <v>1.0</v>
      </c>
      <c r="G7" s="67">
        <v>0.0</v>
      </c>
      <c r="H7" s="67">
        <v>0.0</v>
      </c>
      <c r="I7" s="69"/>
      <c r="J7" s="70"/>
      <c r="K7" s="70"/>
      <c r="L7" s="69"/>
    </row>
    <row r="8">
      <c r="A8" s="71" t="s">
        <v>217</v>
      </c>
      <c r="B8" s="67" t="s">
        <v>225</v>
      </c>
      <c r="C8" s="68" t="s">
        <v>222</v>
      </c>
      <c r="D8" s="67">
        <v>135.0</v>
      </c>
      <c r="E8" s="67">
        <v>1.0</v>
      </c>
      <c r="F8" s="67">
        <v>0.0</v>
      </c>
      <c r="G8" s="67">
        <v>0.0</v>
      </c>
      <c r="H8" s="67">
        <v>0.0</v>
      </c>
      <c r="I8" s="69"/>
      <c r="J8" s="70"/>
      <c r="K8" s="70"/>
      <c r="L8" s="69"/>
    </row>
    <row r="9">
      <c r="A9" s="71" t="s">
        <v>217</v>
      </c>
      <c r="B9" s="67" t="s">
        <v>225</v>
      </c>
      <c r="C9" s="68" t="s">
        <v>222</v>
      </c>
      <c r="D9" s="67">
        <v>165.0</v>
      </c>
      <c r="E9" s="67">
        <v>1.0</v>
      </c>
      <c r="F9" s="67">
        <v>0.0</v>
      </c>
      <c r="G9" s="67">
        <v>0.0</v>
      </c>
      <c r="H9" s="67">
        <v>0.0</v>
      </c>
      <c r="I9" s="69"/>
      <c r="J9" s="70"/>
      <c r="K9" s="70"/>
      <c r="L9" s="69"/>
    </row>
    <row r="10">
      <c r="A10" s="71" t="s">
        <v>217</v>
      </c>
      <c r="B10" s="72" t="s">
        <v>226</v>
      </c>
      <c r="C10" s="73" t="s">
        <v>227</v>
      </c>
      <c r="D10" s="72">
        <v>84.0</v>
      </c>
      <c r="E10" s="72">
        <v>2.0</v>
      </c>
      <c r="F10" s="72">
        <v>0.0</v>
      </c>
      <c r="G10" s="72">
        <v>2.0</v>
      </c>
      <c r="H10" s="72" t="s">
        <v>223</v>
      </c>
      <c r="I10" s="74"/>
      <c r="J10" s="75"/>
      <c r="K10" s="75"/>
      <c r="L10" s="69"/>
    </row>
    <row r="11">
      <c r="A11" s="76" t="s">
        <v>228</v>
      </c>
      <c r="B11" s="67" t="s">
        <v>226</v>
      </c>
      <c r="C11" s="67" t="s">
        <v>220</v>
      </c>
      <c r="D11" s="67">
        <f>39.5/3.1416</f>
        <v>12.5732111</v>
      </c>
      <c r="E11" s="67">
        <v>1.0</v>
      </c>
      <c r="F11" s="67">
        <v>1.0</v>
      </c>
      <c r="G11" s="67">
        <v>0.0</v>
      </c>
      <c r="H11" s="67">
        <v>0.0</v>
      </c>
      <c r="I11" s="77">
        <v>17.0</v>
      </c>
      <c r="J11" s="77">
        <v>48.0</v>
      </c>
      <c r="K11" s="78">
        <v>0.0</v>
      </c>
      <c r="L11" s="61" t="s">
        <v>229</v>
      </c>
    </row>
    <row r="12">
      <c r="A12" s="71" t="s">
        <v>228</v>
      </c>
      <c r="B12" s="72" t="s">
        <v>225</v>
      </c>
      <c r="C12" s="72" t="s">
        <v>224</v>
      </c>
      <c r="D12" s="72">
        <f>70/3.1416</f>
        <v>22.28163993</v>
      </c>
      <c r="E12" s="72">
        <v>1.0</v>
      </c>
      <c r="F12" s="72">
        <v>0.0</v>
      </c>
      <c r="G12" s="72">
        <v>0.0</v>
      </c>
      <c r="H12" s="72">
        <v>0.0</v>
      </c>
      <c r="I12" s="74"/>
      <c r="J12" s="75"/>
      <c r="K12" s="79"/>
    </row>
    <row r="13">
      <c r="A13" s="76" t="s">
        <v>230</v>
      </c>
      <c r="B13" s="63" t="s">
        <v>221</v>
      </c>
      <c r="C13" s="63" t="s">
        <v>220</v>
      </c>
      <c r="D13" s="80">
        <f>40/3.1416</f>
        <v>12.73236567</v>
      </c>
      <c r="E13" s="63">
        <v>1.0</v>
      </c>
      <c r="F13" s="63">
        <v>1.0</v>
      </c>
      <c r="G13" s="63">
        <v>0.0</v>
      </c>
      <c r="H13" s="63">
        <v>0.0</v>
      </c>
      <c r="I13" s="81"/>
      <c r="J13" s="80"/>
      <c r="K13" s="82"/>
      <c r="M13" s="66"/>
    </row>
    <row r="14">
      <c r="A14" s="71" t="s">
        <v>230</v>
      </c>
      <c r="B14" s="67" t="s">
        <v>221</v>
      </c>
      <c r="C14" s="67" t="s">
        <v>231</v>
      </c>
      <c r="D14" s="67">
        <v>21.0</v>
      </c>
      <c r="E14" s="67">
        <v>1.0</v>
      </c>
      <c r="F14" s="67">
        <v>0.0</v>
      </c>
      <c r="G14" s="67">
        <v>0.0</v>
      </c>
      <c r="H14" s="67">
        <v>0.0</v>
      </c>
      <c r="I14" s="69"/>
      <c r="J14" s="70"/>
      <c r="K14" s="83"/>
    </row>
    <row r="15">
      <c r="A15" s="71" t="s">
        <v>230</v>
      </c>
      <c r="B15" s="72" t="s">
        <v>226</v>
      </c>
      <c r="C15" s="72" t="s">
        <v>222</v>
      </c>
      <c r="D15" s="72">
        <v>62.0</v>
      </c>
      <c r="E15" s="72">
        <v>1.0</v>
      </c>
      <c r="F15" s="72">
        <v>0.0</v>
      </c>
      <c r="G15" s="72">
        <v>2.0</v>
      </c>
      <c r="H15" s="72" t="s">
        <v>223</v>
      </c>
      <c r="I15" s="74"/>
      <c r="J15" s="75"/>
      <c r="K15" s="79"/>
      <c r="M15" s="66"/>
    </row>
    <row r="16">
      <c r="A16" s="76" t="s">
        <v>232</v>
      </c>
      <c r="B16" s="63" t="s">
        <v>218</v>
      </c>
      <c r="C16" s="63" t="s">
        <v>233</v>
      </c>
      <c r="D16" s="63">
        <v>17.0</v>
      </c>
      <c r="E16" s="63">
        <v>1.0</v>
      </c>
      <c r="F16" s="63">
        <v>1.0</v>
      </c>
      <c r="G16" s="63">
        <v>1.0</v>
      </c>
      <c r="H16" s="63" t="s">
        <v>234</v>
      </c>
      <c r="I16" s="81"/>
      <c r="J16" s="80"/>
      <c r="K16" s="82"/>
    </row>
    <row r="17">
      <c r="A17" s="71" t="s">
        <v>232</v>
      </c>
      <c r="B17" s="67" t="s">
        <v>218</v>
      </c>
      <c r="C17" s="67" t="s">
        <v>222</v>
      </c>
      <c r="D17" s="70">
        <f>91/3.1416</f>
        <v>28.96613191</v>
      </c>
      <c r="E17" s="67">
        <v>1.0</v>
      </c>
      <c r="F17" s="67">
        <v>1.0</v>
      </c>
      <c r="G17" s="67">
        <v>0.0</v>
      </c>
      <c r="H17" s="67">
        <v>0.0</v>
      </c>
      <c r="I17" s="69"/>
      <c r="J17" s="70"/>
      <c r="K17" s="83"/>
      <c r="M17" s="66"/>
    </row>
    <row r="18">
      <c r="A18" s="71" t="s">
        <v>232</v>
      </c>
      <c r="B18" s="67" t="s">
        <v>218</v>
      </c>
      <c r="C18" s="67" t="s">
        <v>222</v>
      </c>
      <c r="D18" s="67">
        <f>49/3.1416</f>
        <v>15.59714795</v>
      </c>
      <c r="E18" s="67">
        <v>2.0</v>
      </c>
      <c r="F18" s="67">
        <v>1.0</v>
      </c>
      <c r="G18" s="67">
        <v>0.0</v>
      </c>
      <c r="H18" s="67">
        <v>0.0</v>
      </c>
      <c r="I18" s="69"/>
      <c r="J18" s="70"/>
      <c r="K18" s="83"/>
      <c r="L18" s="70"/>
    </row>
    <row r="19">
      <c r="A19" s="71" t="s">
        <v>232</v>
      </c>
      <c r="B19" s="67" t="s">
        <v>226</v>
      </c>
      <c r="C19" s="67" t="s">
        <v>235</v>
      </c>
      <c r="D19" s="70">
        <f>55/3.1416</f>
        <v>17.5070028</v>
      </c>
      <c r="E19" s="67">
        <v>1.0</v>
      </c>
      <c r="F19" s="67">
        <v>1.0</v>
      </c>
      <c r="G19" s="67">
        <v>1.0</v>
      </c>
      <c r="H19" s="67" t="s">
        <v>234</v>
      </c>
      <c r="I19" s="69"/>
      <c r="J19" s="70"/>
      <c r="K19" s="83"/>
      <c r="L19" s="70"/>
    </row>
    <row r="20">
      <c r="A20" s="71" t="s">
        <v>232</v>
      </c>
      <c r="B20" s="67" t="s">
        <v>226</v>
      </c>
      <c r="C20" s="67" t="s">
        <v>235</v>
      </c>
      <c r="D20" s="70">
        <f>44/3.14</f>
        <v>14.01273885</v>
      </c>
      <c r="E20" s="67">
        <v>3.0</v>
      </c>
      <c r="F20" s="67">
        <v>0.0</v>
      </c>
      <c r="G20" s="67">
        <v>0.0</v>
      </c>
      <c r="H20" s="67">
        <v>0.0</v>
      </c>
      <c r="I20" s="69"/>
      <c r="J20" s="70"/>
      <c r="K20" s="83"/>
      <c r="L20" s="70"/>
    </row>
    <row r="21">
      <c r="A21" s="71" t="s">
        <v>232</v>
      </c>
      <c r="B21" s="67" t="s">
        <v>225</v>
      </c>
      <c r="C21" s="67" t="s">
        <v>236</v>
      </c>
      <c r="D21" s="67">
        <v>13.0</v>
      </c>
      <c r="E21" s="67">
        <v>2.0</v>
      </c>
      <c r="F21" s="67">
        <v>1.0</v>
      </c>
      <c r="G21" s="67">
        <v>1.0</v>
      </c>
      <c r="H21" s="67" t="s">
        <v>234</v>
      </c>
      <c r="I21" s="69"/>
      <c r="J21" s="70"/>
      <c r="K21" s="83"/>
      <c r="L21" s="70"/>
    </row>
    <row r="22">
      <c r="A22" s="71" t="s">
        <v>232</v>
      </c>
      <c r="B22" s="67" t="s">
        <v>225</v>
      </c>
      <c r="C22" s="67" t="s">
        <v>220</v>
      </c>
      <c r="D22" s="67">
        <v>64.0</v>
      </c>
      <c r="E22" s="67">
        <v>1.0</v>
      </c>
      <c r="F22" s="67">
        <v>0.0</v>
      </c>
      <c r="G22" s="67">
        <v>0.0</v>
      </c>
      <c r="H22" s="67">
        <v>0.0</v>
      </c>
      <c r="I22" s="69"/>
      <c r="J22" s="70"/>
      <c r="K22" s="83"/>
      <c r="L22" s="70"/>
    </row>
    <row r="23">
      <c r="A23" s="71" t="s">
        <v>232</v>
      </c>
      <c r="B23" s="67" t="s">
        <v>225</v>
      </c>
      <c r="C23" s="67" t="s">
        <v>220</v>
      </c>
      <c r="D23" s="67">
        <v>60.0</v>
      </c>
      <c r="E23" s="67">
        <v>1.0</v>
      </c>
      <c r="F23" s="67">
        <v>0.0</v>
      </c>
      <c r="G23" s="67">
        <v>0.0</v>
      </c>
      <c r="H23" s="67">
        <v>0.0</v>
      </c>
      <c r="I23" s="69"/>
      <c r="J23" s="70"/>
      <c r="K23" s="83"/>
      <c r="L23" s="70"/>
    </row>
    <row r="24">
      <c r="A24" s="76" t="s">
        <v>237</v>
      </c>
      <c r="B24" s="63" t="s">
        <v>225</v>
      </c>
      <c r="C24" s="63" t="s">
        <v>222</v>
      </c>
      <c r="D24" s="63">
        <v>85.0</v>
      </c>
      <c r="E24" s="63">
        <v>2.0</v>
      </c>
      <c r="F24" s="63">
        <v>1.0</v>
      </c>
      <c r="G24" s="84">
        <v>2.0</v>
      </c>
      <c r="H24" s="84" t="s">
        <v>223</v>
      </c>
      <c r="I24" s="80"/>
      <c r="J24" s="80"/>
      <c r="K24" s="82"/>
      <c r="L24" s="70"/>
    </row>
    <row r="25">
      <c r="A25" s="71" t="s">
        <v>237</v>
      </c>
      <c r="B25" s="67" t="s">
        <v>225</v>
      </c>
      <c r="C25" s="67" t="s">
        <v>220</v>
      </c>
      <c r="D25" s="67">
        <v>36.0</v>
      </c>
      <c r="E25" s="67">
        <v>1.0</v>
      </c>
      <c r="F25" s="67">
        <v>1.0</v>
      </c>
      <c r="G25" s="85">
        <v>0.0</v>
      </c>
      <c r="H25" s="85">
        <v>0.0</v>
      </c>
      <c r="I25" s="70"/>
      <c r="J25" s="70"/>
      <c r="K25" s="83"/>
      <c r="L25" s="70"/>
    </row>
    <row r="26">
      <c r="A26" s="71" t="s">
        <v>237</v>
      </c>
      <c r="B26" s="67" t="s">
        <v>225</v>
      </c>
      <c r="C26" s="67" t="s">
        <v>220</v>
      </c>
      <c r="D26" s="70">
        <f>79.5/3.1416</f>
        <v>25.30557678</v>
      </c>
      <c r="E26" s="67">
        <v>2.0</v>
      </c>
      <c r="F26" s="67">
        <v>0.0</v>
      </c>
      <c r="G26" s="85">
        <v>1.0</v>
      </c>
      <c r="H26" s="85" t="s">
        <v>234</v>
      </c>
      <c r="I26" s="70"/>
      <c r="J26" s="70"/>
      <c r="K26" s="83"/>
      <c r="L26" s="70"/>
    </row>
    <row r="27">
      <c r="A27" s="71" t="s">
        <v>237</v>
      </c>
      <c r="B27" s="67" t="s">
        <v>226</v>
      </c>
      <c r="C27" s="67" t="s">
        <v>220</v>
      </c>
      <c r="D27" s="70">
        <f>32.5/3.1416</f>
        <v>10.34504711</v>
      </c>
      <c r="E27" s="67">
        <v>2.0</v>
      </c>
      <c r="F27" s="67">
        <v>0.0</v>
      </c>
      <c r="G27" s="85">
        <v>0.0</v>
      </c>
      <c r="H27" s="85">
        <v>0.0</v>
      </c>
      <c r="I27" s="70"/>
      <c r="J27" s="70"/>
      <c r="K27" s="83"/>
      <c r="L27" s="70"/>
    </row>
    <row r="28">
      <c r="A28" s="71" t="s">
        <v>237</v>
      </c>
      <c r="B28" s="67" t="s">
        <v>226</v>
      </c>
      <c r="C28" s="67" t="s">
        <v>220</v>
      </c>
      <c r="D28" s="70">
        <f>46.5/3.1416</f>
        <v>14.8013751</v>
      </c>
      <c r="E28" s="67">
        <v>2.0</v>
      </c>
      <c r="F28" s="67">
        <v>1.0</v>
      </c>
      <c r="G28" s="85">
        <v>0.0</v>
      </c>
      <c r="H28" s="85">
        <v>0.0</v>
      </c>
      <c r="I28" s="70"/>
      <c r="J28" s="70"/>
      <c r="K28" s="83"/>
      <c r="L28" s="70"/>
    </row>
    <row r="29">
      <c r="A29" s="71" t="s">
        <v>237</v>
      </c>
      <c r="B29" s="67" t="s">
        <v>226</v>
      </c>
      <c r="C29" s="67" t="s">
        <v>220</v>
      </c>
      <c r="D29" s="70">
        <f>70.5/3.1416</f>
        <v>22.4407945</v>
      </c>
      <c r="E29" s="67">
        <v>2.0</v>
      </c>
      <c r="F29" s="67">
        <v>1.0</v>
      </c>
      <c r="G29" s="85">
        <v>0.0</v>
      </c>
      <c r="H29" s="85">
        <v>0.0</v>
      </c>
      <c r="I29" s="70"/>
      <c r="J29" s="70"/>
      <c r="K29" s="83"/>
      <c r="L29" s="70"/>
    </row>
    <row r="30">
      <c r="A30" s="71" t="s">
        <v>237</v>
      </c>
      <c r="B30" s="72" t="s">
        <v>218</v>
      </c>
      <c r="C30" s="72" t="s">
        <v>222</v>
      </c>
      <c r="D30" s="72">
        <v>54.2</v>
      </c>
      <c r="E30" s="72">
        <v>1.0</v>
      </c>
      <c r="F30" s="72">
        <v>0.0</v>
      </c>
      <c r="G30" s="86">
        <v>0.0</v>
      </c>
      <c r="H30" s="86">
        <v>0.0</v>
      </c>
      <c r="I30" s="75"/>
      <c r="J30" s="75"/>
      <c r="K30" s="79"/>
      <c r="L30" s="70"/>
    </row>
    <row r="31">
      <c r="A31" s="76" t="s">
        <v>238</v>
      </c>
      <c r="B31" s="63" t="s">
        <v>218</v>
      </c>
      <c r="C31" s="63" t="s">
        <v>222</v>
      </c>
      <c r="D31" s="63">
        <v>62.4</v>
      </c>
      <c r="E31" s="63">
        <v>1.0</v>
      </c>
      <c r="F31" s="63">
        <v>0.0</v>
      </c>
      <c r="G31" s="63">
        <v>0.0</v>
      </c>
      <c r="H31" s="63">
        <v>0.0</v>
      </c>
      <c r="I31" s="81"/>
      <c r="J31" s="80"/>
      <c r="K31" s="82"/>
      <c r="L31" s="70"/>
    </row>
    <row r="32">
      <c r="A32" s="71" t="s">
        <v>238</v>
      </c>
      <c r="B32" s="67" t="s">
        <v>221</v>
      </c>
      <c r="C32" s="67" t="s">
        <v>222</v>
      </c>
      <c r="D32" s="67">
        <v>63.69</v>
      </c>
      <c r="E32" s="67">
        <v>1.0</v>
      </c>
      <c r="F32" s="67">
        <v>0.0</v>
      </c>
      <c r="G32" s="67">
        <v>0.0</v>
      </c>
      <c r="H32" s="67">
        <v>0.0</v>
      </c>
      <c r="I32" s="69"/>
      <c r="J32" s="70"/>
      <c r="K32" s="83"/>
      <c r="L32" s="70"/>
    </row>
    <row r="33">
      <c r="A33" s="71" t="s">
        <v>238</v>
      </c>
      <c r="B33" s="67" t="s">
        <v>226</v>
      </c>
      <c r="C33" s="67" t="s">
        <v>227</v>
      </c>
      <c r="D33" s="67">
        <v>22.0</v>
      </c>
      <c r="E33" s="67">
        <v>1.0</v>
      </c>
      <c r="F33" s="67">
        <v>1.0</v>
      </c>
      <c r="G33" s="85">
        <v>0.0</v>
      </c>
      <c r="H33" s="85">
        <v>0.0</v>
      </c>
      <c r="I33" s="69"/>
      <c r="J33" s="70"/>
      <c r="K33" s="83"/>
      <c r="L33" s="70"/>
    </row>
    <row r="34">
      <c r="A34" s="71" t="s">
        <v>238</v>
      </c>
      <c r="B34" s="67" t="s">
        <v>225</v>
      </c>
      <c r="C34" s="67" t="s">
        <v>239</v>
      </c>
      <c r="D34" s="70">
        <f>39.5/3.1416</f>
        <v>12.5732111</v>
      </c>
      <c r="E34" s="67">
        <v>1.0</v>
      </c>
      <c r="F34" s="67">
        <v>0.0</v>
      </c>
      <c r="G34" s="85">
        <v>0.0</v>
      </c>
      <c r="H34" s="85">
        <v>0.0</v>
      </c>
      <c r="I34" s="70"/>
      <c r="J34" s="70"/>
      <c r="K34" s="83"/>
      <c r="L34" s="70"/>
    </row>
    <row r="35">
      <c r="A35" s="71" t="s">
        <v>238</v>
      </c>
      <c r="B35" s="72" t="s">
        <v>225</v>
      </c>
      <c r="C35" s="72" t="s">
        <v>227</v>
      </c>
      <c r="D35" s="75">
        <f>46.5/3.1416</f>
        <v>14.8013751</v>
      </c>
      <c r="E35" s="72">
        <v>1.0</v>
      </c>
      <c r="F35" s="72">
        <v>0.0</v>
      </c>
      <c r="G35" s="86">
        <v>0.0</v>
      </c>
      <c r="H35" s="86">
        <v>0.0</v>
      </c>
      <c r="I35" s="75"/>
      <c r="J35" s="75"/>
      <c r="K35" s="79"/>
      <c r="L35" s="70"/>
    </row>
    <row r="36">
      <c r="A36" s="76" t="s">
        <v>240</v>
      </c>
      <c r="B36" s="63" t="s">
        <v>218</v>
      </c>
      <c r="C36" s="63" t="s">
        <v>241</v>
      </c>
      <c r="D36" s="80">
        <f>50/3.1416</f>
        <v>15.91545709</v>
      </c>
      <c r="E36" s="63">
        <v>2.0</v>
      </c>
      <c r="F36" s="63">
        <v>0.0</v>
      </c>
      <c r="G36" s="63">
        <v>0.0</v>
      </c>
      <c r="H36" s="63">
        <v>0.0</v>
      </c>
      <c r="I36" s="81"/>
      <c r="J36" s="80"/>
      <c r="K36" s="82"/>
      <c r="L36" s="70"/>
    </row>
    <row r="37">
      <c r="A37" s="71" t="s">
        <v>240</v>
      </c>
      <c r="B37" s="67" t="s">
        <v>218</v>
      </c>
      <c r="C37" s="67" t="s">
        <v>241</v>
      </c>
      <c r="D37" s="70">
        <f>50.5/3.1416</f>
        <v>16.07461166</v>
      </c>
      <c r="E37" s="67">
        <v>2.0</v>
      </c>
      <c r="F37" s="67">
        <v>0.0</v>
      </c>
      <c r="G37" s="67">
        <v>0.0</v>
      </c>
      <c r="H37" s="67">
        <v>0.0</v>
      </c>
      <c r="I37" s="69"/>
      <c r="J37" s="70"/>
      <c r="K37" s="83"/>
      <c r="L37" s="70"/>
    </row>
    <row r="38">
      <c r="A38" s="71" t="s">
        <v>240</v>
      </c>
      <c r="B38" s="67" t="s">
        <v>218</v>
      </c>
      <c r="C38" s="67" t="s">
        <v>241</v>
      </c>
      <c r="D38" s="70">
        <f>50/3.1416</f>
        <v>15.91545709</v>
      </c>
      <c r="E38" s="67">
        <v>2.0</v>
      </c>
      <c r="F38" s="67">
        <v>0.0</v>
      </c>
      <c r="G38" s="67">
        <v>0.0</v>
      </c>
      <c r="H38" s="67">
        <v>0.0</v>
      </c>
      <c r="I38" s="69"/>
      <c r="J38" s="70"/>
      <c r="K38" s="83"/>
      <c r="L38" s="70"/>
    </row>
    <row r="39">
      <c r="A39" s="71" t="s">
        <v>240</v>
      </c>
      <c r="B39" s="67" t="s">
        <v>242</v>
      </c>
      <c r="C39" s="67" t="s">
        <v>235</v>
      </c>
      <c r="D39" s="70">
        <f>56/3.1416</f>
        <v>17.82531194</v>
      </c>
      <c r="E39" s="67">
        <v>1.0</v>
      </c>
      <c r="F39" s="67">
        <v>0.0</v>
      </c>
      <c r="G39" s="67">
        <v>0.0</v>
      </c>
      <c r="H39" s="67">
        <v>0.0</v>
      </c>
      <c r="I39" s="69"/>
      <c r="J39" s="70"/>
      <c r="K39" s="83"/>
      <c r="L39" s="70"/>
    </row>
    <row r="40">
      <c r="A40" s="71" t="s">
        <v>240</v>
      </c>
      <c r="B40" s="67" t="s">
        <v>225</v>
      </c>
      <c r="C40" s="67" t="s">
        <v>235</v>
      </c>
      <c r="D40" s="70">
        <f>61/3.1416</f>
        <v>19.41685765</v>
      </c>
      <c r="E40" s="67">
        <v>2.0</v>
      </c>
      <c r="F40" s="67">
        <v>0.0</v>
      </c>
      <c r="G40" s="67">
        <v>1.0</v>
      </c>
      <c r="H40" s="67" t="s">
        <v>234</v>
      </c>
      <c r="I40" s="69"/>
      <c r="J40" s="70"/>
      <c r="K40" s="83"/>
      <c r="L40" s="70"/>
    </row>
    <row r="41">
      <c r="A41" s="71" t="s">
        <v>240</v>
      </c>
      <c r="B41" s="67" t="s">
        <v>225</v>
      </c>
      <c r="C41" s="67" t="s">
        <v>220</v>
      </c>
      <c r="D41" s="70">
        <f>59/3.1416</f>
        <v>18.78023937</v>
      </c>
      <c r="E41" s="67">
        <v>1.0</v>
      </c>
      <c r="F41" s="67">
        <v>1.0</v>
      </c>
      <c r="G41" s="67">
        <v>0.0</v>
      </c>
      <c r="H41" s="67">
        <v>0.0</v>
      </c>
      <c r="I41" s="69"/>
      <c r="J41" s="70"/>
      <c r="K41" s="83"/>
      <c r="L41" s="70"/>
    </row>
    <row r="42">
      <c r="A42" s="71" t="s">
        <v>240</v>
      </c>
      <c r="B42" s="67" t="s">
        <v>225</v>
      </c>
      <c r="C42" s="67" t="s">
        <v>222</v>
      </c>
      <c r="D42" s="70">
        <f>45/3.1416</f>
        <v>14.32391138</v>
      </c>
      <c r="E42" s="67">
        <v>1.0</v>
      </c>
      <c r="F42" s="67">
        <v>0.0</v>
      </c>
      <c r="G42" s="67">
        <v>0.0</v>
      </c>
      <c r="H42" s="67">
        <v>0.0</v>
      </c>
      <c r="I42" s="69"/>
      <c r="J42" s="70"/>
      <c r="K42" s="83"/>
      <c r="L42" s="70"/>
    </row>
    <row r="43">
      <c r="A43" s="71" t="s">
        <v>240</v>
      </c>
      <c r="B43" s="67" t="s">
        <v>226</v>
      </c>
      <c r="C43" s="67" t="s">
        <v>220</v>
      </c>
      <c r="D43" s="70">
        <f>49.5/3.1416</f>
        <v>15.75630252</v>
      </c>
      <c r="E43" s="67">
        <v>1.0</v>
      </c>
      <c r="F43" s="67">
        <v>1.0</v>
      </c>
      <c r="G43" s="67">
        <v>0.0</v>
      </c>
      <c r="H43" s="67">
        <v>0.0</v>
      </c>
      <c r="I43" s="69"/>
      <c r="J43" s="70"/>
      <c r="K43" s="83"/>
      <c r="L43" s="70"/>
    </row>
    <row r="44">
      <c r="A44" s="71" t="s">
        <v>240</v>
      </c>
      <c r="B44" s="67" t="s">
        <v>226</v>
      </c>
      <c r="C44" s="67" t="s">
        <v>220</v>
      </c>
      <c r="D44" s="70">
        <f>52/3.1416</f>
        <v>16.55207538</v>
      </c>
      <c r="E44" s="67">
        <v>1.0</v>
      </c>
      <c r="F44" s="67">
        <v>0.0</v>
      </c>
      <c r="G44" s="67">
        <v>0.0</v>
      </c>
      <c r="H44" s="67">
        <v>0.0</v>
      </c>
      <c r="I44" s="69"/>
      <c r="J44" s="70"/>
      <c r="K44" s="83"/>
      <c r="L44" s="70"/>
    </row>
    <row r="45">
      <c r="A45" s="71" t="s">
        <v>240</v>
      </c>
      <c r="B45" s="72" t="s">
        <v>226</v>
      </c>
      <c r="C45" s="72" t="s">
        <v>220</v>
      </c>
      <c r="D45" s="75">
        <f>50/3.1416</f>
        <v>15.91545709</v>
      </c>
      <c r="E45" s="72">
        <v>1.0</v>
      </c>
      <c r="F45" s="72">
        <v>0.0</v>
      </c>
      <c r="G45" s="72">
        <v>0.0</v>
      </c>
      <c r="H45" s="72">
        <v>0.0</v>
      </c>
      <c r="I45" s="74"/>
      <c r="J45" s="75"/>
      <c r="K45" s="79"/>
      <c r="L45" s="70"/>
    </row>
    <row r="46">
      <c r="A46" s="87" t="s">
        <v>243</v>
      </c>
      <c r="B46" s="63" t="s">
        <v>218</v>
      </c>
      <c r="C46" s="63" t="s">
        <v>244</v>
      </c>
      <c r="D46" s="80">
        <f>67/3.1416</f>
        <v>21.3267125</v>
      </c>
      <c r="E46" s="63">
        <v>2.0</v>
      </c>
      <c r="F46" s="63">
        <v>0.0</v>
      </c>
      <c r="G46" s="63">
        <v>0.0</v>
      </c>
      <c r="H46" s="63">
        <v>0.0</v>
      </c>
      <c r="I46" s="60">
        <v>13.0</v>
      </c>
      <c r="J46" s="63">
        <v>1.1</v>
      </c>
      <c r="K46" s="84">
        <v>0.0</v>
      </c>
      <c r="L46" s="70"/>
    </row>
    <row r="47">
      <c r="A47" s="88" t="s">
        <v>243</v>
      </c>
      <c r="B47" s="67" t="s">
        <v>218</v>
      </c>
      <c r="C47" s="67" t="s">
        <v>244</v>
      </c>
      <c r="D47" s="70">
        <f>70.5/3.1416</f>
        <v>22.4407945</v>
      </c>
      <c r="E47" s="67">
        <v>2.0</v>
      </c>
      <c r="F47" s="67">
        <v>1.0</v>
      </c>
      <c r="G47" s="67">
        <v>1.0</v>
      </c>
      <c r="H47" s="67" t="s">
        <v>234</v>
      </c>
      <c r="I47" s="69"/>
      <c r="J47" s="70"/>
      <c r="K47" s="83"/>
      <c r="L47" s="70"/>
    </row>
    <row r="48">
      <c r="A48" s="88" t="s">
        <v>243</v>
      </c>
      <c r="B48" s="67" t="s">
        <v>218</v>
      </c>
      <c r="C48" s="67" t="s">
        <v>220</v>
      </c>
      <c r="D48" s="70">
        <f>39/3.1416</f>
        <v>12.41405653</v>
      </c>
      <c r="E48" s="67">
        <v>1.0</v>
      </c>
      <c r="F48" s="67">
        <v>1.0</v>
      </c>
      <c r="G48" s="67">
        <v>0.0</v>
      </c>
      <c r="H48" s="67">
        <v>0.0</v>
      </c>
      <c r="I48" s="69"/>
      <c r="J48" s="70"/>
      <c r="K48" s="83"/>
      <c r="L48" s="70"/>
    </row>
    <row r="49">
      <c r="A49" s="88" t="s">
        <v>243</v>
      </c>
      <c r="B49" s="67" t="s">
        <v>221</v>
      </c>
      <c r="C49" s="67" t="s">
        <v>244</v>
      </c>
      <c r="D49" s="70">
        <f>55.5</f>
        <v>55.5</v>
      </c>
      <c r="E49" s="67">
        <v>1.0</v>
      </c>
      <c r="F49" s="67">
        <v>1.0</v>
      </c>
      <c r="G49" s="67">
        <v>0.0</v>
      </c>
      <c r="H49" s="67">
        <v>0.0</v>
      </c>
      <c r="I49" s="69"/>
      <c r="J49" s="70"/>
      <c r="K49" s="83"/>
      <c r="L49" s="70"/>
    </row>
    <row r="50">
      <c r="A50" s="88" t="s">
        <v>243</v>
      </c>
      <c r="B50" s="67" t="s">
        <v>221</v>
      </c>
      <c r="C50" s="67" t="s">
        <v>244</v>
      </c>
      <c r="D50" s="67">
        <v>42.0</v>
      </c>
      <c r="E50" s="67">
        <v>1.0</v>
      </c>
      <c r="F50" s="67">
        <v>1.0</v>
      </c>
      <c r="G50" s="67">
        <v>0.0</v>
      </c>
      <c r="H50" s="67">
        <v>0.0</v>
      </c>
      <c r="I50" s="69"/>
      <c r="J50" s="70"/>
      <c r="K50" s="83"/>
      <c r="L50" s="70"/>
    </row>
    <row r="51">
      <c r="A51" s="88" t="s">
        <v>243</v>
      </c>
      <c r="B51" s="67" t="s">
        <v>225</v>
      </c>
      <c r="C51" s="67" t="s">
        <v>244</v>
      </c>
      <c r="D51" s="70">
        <f>44/3.1416</f>
        <v>14.00560224</v>
      </c>
      <c r="E51" s="67">
        <v>1.0</v>
      </c>
      <c r="F51" s="67">
        <v>1.0</v>
      </c>
      <c r="G51" s="67">
        <v>0.0</v>
      </c>
      <c r="H51" s="67">
        <v>0.0</v>
      </c>
      <c r="I51" s="69"/>
      <c r="J51" s="70"/>
      <c r="K51" s="83"/>
      <c r="L51" s="70"/>
    </row>
    <row r="52">
      <c r="A52" s="88" t="s">
        <v>243</v>
      </c>
      <c r="B52" s="67" t="s">
        <v>225</v>
      </c>
      <c r="C52" s="67" t="s">
        <v>244</v>
      </c>
      <c r="D52" s="70">
        <f>48.5/3.1416</f>
        <v>15.43799338</v>
      </c>
      <c r="E52" s="67">
        <v>2.0</v>
      </c>
      <c r="F52" s="67">
        <v>0.0</v>
      </c>
      <c r="G52" s="67">
        <v>2.0</v>
      </c>
      <c r="H52" s="67" t="s">
        <v>223</v>
      </c>
      <c r="I52" s="69"/>
      <c r="J52" s="70"/>
      <c r="K52" s="83"/>
      <c r="L52" s="70"/>
    </row>
    <row r="53">
      <c r="A53" s="88" t="s">
        <v>243</v>
      </c>
      <c r="B53" s="67" t="s">
        <v>225</v>
      </c>
      <c r="C53" s="67" t="s">
        <v>220</v>
      </c>
      <c r="D53" s="70">
        <f>75.5/3.1416</f>
        <v>24.03234021</v>
      </c>
      <c r="E53" s="67">
        <v>1.0</v>
      </c>
      <c r="F53" s="67">
        <v>1.0</v>
      </c>
      <c r="G53" s="67">
        <v>0.0</v>
      </c>
      <c r="H53" s="67">
        <v>0.0</v>
      </c>
      <c r="I53" s="69"/>
      <c r="J53" s="70"/>
      <c r="K53" s="83"/>
      <c r="L53" s="70"/>
    </row>
    <row r="54">
      <c r="A54" s="88" t="s">
        <v>243</v>
      </c>
      <c r="B54" s="67" t="s">
        <v>226</v>
      </c>
      <c r="C54" s="67" t="s">
        <v>244</v>
      </c>
      <c r="D54" s="70">
        <f>42/3.1416</f>
        <v>13.36898396</v>
      </c>
      <c r="E54" s="67">
        <v>1.0</v>
      </c>
      <c r="F54" s="67">
        <v>1.0</v>
      </c>
      <c r="G54" s="67">
        <v>0.0</v>
      </c>
      <c r="H54" s="67">
        <v>0.0</v>
      </c>
      <c r="I54" s="69"/>
      <c r="J54" s="70"/>
      <c r="K54" s="83"/>
      <c r="L54" s="70"/>
    </row>
    <row r="55">
      <c r="A55" s="88" t="s">
        <v>243</v>
      </c>
      <c r="B55" s="72" t="s">
        <v>226</v>
      </c>
      <c r="C55" s="72" t="s">
        <v>244</v>
      </c>
      <c r="D55" s="75">
        <f>54/3.1416</f>
        <v>17.18869366</v>
      </c>
      <c r="E55" s="72">
        <v>1.0</v>
      </c>
      <c r="F55" s="72">
        <v>1.0</v>
      </c>
      <c r="G55" s="72">
        <v>0.0</v>
      </c>
      <c r="H55" s="72">
        <v>0.0</v>
      </c>
      <c r="I55" s="74"/>
      <c r="J55" s="75"/>
      <c r="K55" s="79"/>
      <c r="L55" s="70"/>
    </row>
    <row r="56">
      <c r="A56" s="76" t="s">
        <v>245</v>
      </c>
      <c r="B56" s="63" t="s">
        <v>221</v>
      </c>
      <c r="C56" s="63" t="s">
        <v>222</v>
      </c>
      <c r="D56" s="63">
        <v>68.0</v>
      </c>
      <c r="E56" s="63">
        <v>1.0</v>
      </c>
      <c r="F56" s="63">
        <v>1.0</v>
      </c>
      <c r="G56" s="63">
        <v>0.0</v>
      </c>
      <c r="H56" s="63">
        <v>0.0</v>
      </c>
      <c r="I56" s="81"/>
      <c r="J56" s="80"/>
      <c r="K56" s="82"/>
      <c r="L56" s="70"/>
    </row>
    <row r="57">
      <c r="A57" s="71" t="s">
        <v>245</v>
      </c>
      <c r="B57" s="67" t="s">
        <v>221</v>
      </c>
      <c r="C57" s="67" t="s">
        <v>222</v>
      </c>
      <c r="D57" s="67">
        <v>43.0</v>
      </c>
      <c r="E57" s="67">
        <v>1.0</v>
      </c>
      <c r="F57" s="67">
        <v>0.0</v>
      </c>
      <c r="G57" s="67">
        <v>0.0</v>
      </c>
      <c r="H57" s="67">
        <v>0.0</v>
      </c>
      <c r="I57" s="69"/>
      <c r="J57" s="70"/>
      <c r="K57" s="83"/>
      <c r="L57" s="70"/>
    </row>
    <row r="58">
      <c r="A58" s="71" t="s">
        <v>245</v>
      </c>
      <c r="B58" s="67" t="s">
        <v>221</v>
      </c>
      <c r="C58" s="67" t="s">
        <v>222</v>
      </c>
      <c r="D58" s="67">
        <v>70.0</v>
      </c>
      <c r="E58" s="67">
        <v>1.0</v>
      </c>
      <c r="F58" s="67">
        <v>0.0</v>
      </c>
      <c r="G58" s="67">
        <v>0.0</v>
      </c>
      <c r="H58" s="67">
        <v>0.0</v>
      </c>
      <c r="I58" s="69"/>
      <c r="J58" s="70"/>
      <c r="K58" s="83"/>
      <c r="L58" s="70"/>
    </row>
    <row r="59">
      <c r="A59" s="71" t="s">
        <v>245</v>
      </c>
      <c r="B59" s="67" t="s">
        <v>225</v>
      </c>
      <c r="C59" s="67" t="s">
        <v>220</v>
      </c>
      <c r="D59" s="70">
        <f>65/3.1416</f>
        <v>20.69009422</v>
      </c>
      <c r="E59" s="67">
        <v>1.0</v>
      </c>
      <c r="F59" s="67">
        <v>0.0</v>
      </c>
      <c r="G59" s="67">
        <v>0.0</v>
      </c>
      <c r="H59" s="67">
        <v>0.0</v>
      </c>
      <c r="I59" s="69"/>
      <c r="J59" s="70"/>
      <c r="K59" s="83"/>
      <c r="L59" s="70"/>
    </row>
    <row r="60">
      <c r="A60" s="71" t="s">
        <v>245</v>
      </c>
      <c r="B60" s="67" t="s">
        <v>226</v>
      </c>
      <c r="C60" s="67" t="s">
        <v>220</v>
      </c>
      <c r="D60" s="70">
        <f>48/3.1416</f>
        <v>15.27883881</v>
      </c>
      <c r="E60" s="67">
        <v>2.0</v>
      </c>
      <c r="F60" s="67">
        <v>0.0</v>
      </c>
      <c r="G60" s="67">
        <v>0.0</v>
      </c>
      <c r="H60" s="67">
        <v>0.0</v>
      </c>
      <c r="I60" s="69"/>
      <c r="J60" s="70"/>
      <c r="K60" s="83"/>
      <c r="L60" s="70"/>
    </row>
    <row r="61">
      <c r="A61" s="71" t="s">
        <v>245</v>
      </c>
      <c r="B61" s="67" t="s">
        <v>226</v>
      </c>
      <c r="C61" s="67" t="s">
        <v>246</v>
      </c>
      <c r="D61" s="70">
        <f>62.5/3.1416</f>
        <v>19.89432136</v>
      </c>
      <c r="E61" s="67">
        <v>1.0</v>
      </c>
      <c r="F61" s="67">
        <v>1.0</v>
      </c>
      <c r="G61" s="67">
        <v>0.0</v>
      </c>
      <c r="H61" s="67">
        <v>0.0</v>
      </c>
      <c r="I61" s="69"/>
      <c r="J61" s="70"/>
      <c r="K61" s="83"/>
      <c r="L61" s="70"/>
    </row>
    <row r="62">
      <c r="A62" s="89" t="s">
        <v>245</v>
      </c>
      <c r="B62" s="72" t="s">
        <v>226</v>
      </c>
      <c r="C62" s="72" t="s">
        <v>246</v>
      </c>
      <c r="D62" s="75">
        <f>42.5/3.1416</f>
        <v>13.52813853</v>
      </c>
      <c r="E62" s="72">
        <v>1.0</v>
      </c>
      <c r="F62" s="72">
        <v>0.0</v>
      </c>
      <c r="G62" s="72">
        <v>1.0</v>
      </c>
      <c r="H62" s="72" t="s">
        <v>234</v>
      </c>
      <c r="I62" s="74"/>
      <c r="J62" s="75"/>
      <c r="K62" s="79"/>
      <c r="L62" s="70"/>
    </row>
    <row r="63">
      <c r="A63" s="90" t="s">
        <v>247</v>
      </c>
      <c r="B63" s="63" t="s">
        <v>218</v>
      </c>
      <c r="C63" s="63" t="s">
        <v>220</v>
      </c>
      <c r="D63" s="91">
        <f>45/3.1416</f>
        <v>14.32391138</v>
      </c>
      <c r="E63" s="63">
        <v>1.0</v>
      </c>
      <c r="F63" s="63">
        <v>1.0</v>
      </c>
      <c r="G63" s="63">
        <v>2.0</v>
      </c>
      <c r="H63" s="63" t="s">
        <v>223</v>
      </c>
      <c r="I63" s="81"/>
      <c r="J63" s="80"/>
      <c r="K63" s="82"/>
      <c r="L63" s="70"/>
    </row>
    <row r="64">
      <c r="A64" s="62" t="s">
        <v>247</v>
      </c>
      <c r="B64" s="67" t="s">
        <v>218</v>
      </c>
      <c r="C64" s="67" t="s">
        <v>220</v>
      </c>
      <c r="D64" s="92">
        <f>40/3.1416</f>
        <v>12.73236567</v>
      </c>
      <c r="E64" s="67">
        <v>1.0</v>
      </c>
      <c r="F64" s="67">
        <v>0.0</v>
      </c>
      <c r="G64" s="67">
        <v>0.0</v>
      </c>
      <c r="H64" s="67">
        <v>0.0</v>
      </c>
      <c r="I64" s="69"/>
      <c r="J64" s="70"/>
      <c r="K64" s="83"/>
      <c r="L64" s="70"/>
    </row>
    <row r="65">
      <c r="A65" s="62" t="s">
        <v>247</v>
      </c>
      <c r="B65" s="67" t="s">
        <v>221</v>
      </c>
      <c r="C65" s="67" t="s">
        <v>244</v>
      </c>
      <c r="D65" s="92">
        <f>48/3.1416</f>
        <v>15.27883881</v>
      </c>
      <c r="E65" s="67">
        <v>1.0</v>
      </c>
      <c r="F65" s="67">
        <v>0.0</v>
      </c>
      <c r="G65" s="67">
        <v>0.0</v>
      </c>
      <c r="H65" s="67">
        <v>0.0</v>
      </c>
      <c r="I65" s="69"/>
      <c r="J65" s="70"/>
      <c r="K65" s="83"/>
      <c r="L65" s="70"/>
    </row>
    <row r="66">
      <c r="A66" s="62" t="s">
        <v>247</v>
      </c>
      <c r="B66" s="67" t="s">
        <v>221</v>
      </c>
      <c r="C66" s="67" t="s">
        <v>222</v>
      </c>
      <c r="D66" s="92">
        <f>106/3.1416</f>
        <v>33.74076903</v>
      </c>
      <c r="E66" s="67">
        <v>1.0</v>
      </c>
      <c r="F66" s="67">
        <v>1.0</v>
      </c>
      <c r="G66" s="67">
        <v>1.0</v>
      </c>
      <c r="H66" s="67" t="s">
        <v>234</v>
      </c>
      <c r="I66" s="69"/>
      <c r="J66" s="70"/>
      <c r="K66" s="83"/>
      <c r="L66" s="70"/>
    </row>
    <row r="67">
      <c r="A67" s="62" t="s">
        <v>247</v>
      </c>
      <c r="B67" s="67" t="s">
        <v>221</v>
      </c>
      <c r="C67" s="67" t="s">
        <v>244</v>
      </c>
      <c r="D67" s="92">
        <f>63/3.1416</f>
        <v>20.05347594</v>
      </c>
      <c r="E67" s="67">
        <v>1.0</v>
      </c>
      <c r="F67" s="67">
        <v>0.0</v>
      </c>
      <c r="G67" s="67">
        <v>1.0</v>
      </c>
      <c r="H67" s="67" t="s">
        <v>234</v>
      </c>
      <c r="I67" s="69"/>
      <c r="J67" s="70"/>
      <c r="K67" s="83"/>
      <c r="L67" s="70"/>
    </row>
    <row r="68">
      <c r="A68" s="62" t="s">
        <v>247</v>
      </c>
      <c r="B68" s="67" t="s">
        <v>225</v>
      </c>
      <c r="C68" s="67" t="s">
        <v>220</v>
      </c>
      <c r="D68" s="92">
        <f>48/3.1416</f>
        <v>15.27883881</v>
      </c>
      <c r="E68" s="67">
        <v>1.0</v>
      </c>
      <c r="F68" s="67">
        <v>0.0</v>
      </c>
      <c r="G68" s="67">
        <v>0.0</v>
      </c>
      <c r="H68" s="67">
        <v>0.0</v>
      </c>
      <c r="I68" s="69"/>
      <c r="J68" s="70"/>
      <c r="K68" s="83"/>
      <c r="L68" s="70"/>
    </row>
    <row r="69">
      <c r="A69" s="62" t="s">
        <v>247</v>
      </c>
      <c r="B69" s="67" t="s">
        <v>226</v>
      </c>
      <c r="C69" s="67" t="s">
        <v>244</v>
      </c>
      <c r="D69" s="92">
        <f>48.5/3.1416</f>
        <v>15.43799338</v>
      </c>
      <c r="E69" s="67">
        <v>1.0</v>
      </c>
      <c r="F69" s="67">
        <v>0.0</v>
      </c>
      <c r="G69" s="67">
        <v>0.0</v>
      </c>
      <c r="H69" s="67">
        <v>0.0</v>
      </c>
      <c r="I69" s="69"/>
      <c r="J69" s="70"/>
      <c r="K69" s="83"/>
      <c r="L69" s="70"/>
    </row>
    <row r="70">
      <c r="A70" s="62" t="s">
        <v>247</v>
      </c>
      <c r="B70" s="72" t="s">
        <v>226</v>
      </c>
      <c r="C70" s="72" t="s">
        <v>244</v>
      </c>
      <c r="D70" s="93">
        <f>47.6/3.1416</f>
        <v>15.15151515</v>
      </c>
      <c r="E70" s="72">
        <v>1.0</v>
      </c>
      <c r="F70" s="72">
        <v>1.0</v>
      </c>
      <c r="G70" s="72">
        <v>0.0</v>
      </c>
      <c r="H70" s="72">
        <v>0.0</v>
      </c>
      <c r="I70" s="74"/>
      <c r="J70" s="75"/>
      <c r="K70" s="79"/>
      <c r="L70" s="70"/>
    </row>
    <row r="71">
      <c r="A71" s="59" t="s">
        <v>248</v>
      </c>
      <c r="B71" s="63" t="s">
        <v>218</v>
      </c>
      <c r="C71" s="63" t="s">
        <v>219</v>
      </c>
      <c r="D71" s="80">
        <f>117/3.1416</f>
        <v>37.2421696</v>
      </c>
      <c r="E71" s="63">
        <v>2.0</v>
      </c>
      <c r="F71" s="63">
        <v>0.0</v>
      </c>
      <c r="G71" s="63">
        <v>0.0</v>
      </c>
      <c r="H71" s="63">
        <v>0.0</v>
      </c>
      <c r="I71" s="81"/>
      <c r="J71" s="80"/>
      <c r="K71" s="82"/>
      <c r="L71" s="70"/>
    </row>
    <row r="72">
      <c r="A72" s="94" t="s">
        <v>248</v>
      </c>
      <c r="B72" s="67" t="s">
        <v>218</v>
      </c>
      <c r="C72" s="67" t="s">
        <v>220</v>
      </c>
      <c r="D72" s="70">
        <f>45/3.1416</f>
        <v>14.32391138</v>
      </c>
      <c r="E72" s="67">
        <v>2.0</v>
      </c>
      <c r="F72" s="67">
        <v>1.0</v>
      </c>
      <c r="G72" s="67">
        <v>0.0</v>
      </c>
      <c r="H72" s="67">
        <v>0.0</v>
      </c>
      <c r="I72" s="69"/>
      <c r="J72" s="70"/>
      <c r="K72" s="83"/>
      <c r="L72" s="70"/>
    </row>
    <row r="73">
      <c r="A73" s="94" t="s">
        <v>248</v>
      </c>
      <c r="B73" s="67" t="s">
        <v>218</v>
      </c>
      <c r="C73" s="67" t="s">
        <v>219</v>
      </c>
      <c r="D73" s="70">
        <f>89/3.1416</f>
        <v>28.32951362</v>
      </c>
      <c r="E73" s="67">
        <v>1.0</v>
      </c>
      <c r="F73" s="67">
        <v>0.0</v>
      </c>
      <c r="G73" s="67">
        <v>0.0</v>
      </c>
      <c r="H73" s="67">
        <v>0.0</v>
      </c>
      <c r="I73" s="69"/>
      <c r="J73" s="70"/>
      <c r="K73" s="83"/>
      <c r="L73" s="70"/>
    </row>
    <row r="74">
      <c r="A74" s="94" t="s">
        <v>248</v>
      </c>
      <c r="B74" s="67" t="s">
        <v>221</v>
      </c>
      <c r="C74" s="67" t="s">
        <v>220</v>
      </c>
      <c r="D74" s="70">
        <f>52/3.1416</f>
        <v>16.55207538</v>
      </c>
      <c r="E74" s="67">
        <v>1.0</v>
      </c>
      <c r="F74" s="67">
        <v>0.0</v>
      </c>
      <c r="G74" s="67">
        <v>0.0</v>
      </c>
      <c r="H74" s="67">
        <v>0.0</v>
      </c>
      <c r="I74" s="69"/>
      <c r="J74" s="70"/>
      <c r="K74" s="83"/>
      <c r="L74" s="70"/>
    </row>
    <row r="75">
      <c r="A75" s="94" t="s">
        <v>248</v>
      </c>
      <c r="B75" s="67" t="s">
        <v>225</v>
      </c>
      <c r="C75" s="67" t="s">
        <v>219</v>
      </c>
      <c r="D75" s="70">
        <f>54/3.1416</f>
        <v>17.18869366</v>
      </c>
      <c r="E75" s="67">
        <v>2.0</v>
      </c>
      <c r="F75" s="67">
        <v>1.0</v>
      </c>
      <c r="G75" s="67">
        <v>1.0</v>
      </c>
      <c r="H75" s="67" t="s">
        <v>234</v>
      </c>
      <c r="I75" s="69"/>
      <c r="J75" s="70"/>
      <c r="K75" s="83"/>
      <c r="L75" s="70"/>
    </row>
    <row r="76">
      <c r="A76" s="94" t="s">
        <v>248</v>
      </c>
      <c r="B76" s="67" t="s">
        <v>226</v>
      </c>
      <c r="C76" s="67" t="s">
        <v>222</v>
      </c>
      <c r="D76" s="70">
        <f>52.6/3.1416</f>
        <v>16.74306086</v>
      </c>
      <c r="E76" s="67">
        <v>1.0</v>
      </c>
      <c r="F76" s="67">
        <v>1.0</v>
      </c>
      <c r="G76" s="67">
        <v>0.0</v>
      </c>
      <c r="H76" s="67">
        <v>0.0</v>
      </c>
      <c r="I76" s="69"/>
      <c r="J76" s="70"/>
      <c r="K76" s="83"/>
      <c r="L76" s="70"/>
    </row>
    <row r="77">
      <c r="A77" s="94" t="s">
        <v>248</v>
      </c>
      <c r="B77" s="67" t="s">
        <v>226</v>
      </c>
      <c r="C77" s="67" t="s">
        <v>222</v>
      </c>
      <c r="D77" s="70">
        <f>64.7/3.1416</f>
        <v>20.59460148</v>
      </c>
      <c r="E77" s="67">
        <v>1.0</v>
      </c>
      <c r="F77" s="67">
        <v>0.0</v>
      </c>
      <c r="G77" s="67">
        <v>0.0</v>
      </c>
      <c r="H77" s="67">
        <v>0.0</v>
      </c>
      <c r="I77" s="69"/>
      <c r="J77" s="70"/>
      <c r="K77" s="83"/>
      <c r="L77" s="70"/>
    </row>
    <row r="78">
      <c r="A78" s="95" t="s">
        <v>248</v>
      </c>
      <c r="B78" s="72" t="s">
        <v>226</v>
      </c>
      <c r="C78" s="72" t="s">
        <v>222</v>
      </c>
      <c r="D78" s="75">
        <f>71.5/3.1416</f>
        <v>22.75910364</v>
      </c>
      <c r="E78" s="72">
        <v>2.0</v>
      </c>
      <c r="F78" s="72">
        <v>0.0</v>
      </c>
      <c r="G78" s="72">
        <v>2.0</v>
      </c>
      <c r="H78" s="72" t="s">
        <v>223</v>
      </c>
      <c r="I78" s="74"/>
      <c r="J78" s="75"/>
      <c r="K78" s="79"/>
      <c r="L78" s="70"/>
    </row>
    <row r="79">
      <c r="A79" s="62" t="s">
        <v>249</v>
      </c>
      <c r="B79" s="63" t="s">
        <v>218</v>
      </c>
      <c r="C79" s="63" t="s">
        <v>222</v>
      </c>
      <c r="D79" s="80">
        <f>51/3.1416</f>
        <v>16.23376623</v>
      </c>
      <c r="E79" s="63">
        <v>2.0</v>
      </c>
      <c r="F79" s="63">
        <v>0.0</v>
      </c>
      <c r="G79" s="63">
        <v>0.0</v>
      </c>
      <c r="H79" s="63">
        <v>0.0</v>
      </c>
      <c r="I79" s="60">
        <v>14.0</v>
      </c>
      <c r="J79" s="63">
        <v>105.0</v>
      </c>
      <c r="K79" s="84">
        <v>0.0</v>
      </c>
      <c r="L79" s="70"/>
    </row>
    <row r="80">
      <c r="A80" s="62" t="s">
        <v>249</v>
      </c>
      <c r="B80" s="67" t="s">
        <v>218</v>
      </c>
      <c r="C80" s="67" t="s">
        <v>222</v>
      </c>
      <c r="D80" s="70">
        <f>41/3.1416</f>
        <v>13.05067482</v>
      </c>
      <c r="E80" s="67">
        <v>1.0</v>
      </c>
      <c r="F80" s="67">
        <v>0.0</v>
      </c>
      <c r="G80" s="67">
        <v>0.0</v>
      </c>
      <c r="H80" s="67">
        <v>0.0</v>
      </c>
      <c r="I80" s="61">
        <v>19.0</v>
      </c>
      <c r="J80" s="67">
        <v>58.0</v>
      </c>
      <c r="K80" s="85">
        <v>0.0</v>
      </c>
      <c r="L80" s="70"/>
    </row>
    <row r="81">
      <c r="A81" s="62" t="s">
        <v>249</v>
      </c>
      <c r="B81" s="67" t="s">
        <v>221</v>
      </c>
      <c r="C81" s="67" t="s">
        <v>220</v>
      </c>
      <c r="D81" s="70">
        <f>70.1/3.1416</f>
        <v>22.31347084</v>
      </c>
      <c r="E81" s="67">
        <v>1.0</v>
      </c>
      <c r="F81" s="67">
        <v>1.0</v>
      </c>
      <c r="G81" s="67">
        <v>1.0</v>
      </c>
      <c r="H81" s="67" t="s">
        <v>234</v>
      </c>
      <c r="I81" s="61">
        <v>11.2</v>
      </c>
      <c r="J81" s="67">
        <v>34.6</v>
      </c>
      <c r="K81" s="85">
        <v>0.0</v>
      </c>
      <c r="L81" s="70"/>
    </row>
    <row r="82">
      <c r="A82" s="62" t="s">
        <v>249</v>
      </c>
      <c r="B82" s="67" t="s">
        <v>225</v>
      </c>
      <c r="C82" s="67" t="s">
        <v>222</v>
      </c>
      <c r="D82" s="70">
        <f>11.6/3.1416</f>
        <v>3.692386045</v>
      </c>
      <c r="E82" s="67">
        <v>2.0</v>
      </c>
      <c r="F82" s="67">
        <v>0.0</v>
      </c>
      <c r="G82" s="67">
        <v>3.0</v>
      </c>
      <c r="H82" s="67" t="s">
        <v>250</v>
      </c>
      <c r="I82" s="69"/>
      <c r="J82" s="70"/>
      <c r="K82" s="83"/>
      <c r="L82" s="70"/>
    </row>
    <row r="83">
      <c r="A83" s="62" t="s">
        <v>249</v>
      </c>
      <c r="B83" s="67" t="s">
        <v>225</v>
      </c>
      <c r="C83" s="67" t="s">
        <v>222</v>
      </c>
      <c r="D83" s="70">
        <f>102/3.1416</f>
        <v>32.46753247</v>
      </c>
      <c r="E83" s="67">
        <v>1.0</v>
      </c>
      <c r="F83" s="67">
        <v>0.0</v>
      </c>
      <c r="G83" s="67">
        <v>1.0</v>
      </c>
      <c r="H83" s="67" t="s">
        <v>234</v>
      </c>
      <c r="I83" s="69"/>
      <c r="J83" s="70"/>
      <c r="K83" s="83"/>
      <c r="L83" s="70"/>
    </row>
    <row r="84">
      <c r="A84" s="62" t="s">
        <v>249</v>
      </c>
      <c r="B84" s="67" t="s">
        <v>226</v>
      </c>
      <c r="C84" s="67" t="s">
        <v>251</v>
      </c>
      <c r="D84" s="70">
        <f>90/3.1416</f>
        <v>28.64782277</v>
      </c>
      <c r="E84" s="67">
        <v>1.0</v>
      </c>
      <c r="F84" s="67">
        <v>0.0</v>
      </c>
      <c r="G84" s="67">
        <v>2.0</v>
      </c>
      <c r="H84" s="67" t="s">
        <v>223</v>
      </c>
      <c r="I84" s="69"/>
      <c r="J84" s="70"/>
      <c r="K84" s="83"/>
      <c r="L84" s="70"/>
    </row>
    <row r="85">
      <c r="A85" s="62" t="s">
        <v>249</v>
      </c>
      <c r="B85" s="67" t="s">
        <v>226</v>
      </c>
      <c r="C85" s="67" t="s">
        <v>233</v>
      </c>
      <c r="D85" s="70">
        <f>52/3.1416</f>
        <v>16.55207538</v>
      </c>
      <c r="E85" s="67">
        <v>1.0</v>
      </c>
      <c r="F85" s="67">
        <v>0.0</v>
      </c>
      <c r="G85" s="67">
        <v>1.0</v>
      </c>
      <c r="H85" s="67" t="s">
        <v>234</v>
      </c>
      <c r="I85" s="69"/>
      <c r="J85" s="70"/>
      <c r="K85" s="83"/>
      <c r="L85" s="70"/>
    </row>
    <row r="86">
      <c r="A86" s="96" t="s">
        <v>249</v>
      </c>
      <c r="B86" s="72" t="s">
        <v>226</v>
      </c>
      <c r="C86" s="72" t="s">
        <v>233</v>
      </c>
      <c r="D86" s="75">
        <f>68.9/3.1416</f>
        <v>21.93149987</v>
      </c>
      <c r="E86" s="72">
        <v>2.0</v>
      </c>
      <c r="F86" s="72">
        <v>0.0</v>
      </c>
      <c r="G86" s="72">
        <v>3.0</v>
      </c>
      <c r="H86" s="72" t="s">
        <v>252</v>
      </c>
      <c r="I86" s="74"/>
      <c r="J86" s="75"/>
      <c r="K86" s="79"/>
      <c r="L86" s="70"/>
    </row>
    <row r="87">
      <c r="A87" s="90" t="s">
        <v>253</v>
      </c>
      <c r="B87" s="63" t="s">
        <v>218</v>
      </c>
      <c r="C87" s="63" t="s">
        <v>222</v>
      </c>
      <c r="D87" s="63">
        <v>48.0</v>
      </c>
      <c r="E87" s="63">
        <v>1.0</v>
      </c>
      <c r="F87" s="63">
        <v>0.0</v>
      </c>
      <c r="G87" s="63">
        <v>0.0</v>
      </c>
      <c r="H87" s="63">
        <v>0.0</v>
      </c>
      <c r="I87" s="60">
        <v>28.0</v>
      </c>
      <c r="J87" s="63">
        <v>75.0</v>
      </c>
      <c r="K87" s="84">
        <v>1.0</v>
      </c>
      <c r="L87" s="70"/>
    </row>
    <row r="88">
      <c r="A88" s="62" t="s">
        <v>253</v>
      </c>
      <c r="B88" s="67" t="s">
        <v>218</v>
      </c>
      <c r="C88" s="67" t="s">
        <v>222</v>
      </c>
      <c r="D88" s="67">
        <v>57.04</v>
      </c>
      <c r="E88" s="67">
        <v>1.0</v>
      </c>
      <c r="F88" s="67">
        <v>1.0</v>
      </c>
      <c r="G88" s="67">
        <v>0.0</v>
      </c>
      <c r="H88" s="67">
        <v>0.0</v>
      </c>
      <c r="I88" s="69"/>
      <c r="J88" s="70"/>
      <c r="K88" s="83"/>
      <c r="L88" s="70"/>
    </row>
    <row r="89">
      <c r="A89" s="62" t="s">
        <v>253</v>
      </c>
      <c r="B89" s="67" t="s">
        <v>218</v>
      </c>
      <c r="C89" s="67" t="s">
        <v>222</v>
      </c>
      <c r="D89" s="67">
        <v>86.0</v>
      </c>
      <c r="E89" s="67">
        <v>1.0</v>
      </c>
      <c r="F89" s="67">
        <v>0.0</v>
      </c>
      <c r="G89" s="67">
        <v>6.0</v>
      </c>
      <c r="H89" s="67" t="s">
        <v>254</v>
      </c>
      <c r="I89" s="69"/>
      <c r="J89" s="70"/>
      <c r="K89" s="83"/>
      <c r="L89" s="70"/>
    </row>
    <row r="90">
      <c r="A90" s="62" t="s">
        <v>253</v>
      </c>
      <c r="B90" s="67" t="s">
        <v>225</v>
      </c>
      <c r="C90" s="67" t="s">
        <v>231</v>
      </c>
      <c r="D90" s="67">
        <v>16.5</v>
      </c>
      <c r="E90" s="67">
        <v>2.0</v>
      </c>
      <c r="F90" s="67">
        <v>0.0</v>
      </c>
      <c r="G90" s="67">
        <v>0.0</v>
      </c>
      <c r="H90" s="67">
        <v>0.0</v>
      </c>
      <c r="I90" s="69"/>
      <c r="J90" s="70"/>
      <c r="K90" s="83"/>
      <c r="L90" s="70"/>
    </row>
    <row r="91">
      <c r="A91" s="62" t="s">
        <v>253</v>
      </c>
      <c r="B91" s="67" t="s">
        <v>225</v>
      </c>
      <c r="C91" s="67" t="s">
        <v>231</v>
      </c>
      <c r="D91" s="67">
        <v>13.0</v>
      </c>
      <c r="E91" s="67">
        <v>2.0</v>
      </c>
      <c r="F91" s="67">
        <v>0.0</v>
      </c>
      <c r="G91" s="67">
        <v>1.0</v>
      </c>
      <c r="H91" s="67" t="s">
        <v>234</v>
      </c>
      <c r="I91" s="69"/>
      <c r="J91" s="70"/>
      <c r="K91" s="83"/>
      <c r="L91" s="70"/>
    </row>
    <row r="92">
      <c r="A92" s="62" t="s">
        <v>253</v>
      </c>
      <c r="B92" s="67" t="s">
        <v>225</v>
      </c>
      <c r="C92" s="67" t="s">
        <v>220</v>
      </c>
      <c r="D92" s="67">
        <v>41.0</v>
      </c>
      <c r="E92" s="67">
        <v>3.0</v>
      </c>
      <c r="F92" s="67">
        <v>1.0</v>
      </c>
      <c r="G92" s="67">
        <v>0.0</v>
      </c>
      <c r="H92" s="67">
        <v>0.0</v>
      </c>
      <c r="I92" s="69"/>
      <c r="J92" s="70"/>
      <c r="K92" s="83"/>
      <c r="L92" s="70"/>
    </row>
    <row r="93">
      <c r="A93" s="62" t="s">
        <v>253</v>
      </c>
      <c r="B93" s="67" t="s">
        <v>226</v>
      </c>
      <c r="C93" s="67" t="s">
        <v>220</v>
      </c>
      <c r="D93" s="67">
        <v>76.8</v>
      </c>
      <c r="E93" s="67">
        <v>1.0</v>
      </c>
      <c r="F93" s="67">
        <v>0.0</v>
      </c>
      <c r="G93" s="67">
        <v>0.0</v>
      </c>
      <c r="H93" s="67">
        <v>0.0</v>
      </c>
      <c r="I93" s="69"/>
      <c r="J93" s="70"/>
      <c r="K93" s="83"/>
      <c r="L93" s="70"/>
    </row>
    <row r="94">
      <c r="A94" s="62" t="s">
        <v>253</v>
      </c>
      <c r="B94" s="67" t="s">
        <v>226</v>
      </c>
      <c r="C94" s="67" t="s">
        <v>235</v>
      </c>
      <c r="D94" s="67">
        <v>48.4</v>
      </c>
      <c r="E94" s="67">
        <v>1.0</v>
      </c>
      <c r="F94" s="67">
        <v>0.0</v>
      </c>
      <c r="G94" s="67">
        <v>0.0</v>
      </c>
      <c r="H94" s="67">
        <v>0.0</v>
      </c>
      <c r="I94" s="69"/>
      <c r="J94" s="70"/>
      <c r="K94" s="83"/>
      <c r="L94" s="70"/>
    </row>
    <row r="95">
      <c r="A95" s="96" t="s">
        <v>253</v>
      </c>
      <c r="B95" s="72" t="s">
        <v>226</v>
      </c>
      <c r="C95" s="72" t="s">
        <v>235</v>
      </c>
      <c r="D95" s="72">
        <v>55.0</v>
      </c>
      <c r="E95" s="72">
        <v>1.0</v>
      </c>
      <c r="F95" s="72">
        <v>0.0</v>
      </c>
      <c r="G95" s="72">
        <v>0.0</v>
      </c>
      <c r="H95" s="72">
        <v>0.0</v>
      </c>
      <c r="I95" s="74"/>
      <c r="J95" s="75"/>
      <c r="K95" s="79"/>
      <c r="L95" s="70"/>
    </row>
    <row r="96">
      <c r="A96" s="90" t="s">
        <v>255</v>
      </c>
      <c r="B96" s="63" t="s">
        <v>218</v>
      </c>
      <c r="C96" s="63" t="s">
        <v>236</v>
      </c>
      <c r="D96" s="80">
        <f>47/3.1416</f>
        <v>14.96052967</v>
      </c>
      <c r="E96" s="63">
        <v>1.0</v>
      </c>
      <c r="F96" s="63">
        <v>0.0</v>
      </c>
      <c r="G96" s="63">
        <v>0.0</v>
      </c>
      <c r="H96" s="63">
        <v>0.0</v>
      </c>
      <c r="I96" s="60">
        <v>63.0</v>
      </c>
      <c r="J96" s="63">
        <v>65.0</v>
      </c>
      <c r="K96" s="84">
        <v>1.0</v>
      </c>
      <c r="L96" s="67" t="s">
        <v>256</v>
      </c>
    </row>
    <row r="97">
      <c r="A97" s="62" t="s">
        <v>255</v>
      </c>
      <c r="B97" s="67" t="s">
        <v>218</v>
      </c>
      <c r="C97" s="67" t="s">
        <v>233</v>
      </c>
      <c r="D97" s="70">
        <f>69/3.1416</f>
        <v>21.96333079</v>
      </c>
      <c r="E97" s="67">
        <v>2.0</v>
      </c>
      <c r="F97" s="67">
        <v>0.0</v>
      </c>
      <c r="G97" s="67">
        <v>1.0</v>
      </c>
      <c r="H97" s="67">
        <v>1.0</v>
      </c>
      <c r="I97" s="69"/>
      <c r="J97" s="70"/>
      <c r="K97" s="83"/>
      <c r="L97" s="70"/>
    </row>
    <row r="98">
      <c r="A98" s="62" t="s">
        <v>255</v>
      </c>
      <c r="B98" s="67" t="s">
        <v>221</v>
      </c>
      <c r="C98" s="67" t="s">
        <v>233</v>
      </c>
      <c r="D98" s="70">
        <f>86.7/3.1416</f>
        <v>27.5974026</v>
      </c>
      <c r="E98" s="67">
        <v>1.0</v>
      </c>
      <c r="F98" s="67">
        <v>1.0</v>
      </c>
      <c r="G98" s="67">
        <v>1.0</v>
      </c>
      <c r="H98" s="67">
        <v>1.0</v>
      </c>
      <c r="I98" s="69"/>
      <c r="J98" s="70"/>
      <c r="K98" s="83"/>
      <c r="L98" s="70"/>
    </row>
    <row r="99">
      <c r="A99" s="62" t="s">
        <v>255</v>
      </c>
      <c r="B99" s="67" t="s">
        <v>225</v>
      </c>
      <c r="C99" s="67" t="s">
        <v>222</v>
      </c>
      <c r="D99" s="70">
        <f>62/3.1416</f>
        <v>19.73516679</v>
      </c>
      <c r="E99" s="67">
        <v>2.0</v>
      </c>
      <c r="F99" s="67">
        <v>0.0</v>
      </c>
      <c r="G99" s="67">
        <v>1.0</v>
      </c>
      <c r="H99" s="67">
        <v>1.0</v>
      </c>
      <c r="I99" s="69"/>
      <c r="J99" s="70"/>
      <c r="K99" s="83"/>
      <c r="L99" s="70"/>
    </row>
    <row r="100">
      <c r="A100" s="62" t="s">
        <v>255</v>
      </c>
      <c r="B100" s="67" t="s">
        <v>225</v>
      </c>
      <c r="C100" s="67" t="s">
        <v>222</v>
      </c>
      <c r="D100" s="70">
        <f>52/3.1416</f>
        <v>16.55207538</v>
      </c>
      <c r="E100" s="67">
        <v>2.0</v>
      </c>
      <c r="F100" s="67">
        <v>0.0</v>
      </c>
      <c r="G100" s="67">
        <v>5.0</v>
      </c>
      <c r="H100" s="67" t="s">
        <v>257</v>
      </c>
      <c r="I100" s="69"/>
      <c r="J100" s="70"/>
      <c r="K100" s="83"/>
      <c r="L100" s="70"/>
    </row>
    <row r="101">
      <c r="A101" s="62" t="s">
        <v>255</v>
      </c>
      <c r="B101" s="67" t="s">
        <v>225</v>
      </c>
      <c r="C101" s="67" t="s">
        <v>222</v>
      </c>
      <c r="D101" s="70">
        <f>54</f>
        <v>54</v>
      </c>
      <c r="E101" s="67">
        <v>1.0</v>
      </c>
      <c r="F101" s="67">
        <v>0.0</v>
      </c>
      <c r="G101" s="67">
        <v>0.0</v>
      </c>
      <c r="H101" s="67">
        <v>0.0</v>
      </c>
      <c r="I101" s="69"/>
      <c r="J101" s="70"/>
      <c r="K101" s="83"/>
      <c r="L101" s="70"/>
    </row>
    <row r="102">
      <c r="A102" s="96" t="s">
        <v>255</v>
      </c>
      <c r="B102" s="72" t="s">
        <v>225</v>
      </c>
      <c r="C102" s="72" t="s">
        <v>220</v>
      </c>
      <c r="D102" s="75">
        <f>139/3.1416</f>
        <v>44.24497072</v>
      </c>
      <c r="E102" s="72">
        <v>1.0</v>
      </c>
      <c r="F102" s="72">
        <v>0.0</v>
      </c>
      <c r="G102" s="72">
        <v>2.0</v>
      </c>
      <c r="H102" s="72" t="s">
        <v>223</v>
      </c>
      <c r="I102" s="74"/>
      <c r="J102" s="75"/>
      <c r="K102" s="79"/>
      <c r="L102" s="70"/>
    </row>
    <row r="103">
      <c r="A103" s="90" t="s">
        <v>258</v>
      </c>
      <c r="B103" s="63" t="s">
        <v>218</v>
      </c>
      <c r="C103" s="63" t="s">
        <v>220</v>
      </c>
      <c r="D103" s="63">
        <v>25.0</v>
      </c>
      <c r="E103" s="63">
        <v>2.0</v>
      </c>
      <c r="F103" s="63">
        <v>1.0</v>
      </c>
      <c r="G103" s="63">
        <v>0.0</v>
      </c>
      <c r="H103" s="63">
        <v>0.0</v>
      </c>
      <c r="I103" s="81"/>
      <c r="J103" s="80"/>
      <c r="K103" s="82"/>
      <c r="L103" s="70"/>
    </row>
    <row r="104">
      <c r="A104" s="62" t="s">
        <v>258</v>
      </c>
      <c r="B104" s="67" t="s">
        <v>218</v>
      </c>
      <c r="C104" s="67" t="s">
        <v>220</v>
      </c>
      <c r="D104" s="67">
        <v>17.5</v>
      </c>
      <c r="E104" s="67">
        <v>2.0</v>
      </c>
      <c r="F104" s="67">
        <v>1.0</v>
      </c>
      <c r="G104" s="67">
        <v>0.0</v>
      </c>
      <c r="H104" s="67">
        <v>0.0</v>
      </c>
      <c r="I104" s="69"/>
      <c r="J104" s="70"/>
      <c r="K104" s="83"/>
      <c r="L104" s="70"/>
    </row>
    <row r="105">
      <c r="A105" s="62" t="s">
        <v>258</v>
      </c>
      <c r="B105" s="67" t="s">
        <v>218</v>
      </c>
      <c r="C105" s="67" t="s">
        <v>220</v>
      </c>
      <c r="D105" s="67">
        <v>26.0</v>
      </c>
      <c r="E105" s="67">
        <v>2.0</v>
      </c>
      <c r="F105" s="67">
        <v>0.0</v>
      </c>
      <c r="G105" s="67">
        <v>0.0</v>
      </c>
      <c r="H105" s="67">
        <v>0.0</v>
      </c>
      <c r="I105" s="69"/>
      <c r="J105" s="70"/>
      <c r="K105" s="83"/>
      <c r="L105" s="70"/>
    </row>
    <row r="106">
      <c r="A106" s="62" t="s">
        <v>258</v>
      </c>
      <c r="B106" s="67" t="s">
        <v>221</v>
      </c>
      <c r="C106" s="67" t="s">
        <v>241</v>
      </c>
      <c r="D106" s="70">
        <f>50.5/3.1416</f>
        <v>16.07461166</v>
      </c>
      <c r="E106" s="67">
        <v>1.0</v>
      </c>
      <c r="F106" s="67">
        <v>0.0</v>
      </c>
      <c r="G106" s="67">
        <v>0.0</v>
      </c>
      <c r="H106" s="67">
        <v>0.0</v>
      </c>
      <c r="I106" s="69"/>
      <c r="J106" s="70"/>
      <c r="K106" s="83"/>
      <c r="L106" s="70"/>
    </row>
    <row r="107">
      <c r="A107" s="62" t="s">
        <v>258</v>
      </c>
      <c r="B107" s="67" t="s">
        <v>221</v>
      </c>
      <c r="C107" s="67" t="s">
        <v>220</v>
      </c>
      <c r="D107" s="67">
        <f>40/3.1416</f>
        <v>12.73236567</v>
      </c>
      <c r="E107" s="67">
        <v>1.0</v>
      </c>
      <c r="F107" s="67">
        <v>1.0</v>
      </c>
      <c r="G107" s="67">
        <v>0.0</v>
      </c>
      <c r="H107" s="67">
        <v>0.0</v>
      </c>
      <c r="I107" s="69"/>
      <c r="J107" s="70"/>
      <c r="K107" s="83"/>
      <c r="L107" s="70"/>
    </row>
    <row r="108">
      <c r="A108" s="62" t="s">
        <v>258</v>
      </c>
      <c r="B108" s="67" t="s">
        <v>225</v>
      </c>
      <c r="C108" s="67" t="s">
        <v>244</v>
      </c>
      <c r="D108" s="70">
        <f>53/3.1416</f>
        <v>16.87038452</v>
      </c>
      <c r="E108" s="67">
        <v>1.0</v>
      </c>
      <c r="F108" s="67">
        <v>1.0</v>
      </c>
      <c r="G108" s="67">
        <v>1.0</v>
      </c>
      <c r="H108" s="67">
        <v>1.0</v>
      </c>
      <c r="I108" s="69"/>
      <c r="J108" s="70"/>
      <c r="K108" s="83"/>
      <c r="L108" s="70"/>
    </row>
    <row r="109">
      <c r="A109" s="62" t="s">
        <v>258</v>
      </c>
      <c r="B109" s="67" t="s">
        <v>226</v>
      </c>
      <c r="C109" s="67" t="s">
        <v>244</v>
      </c>
      <c r="D109" s="67">
        <f>80.6/3.1416</f>
        <v>25.65571683</v>
      </c>
      <c r="E109" s="67">
        <v>1.0</v>
      </c>
      <c r="F109" s="67">
        <v>1.0</v>
      </c>
      <c r="G109" s="67">
        <v>0.0</v>
      </c>
      <c r="H109" s="67">
        <v>0.0</v>
      </c>
      <c r="I109" s="69"/>
      <c r="J109" s="70"/>
      <c r="K109" s="83"/>
      <c r="L109" s="70"/>
    </row>
    <row r="110">
      <c r="A110" s="62" t="s">
        <v>258</v>
      </c>
      <c r="B110" s="67" t="s">
        <v>226</v>
      </c>
      <c r="C110" s="67" t="s">
        <v>220</v>
      </c>
      <c r="D110" s="70">
        <f>54/3.1416</f>
        <v>17.18869366</v>
      </c>
      <c r="E110" s="67">
        <v>2.0</v>
      </c>
      <c r="F110" s="67">
        <v>1.0</v>
      </c>
      <c r="G110" s="67">
        <v>0.0</v>
      </c>
      <c r="H110" s="67">
        <v>0.0</v>
      </c>
      <c r="I110" s="69"/>
      <c r="J110" s="70"/>
      <c r="K110" s="83"/>
      <c r="L110" s="70"/>
    </row>
    <row r="111">
      <c r="A111" s="96" t="s">
        <v>258</v>
      </c>
      <c r="B111" s="72" t="s">
        <v>226</v>
      </c>
      <c r="C111" s="72" t="s">
        <v>220</v>
      </c>
      <c r="D111" s="72">
        <f>57.6/3.1416</f>
        <v>18.33460657</v>
      </c>
      <c r="E111" s="72">
        <v>2.0</v>
      </c>
      <c r="F111" s="72">
        <v>1.0</v>
      </c>
      <c r="G111" s="72">
        <v>0.0</v>
      </c>
      <c r="H111" s="72">
        <v>0.0</v>
      </c>
      <c r="I111" s="74"/>
      <c r="J111" s="75"/>
      <c r="K111" s="79"/>
      <c r="L111" s="70"/>
    </row>
    <row r="112">
      <c r="A112" s="90" t="s">
        <v>259</v>
      </c>
      <c r="B112" s="63" t="s">
        <v>260</v>
      </c>
      <c r="C112" s="63" t="s">
        <v>222</v>
      </c>
      <c r="D112" s="80">
        <f>87/3.1416</f>
        <v>27.69289534</v>
      </c>
      <c r="E112" s="63">
        <v>2.0</v>
      </c>
      <c r="F112" s="63">
        <v>0.0</v>
      </c>
      <c r="G112" s="63">
        <v>0.0</v>
      </c>
      <c r="H112" s="63">
        <v>0.0</v>
      </c>
      <c r="I112" s="60">
        <v>27.0</v>
      </c>
      <c r="J112" s="63">
        <v>98.0</v>
      </c>
      <c r="K112" s="84">
        <v>0.0</v>
      </c>
      <c r="L112" s="70"/>
    </row>
    <row r="113">
      <c r="A113" s="62" t="s">
        <v>259</v>
      </c>
      <c r="B113" s="67" t="s">
        <v>225</v>
      </c>
      <c r="C113" s="67" t="s">
        <v>233</v>
      </c>
      <c r="D113" s="70">
        <f>47.6/3.1416</f>
        <v>15.15151515</v>
      </c>
      <c r="E113" s="67">
        <v>1.0</v>
      </c>
      <c r="F113" s="67">
        <v>0.0</v>
      </c>
      <c r="G113" s="67">
        <v>0.0</v>
      </c>
      <c r="H113" s="67">
        <v>0.0</v>
      </c>
      <c r="I113" s="61">
        <v>36.0</v>
      </c>
      <c r="J113" s="67">
        <v>38.0</v>
      </c>
      <c r="K113" s="85">
        <v>0.0</v>
      </c>
      <c r="L113" s="67" t="s">
        <v>261</v>
      </c>
    </row>
    <row r="114">
      <c r="A114" s="62" t="s">
        <v>259</v>
      </c>
      <c r="B114" s="67" t="s">
        <v>226</v>
      </c>
      <c r="C114" s="67" t="s">
        <v>222</v>
      </c>
      <c r="D114" s="67">
        <v>22.0</v>
      </c>
      <c r="E114" s="67">
        <v>1.0</v>
      </c>
      <c r="F114" s="67">
        <v>0.0</v>
      </c>
      <c r="G114" s="67">
        <v>3.0</v>
      </c>
      <c r="H114" s="67" t="s">
        <v>262</v>
      </c>
      <c r="I114" s="69"/>
      <c r="J114" s="70"/>
      <c r="K114" s="83"/>
      <c r="L114" s="70"/>
    </row>
    <row r="115">
      <c r="A115" s="62" t="s">
        <v>259</v>
      </c>
      <c r="B115" s="67" t="s">
        <v>226</v>
      </c>
      <c r="C115" s="67" t="s">
        <v>222</v>
      </c>
      <c r="D115" s="67">
        <v>68.0</v>
      </c>
      <c r="E115" s="67">
        <v>1.0</v>
      </c>
      <c r="F115" s="67">
        <v>1.0</v>
      </c>
      <c r="G115" s="67">
        <v>2.0</v>
      </c>
      <c r="H115" s="67" t="s">
        <v>263</v>
      </c>
      <c r="I115" s="69"/>
      <c r="J115" s="70"/>
      <c r="K115" s="83"/>
      <c r="L115" s="70"/>
    </row>
    <row r="116">
      <c r="A116" s="96" t="s">
        <v>259</v>
      </c>
      <c r="B116" s="72" t="s">
        <v>226</v>
      </c>
      <c r="C116" s="72" t="s">
        <v>222</v>
      </c>
      <c r="D116" s="75">
        <f>79.2/3.1416</f>
        <v>25.21008403</v>
      </c>
      <c r="E116" s="72">
        <v>1.0</v>
      </c>
      <c r="F116" s="72">
        <v>0.0</v>
      </c>
      <c r="G116" s="72">
        <v>0.0</v>
      </c>
      <c r="H116" s="72">
        <v>0.0</v>
      </c>
      <c r="I116" s="74"/>
      <c r="J116" s="75"/>
      <c r="K116" s="79"/>
      <c r="L116" s="70"/>
    </row>
    <row r="117">
      <c r="A117" s="90" t="s">
        <v>264</v>
      </c>
      <c r="B117" s="63" t="s">
        <v>221</v>
      </c>
      <c r="C117" s="63" t="s">
        <v>220</v>
      </c>
      <c r="D117" s="80">
        <f>70.5/3.1416</f>
        <v>22.4407945</v>
      </c>
      <c r="E117" s="63">
        <v>3.0</v>
      </c>
      <c r="F117" s="63">
        <v>0.0</v>
      </c>
      <c r="G117" s="63">
        <v>0.0</v>
      </c>
      <c r="H117" s="63">
        <v>0.0</v>
      </c>
      <c r="I117" s="60">
        <v>9.0</v>
      </c>
      <c r="J117" s="63">
        <v>120.0</v>
      </c>
      <c r="K117" s="82"/>
      <c r="L117" s="70"/>
    </row>
    <row r="118">
      <c r="A118" s="62" t="s">
        <v>264</v>
      </c>
      <c r="B118" s="67" t="s">
        <v>221</v>
      </c>
      <c r="C118" s="67" t="s">
        <v>220</v>
      </c>
      <c r="D118" s="70">
        <f>13.8/3.1416</f>
        <v>4.392666157</v>
      </c>
      <c r="E118" s="67">
        <v>1.0</v>
      </c>
      <c r="F118" s="67">
        <v>1.0</v>
      </c>
      <c r="G118" s="67">
        <v>1.0</v>
      </c>
      <c r="H118" s="67">
        <v>1.0</v>
      </c>
      <c r="I118" s="61">
        <v>15.0</v>
      </c>
      <c r="J118" s="67">
        <v>68.0</v>
      </c>
      <c r="K118" s="83"/>
      <c r="L118" s="70"/>
    </row>
    <row r="119">
      <c r="A119" s="62" t="s">
        <v>264</v>
      </c>
      <c r="B119" s="67" t="s">
        <v>225</v>
      </c>
      <c r="C119" s="67" t="s">
        <v>222</v>
      </c>
      <c r="D119" s="67">
        <v>57.0</v>
      </c>
      <c r="E119" s="67">
        <v>1.0</v>
      </c>
      <c r="F119" s="67">
        <v>0.0</v>
      </c>
      <c r="G119" s="67">
        <v>1.0</v>
      </c>
      <c r="H119" s="67">
        <v>1.0</v>
      </c>
      <c r="I119" s="69"/>
      <c r="J119" s="70"/>
      <c r="K119" s="83"/>
      <c r="L119" s="70"/>
    </row>
    <row r="120">
      <c r="A120" s="62" t="s">
        <v>264</v>
      </c>
      <c r="B120" s="67" t="s">
        <v>225</v>
      </c>
      <c r="C120" s="67" t="s">
        <v>251</v>
      </c>
      <c r="D120" s="70">
        <f>47.2/3.1416</f>
        <v>15.02419149</v>
      </c>
      <c r="E120" s="67">
        <v>1.0</v>
      </c>
      <c r="F120" s="67">
        <v>1.0</v>
      </c>
      <c r="G120" s="67">
        <v>1.0</v>
      </c>
      <c r="H120" s="67">
        <v>1.0</v>
      </c>
      <c r="I120" s="69"/>
      <c r="J120" s="70"/>
      <c r="K120" s="83"/>
      <c r="L120" s="70"/>
    </row>
    <row r="121">
      <c r="A121" s="62" t="s">
        <v>264</v>
      </c>
      <c r="B121" s="67" t="s">
        <v>225</v>
      </c>
      <c r="C121" s="67" t="s">
        <v>251</v>
      </c>
      <c r="D121" s="70">
        <f>51/3.1416</f>
        <v>16.23376623</v>
      </c>
      <c r="E121" s="67">
        <v>1.0</v>
      </c>
      <c r="F121" s="67">
        <v>0.0</v>
      </c>
      <c r="G121" s="67">
        <v>1.0</v>
      </c>
      <c r="H121" s="67">
        <v>1.0</v>
      </c>
      <c r="I121" s="69"/>
      <c r="J121" s="70"/>
      <c r="K121" s="83"/>
      <c r="L121" s="70"/>
    </row>
    <row r="122">
      <c r="A122" s="96" t="s">
        <v>264</v>
      </c>
      <c r="B122" s="72" t="s">
        <v>226</v>
      </c>
      <c r="C122" s="72" t="s">
        <v>233</v>
      </c>
      <c r="D122" s="75">
        <f>58.4/3.1416</f>
        <v>18.58925388</v>
      </c>
      <c r="E122" s="72">
        <v>1.0</v>
      </c>
      <c r="F122" s="72">
        <v>1.0</v>
      </c>
      <c r="G122" s="72">
        <v>1.0</v>
      </c>
      <c r="H122" s="72">
        <v>1.0</v>
      </c>
      <c r="I122" s="74"/>
      <c r="J122" s="75"/>
      <c r="K122" s="79"/>
      <c r="L122" s="70"/>
    </row>
    <row r="123">
      <c r="A123" s="90" t="s">
        <v>265</v>
      </c>
      <c r="B123" s="63" t="s">
        <v>218</v>
      </c>
      <c r="C123" s="63" t="s">
        <v>220</v>
      </c>
      <c r="D123" s="80">
        <f>68.7/3.1416</f>
        <v>21.86783804</v>
      </c>
      <c r="E123" s="63">
        <v>2.0</v>
      </c>
      <c r="F123" s="63">
        <v>0.0</v>
      </c>
      <c r="G123" s="63">
        <v>0.0</v>
      </c>
      <c r="H123" s="63">
        <v>0.0</v>
      </c>
      <c r="I123" s="81"/>
      <c r="J123" s="80"/>
      <c r="K123" s="82"/>
      <c r="L123" s="70"/>
    </row>
    <row r="124">
      <c r="A124" s="62" t="s">
        <v>265</v>
      </c>
      <c r="B124" s="67" t="s">
        <v>221</v>
      </c>
      <c r="C124" s="67" t="s">
        <v>220</v>
      </c>
      <c r="D124" s="67">
        <v>21.5</v>
      </c>
      <c r="E124" s="67">
        <v>1.0</v>
      </c>
      <c r="F124" s="67">
        <v>0.0</v>
      </c>
      <c r="G124" s="67">
        <v>0.0</v>
      </c>
      <c r="H124" s="67">
        <v>0.0</v>
      </c>
      <c r="I124" s="69"/>
      <c r="J124" s="70"/>
      <c r="K124" s="83"/>
      <c r="L124" s="70"/>
    </row>
    <row r="125">
      <c r="A125" s="62" t="s">
        <v>265</v>
      </c>
      <c r="B125" s="67" t="s">
        <v>221</v>
      </c>
      <c r="C125" s="67" t="s">
        <v>220</v>
      </c>
      <c r="D125" s="67">
        <v>21.0</v>
      </c>
      <c r="E125" s="67">
        <v>2.0</v>
      </c>
      <c r="F125" s="67">
        <v>0.0</v>
      </c>
      <c r="G125" s="67">
        <v>1.0</v>
      </c>
      <c r="H125" s="67" t="s">
        <v>234</v>
      </c>
      <c r="I125" s="69"/>
      <c r="J125" s="70"/>
      <c r="K125" s="83"/>
      <c r="L125" s="70"/>
    </row>
    <row r="126">
      <c r="A126" s="62" t="s">
        <v>265</v>
      </c>
      <c r="B126" s="67" t="s">
        <v>221</v>
      </c>
      <c r="C126" s="67" t="s">
        <v>219</v>
      </c>
      <c r="D126" s="67">
        <v>20.5</v>
      </c>
      <c r="E126" s="67">
        <v>1.0</v>
      </c>
      <c r="F126" s="67">
        <v>0.0</v>
      </c>
      <c r="G126" s="67">
        <v>0.0</v>
      </c>
      <c r="H126" s="67">
        <v>0.0</v>
      </c>
      <c r="I126" s="69"/>
      <c r="J126" s="70"/>
      <c r="K126" s="83"/>
      <c r="L126" s="70"/>
    </row>
    <row r="127">
      <c r="A127" s="62" t="s">
        <v>265</v>
      </c>
      <c r="B127" s="67" t="s">
        <v>225</v>
      </c>
      <c r="C127" s="67" t="s">
        <v>220</v>
      </c>
      <c r="D127" s="67">
        <v>27.0</v>
      </c>
      <c r="E127" s="67">
        <v>1.0</v>
      </c>
      <c r="F127" s="67">
        <v>0.0</v>
      </c>
      <c r="G127" s="67">
        <v>0.0</v>
      </c>
      <c r="H127" s="67">
        <v>0.0</v>
      </c>
      <c r="I127" s="69"/>
      <c r="J127" s="70"/>
      <c r="K127" s="83"/>
      <c r="L127" s="70"/>
    </row>
    <row r="128">
      <c r="A128" s="62" t="s">
        <v>265</v>
      </c>
      <c r="B128" s="67" t="s">
        <v>225</v>
      </c>
      <c r="C128" s="67" t="s">
        <v>220</v>
      </c>
      <c r="D128" s="67">
        <v>21.0</v>
      </c>
      <c r="E128" s="67">
        <v>1.0</v>
      </c>
      <c r="F128" s="67">
        <v>0.0</v>
      </c>
      <c r="G128" s="67">
        <v>0.0</v>
      </c>
      <c r="H128" s="67">
        <v>0.0</v>
      </c>
      <c r="I128" s="69"/>
      <c r="J128" s="70"/>
      <c r="K128" s="83"/>
      <c r="L128" s="70"/>
    </row>
    <row r="129">
      <c r="A129" s="62" t="s">
        <v>265</v>
      </c>
      <c r="B129" s="67" t="s">
        <v>225</v>
      </c>
      <c r="C129" s="67" t="s">
        <v>251</v>
      </c>
      <c r="D129" s="67">
        <v>19.0</v>
      </c>
      <c r="E129" s="67">
        <v>1.0</v>
      </c>
      <c r="F129" s="67">
        <v>0.0</v>
      </c>
      <c r="G129" s="67">
        <v>0.0</v>
      </c>
      <c r="H129" s="67">
        <v>0.0</v>
      </c>
      <c r="I129" s="69"/>
      <c r="J129" s="70"/>
      <c r="K129" s="83"/>
      <c r="L129" s="70"/>
    </row>
    <row r="130">
      <c r="A130" s="62" t="s">
        <v>265</v>
      </c>
      <c r="B130" s="67" t="s">
        <v>226</v>
      </c>
      <c r="C130" s="67" t="s">
        <v>251</v>
      </c>
      <c r="D130" s="67">
        <v>21.0</v>
      </c>
      <c r="E130" s="67">
        <v>1.0</v>
      </c>
      <c r="F130" s="67">
        <v>0.0</v>
      </c>
      <c r="G130" s="67">
        <v>0.0</v>
      </c>
      <c r="H130" s="67">
        <v>0.0</v>
      </c>
      <c r="I130" s="69"/>
      <c r="J130" s="70"/>
      <c r="K130" s="83"/>
      <c r="L130" s="70"/>
    </row>
    <row r="131">
      <c r="A131" s="62" t="s">
        <v>265</v>
      </c>
      <c r="B131" s="67" t="s">
        <v>226</v>
      </c>
      <c r="C131" s="67" t="s">
        <v>220</v>
      </c>
      <c r="D131" s="67">
        <v>20.0</v>
      </c>
      <c r="E131" s="67">
        <v>1.0</v>
      </c>
      <c r="F131" s="67">
        <v>1.0</v>
      </c>
      <c r="G131" s="67">
        <v>0.0</v>
      </c>
      <c r="H131" s="67">
        <v>0.0</v>
      </c>
      <c r="I131" s="69"/>
      <c r="J131" s="70"/>
      <c r="K131" s="83"/>
      <c r="L131" s="70"/>
    </row>
    <row r="132">
      <c r="A132" s="96" t="s">
        <v>265</v>
      </c>
      <c r="B132" s="72" t="s">
        <v>226</v>
      </c>
      <c r="C132" s="72" t="s">
        <v>220</v>
      </c>
      <c r="D132" s="72">
        <v>19.0</v>
      </c>
      <c r="E132" s="72">
        <v>1.0</v>
      </c>
      <c r="F132" s="72">
        <v>1.0</v>
      </c>
      <c r="G132" s="72">
        <v>0.0</v>
      </c>
      <c r="H132" s="72">
        <v>0.0</v>
      </c>
      <c r="I132" s="74"/>
      <c r="J132" s="75"/>
      <c r="K132" s="79"/>
      <c r="L132" s="70"/>
    </row>
    <row r="133">
      <c r="A133" s="90" t="s">
        <v>266</v>
      </c>
      <c r="B133" s="63" t="s">
        <v>218</v>
      </c>
      <c r="C133" s="63" t="s">
        <v>220</v>
      </c>
      <c r="D133" s="80">
        <f>53.5/3.1416</f>
        <v>17.02953909</v>
      </c>
      <c r="E133" s="63">
        <v>2.0</v>
      </c>
      <c r="F133" s="63">
        <v>0.0</v>
      </c>
      <c r="G133" s="63">
        <v>0.0</v>
      </c>
      <c r="H133" s="63">
        <v>0.0</v>
      </c>
      <c r="I133" s="60">
        <v>14.0</v>
      </c>
      <c r="J133" s="63">
        <v>1.25</v>
      </c>
      <c r="K133" s="84">
        <v>0.0</v>
      </c>
      <c r="L133" s="70"/>
    </row>
    <row r="134">
      <c r="A134" s="62" t="s">
        <v>266</v>
      </c>
      <c r="B134" s="67" t="s">
        <v>218</v>
      </c>
      <c r="C134" s="67" t="s">
        <v>220</v>
      </c>
      <c r="D134" s="67">
        <v>19.0</v>
      </c>
      <c r="E134" s="67">
        <v>1.0</v>
      </c>
      <c r="F134" s="67">
        <v>0.0</v>
      </c>
      <c r="G134" s="67">
        <v>0.0</v>
      </c>
      <c r="H134" s="67">
        <v>0.0</v>
      </c>
      <c r="I134" s="69"/>
      <c r="J134" s="70"/>
      <c r="K134" s="83"/>
      <c r="L134" s="70"/>
    </row>
    <row r="135">
      <c r="A135" s="62" t="s">
        <v>266</v>
      </c>
      <c r="B135" s="67" t="s">
        <v>221</v>
      </c>
      <c r="C135" s="67" t="s">
        <v>251</v>
      </c>
      <c r="D135" s="67">
        <v>17.0</v>
      </c>
      <c r="E135" s="67">
        <v>3.0</v>
      </c>
      <c r="F135" s="67">
        <v>0.0</v>
      </c>
      <c r="G135" s="67">
        <v>3.0</v>
      </c>
      <c r="H135" s="67" t="s">
        <v>262</v>
      </c>
      <c r="I135" s="69"/>
      <c r="J135" s="70"/>
      <c r="K135" s="83"/>
      <c r="L135" s="70"/>
    </row>
    <row r="136">
      <c r="A136" s="62" t="s">
        <v>266</v>
      </c>
      <c r="B136" s="67" t="s">
        <v>221</v>
      </c>
      <c r="C136" s="67" t="s">
        <v>233</v>
      </c>
      <c r="D136" s="67">
        <v>15.0</v>
      </c>
      <c r="E136" s="67">
        <v>1.0</v>
      </c>
      <c r="F136" s="67">
        <v>0.0</v>
      </c>
      <c r="G136" s="67">
        <v>0.0</v>
      </c>
      <c r="H136" s="67">
        <v>0.0</v>
      </c>
      <c r="I136" s="69"/>
      <c r="J136" s="70"/>
      <c r="K136" s="83"/>
      <c r="L136" s="70"/>
    </row>
    <row r="137">
      <c r="A137" s="62" t="s">
        <v>266</v>
      </c>
      <c r="B137" s="67" t="s">
        <v>221</v>
      </c>
      <c r="C137" s="67" t="s">
        <v>233</v>
      </c>
      <c r="D137" s="67">
        <v>29.0</v>
      </c>
      <c r="E137" s="67">
        <v>1.0</v>
      </c>
      <c r="F137" s="67">
        <v>1.0</v>
      </c>
      <c r="G137" s="67">
        <v>0.0</v>
      </c>
      <c r="H137" s="67">
        <v>0.0</v>
      </c>
      <c r="I137" s="69"/>
      <c r="J137" s="70"/>
      <c r="K137" s="83"/>
      <c r="L137" s="70"/>
    </row>
    <row r="138">
      <c r="A138" s="62" t="s">
        <v>266</v>
      </c>
      <c r="B138" s="67" t="s">
        <v>225</v>
      </c>
      <c r="C138" s="67" t="s">
        <v>251</v>
      </c>
      <c r="D138" s="67">
        <v>14.0</v>
      </c>
      <c r="E138" s="67">
        <v>2.0</v>
      </c>
      <c r="F138" s="67">
        <v>1.0</v>
      </c>
      <c r="G138" s="67">
        <v>1.0</v>
      </c>
      <c r="H138" s="67" t="s">
        <v>234</v>
      </c>
      <c r="I138" s="69"/>
      <c r="J138" s="70"/>
      <c r="K138" s="83"/>
      <c r="L138" s="70"/>
    </row>
    <row r="139">
      <c r="A139" s="96" t="s">
        <v>266</v>
      </c>
      <c r="B139" s="72" t="s">
        <v>225</v>
      </c>
      <c r="C139" s="72" t="s">
        <v>251</v>
      </c>
      <c r="D139" s="72">
        <v>18.0</v>
      </c>
      <c r="E139" s="72">
        <v>2.0</v>
      </c>
      <c r="F139" s="72">
        <v>1.0</v>
      </c>
      <c r="G139" s="72">
        <v>0.0</v>
      </c>
      <c r="H139" s="72">
        <v>0.0</v>
      </c>
      <c r="I139" s="74"/>
      <c r="J139" s="75"/>
      <c r="K139" s="79"/>
      <c r="L139" s="70"/>
    </row>
    <row r="140">
      <c r="A140" s="90" t="s">
        <v>267</v>
      </c>
      <c r="B140" s="63" t="s">
        <v>218</v>
      </c>
      <c r="C140" s="63" t="s">
        <v>220</v>
      </c>
      <c r="D140" s="63">
        <v>19.5</v>
      </c>
      <c r="E140" s="63">
        <v>1.0</v>
      </c>
      <c r="F140" s="63">
        <v>1.0</v>
      </c>
      <c r="G140" s="63">
        <v>0.0</v>
      </c>
      <c r="H140" s="63">
        <v>0.0</v>
      </c>
      <c r="I140" s="60">
        <v>14.4</v>
      </c>
      <c r="J140" s="63">
        <v>1.2</v>
      </c>
      <c r="K140" s="84">
        <v>0.0</v>
      </c>
      <c r="L140" s="70"/>
    </row>
    <row r="141">
      <c r="A141" s="62" t="s">
        <v>267</v>
      </c>
      <c r="B141" s="67" t="s">
        <v>218</v>
      </c>
      <c r="C141" s="67" t="s">
        <v>251</v>
      </c>
      <c r="D141" s="67">
        <v>15.5</v>
      </c>
      <c r="E141" s="67">
        <v>1.0</v>
      </c>
      <c r="F141" s="67">
        <v>1.0</v>
      </c>
      <c r="G141" s="67">
        <v>0.0</v>
      </c>
      <c r="H141" s="67">
        <v>0.0</v>
      </c>
      <c r="I141" s="69"/>
      <c r="J141" s="70"/>
      <c r="K141" s="83"/>
      <c r="L141" s="70"/>
    </row>
    <row r="142">
      <c r="A142" s="62" t="s">
        <v>267</v>
      </c>
      <c r="B142" s="67" t="s">
        <v>218</v>
      </c>
      <c r="C142" s="67" t="s">
        <v>244</v>
      </c>
      <c r="D142" s="67">
        <v>21.0</v>
      </c>
      <c r="E142" s="67">
        <v>1.0</v>
      </c>
      <c r="F142" s="67">
        <v>1.0</v>
      </c>
      <c r="G142" s="67">
        <v>0.0</v>
      </c>
      <c r="H142" s="67">
        <v>0.0</v>
      </c>
      <c r="I142" s="69"/>
      <c r="J142" s="70"/>
      <c r="K142" s="83"/>
      <c r="L142" s="70"/>
    </row>
    <row r="143">
      <c r="A143" s="62" t="s">
        <v>267</v>
      </c>
      <c r="B143" s="67" t="s">
        <v>221</v>
      </c>
      <c r="C143" s="67" t="s">
        <v>251</v>
      </c>
      <c r="D143" s="70">
        <f>45/3.1416</f>
        <v>14.32391138</v>
      </c>
      <c r="E143" s="67">
        <v>3.0</v>
      </c>
      <c r="F143" s="67">
        <v>1.0</v>
      </c>
      <c r="G143" s="67">
        <v>2.0</v>
      </c>
      <c r="H143" s="67" t="s">
        <v>223</v>
      </c>
      <c r="I143" s="69"/>
      <c r="J143" s="70"/>
      <c r="K143" s="83"/>
      <c r="L143" s="70"/>
    </row>
    <row r="144">
      <c r="A144" s="62" t="s">
        <v>267</v>
      </c>
      <c r="B144" s="67" t="s">
        <v>221</v>
      </c>
      <c r="C144" s="67" t="s">
        <v>251</v>
      </c>
      <c r="D144" s="70">
        <f>49/3.1416</f>
        <v>15.59714795</v>
      </c>
      <c r="E144" s="67">
        <v>2.0</v>
      </c>
      <c r="F144" s="67">
        <v>1.0</v>
      </c>
      <c r="G144" s="67">
        <v>0.0</v>
      </c>
      <c r="H144" s="67">
        <v>0.0</v>
      </c>
      <c r="I144" s="69"/>
      <c r="J144" s="70"/>
      <c r="K144" s="83"/>
      <c r="L144" s="70"/>
    </row>
    <row r="145">
      <c r="A145" s="62" t="s">
        <v>267</v>
      </c>
      <c r="B145" s="67" t="s">
        <v>221</v>
      </c>
      <c r="C145" s="67" t="s">
        <v>220</v>
      </c>
      <c r="D145" s="70">
        <f>13/3.1416</f>
        <v>4.138018844</v>
      </c>
      <c r="E145" s="67">
        <v>1.0</v>
      </c>
      <c r="F145" s="67">
        <v>1.0</v>
      </c>
      <c r="G145" s="67">
        <v>0.0</v>
      </c>
      <c r="H145" s="67">
        <v>0.0</v>
      </c>
      <c r="I145" s="69"/>
      <c r="J145" s="70"/>
      <c r="K145" s="83"/>
      <c r="L145" s="70"/>
    </row>
    <row r="146">
      <c r="A146" s="62" t="s">
        <v>267</v>
      </c>
      <c r="B146" s="67" t="s">
        <v>225</v>
      </c>
      <c r="C146" s="67" t="s">
        <v>244</v>
      </c>
      <c r="D146" s="70">
        <f>65/3.1416</f>
        <v>20.69009422</v>
      </c>
      <c r="E146" s="67">
        <v>1.0</v>
      </c>
      <c r="F146" s="67">
        <v>0.0</v>
      </c>
      <c r="G146" s="67">
        <v>0.0</v>
      </c>
      <c r="H146" s="67">
        <v>0.0</v>
      </c>
      <c r="I146" s="69"/>
      <c r="J146" s="70"/>
      <c r="K146" s="83"/>
      <c r="L146" s="70"/>
    </row>
    <row r="147">
      <c r="A147" s="62" t="s">
        <v>267</v>
      </c>
      <c r="B147" s="67" t="s">
        <v>225</v>
      </c>
      <c r="C147" s="67" t="s">
        <v>220</v>
      </c>
      <c r="D147" s="67">
        <v>23.0</v>
      </c>
      <c r="E147" s="67">
        <v>1.0</v>
      </c>
      <c r="F147" s="67">
        <v>1.0</v>
      </c>
      <c r="G147" s="67">
        <v>0.0</v>
      </c>
      <c r="H147" s="67">
        <v>0.0</v>
      </c>
      <c r="I147" s="69"/>
      <c r="J147" s="70"/>
      <c r="K147" s="83"/>
      <c r="L147" s="70"/>
    </row>
    <row r="148">
      <c r="A148" s="62" t="s">
        <v>267</v>
      </c>
      <c r="B148" s="67" t="s">
        <v>226</v>
      </c>
      <c r="C148" s="67" t="s">
        <v>220</v>
      </c>
      <c r="D148" s="70">
        <f>47.5/3.1416</f>
        <v>15.11968424</v>
      </c>
      <c r="E148" s="67">
        <v>1.0</v>
      </c>
      <c r="F148" s="67">
        <v>0.0</v>
      </c>
      <c r="G148" s="67">
        <v>0.0</v>
      </c>
      <c r="H148" s="67">
        <v>0.0</v>
      </c>
      <c r="I148" s="69"/>
      <c r="J148" s="70"/>
      <c r="K148" s="83"/>
      <c r="L148" s="70"/>
    </row>
    <row r="149">
      <c r="A149" s="62" t="s">
        <v>267</v>
      </c>
      <c r="B149" s="67" t="s">
        <v>226</v>
      </c>
      <c r="C149" s="67" t="s">
        <v>251</v>
      </c>
      <c r="D149" s="70">
        <f>21</f>
        <v>21</v>
      </c>
      <c r="E149" s="67">
        <v>1.0</v>
      </c>
      <c r="F149" s="67">
        <v>0.0</v>
      </c>
      <c r="G149" s="67">
        <v>1.0</v>
      </c>
      <c r="H149" s="67" t="s">
        <v>234</v>
      </c>
      <c r="I149" s="69"/>
      <c r="J149" s="70"/>
      <c r="K149" s="83"/>
      <c r="L149" s="70"/>
    </row>
    <row r="150">
      <c r="A150" s="96" t="s">
        <v>267</v>
      </c>
      <c r="B150" s="72" t="s">
        <v>226</v>
      </c>
      <c r="C150" s="72" t="s">
        <v>251</v>
      </c>
      <c r="D150" s="75">
        <f>76/3.1416</f>
        <v>24.19149478</v>
      </c>
      <c r="E150" s="72">
        <v>1.0</v>
      </c>
      <c r="F150" s="72">
        <v>0.0</v>
      </c>
      <c r="G150" s="72">
        <v>0.0</v>
      </c>
      <c r="H150" s="72">
        <v>0.0</v>
      </c>
      <c r="I150" s="74"/>
      <c r="J150" s="75"/>
      <c r="K150" s="79"/>
      <c r="L150" s="70"/>
    </row>
    <row r="151">
      <c r="A151" s="90" t="s">
        <v>268</v>
      </c>
      <c r="B151" s="63" t="s">
        <v>218</v>
      </c>
      <c r="C151" s="63" t="s">
        <v>220</v>
      </c>
      <c r="D151" s="63">
        <v>38.0</v>
      </c>
      <c r="E151" s="63">
        <v>1.0</v>
      </c>
      <c r="F151" s="63">
        <v>1.0</v>
      </c>
      <c r="G151" s="63">
        <v>0.0</v>
      </c>
      <c r="H151" s="63">
        <v>0.0</v>
      </c>
      <c r="I151" s="81"/>
      <c r="J151" s="80"/>
      <c r="K151" s="82"/>
      <c r="L151" s="70"/>
    </row>
    <row r="152">
      <c r="A152" s="62" t="s">
        <v>268</v>
      </c>
      <c r="B152" s="67" t="s">
        <v>218</v>
      </c>
      <c r="C152" s="67" t="s">
        <v>222</v>
      </c>
      <c r="D152" s="67">
        <v>19.0</v>
      </c>
      <c r="E152" s="67">
        <v>2.0</v>
      </c>
      <c r="F152" s="67">
        <v>0.0</v>
      </c>
      <c r="G152" s="67">
        <v>2.0</v>
      </c>
      <c r="H152" s="67" t="s">
        <v>269</v>
      </c>
      <c r="I152" s="69"/>
      <c r="J152" s="70"/>
      <c r="K152" s="83"/>
      <c r="L152" s="70"/>
    </row>
    <row r="153">
      <c r="A153" s="62" t="s">
        <v>268</v>
      </c>
      <c r="B153" s="67" t="s">
        <v>218</v>
      </c>
      <c r="C153" s="67" t="s">
        <v>222</v>
      </c>
      <c r="D153" s="67">
        <v>28.0</v>
      </c>
      <c r="E153" s="67">
        <v>1.0</v>
      </c>
      <c r="F153" s="67">
        <v>0.0</v>
      </c>
      <c r="G153" s="67">
        <v>0.0</v>
      </c>
      <c r="H153" s="67">
        <v>0.0</v>
      </c>
      <c r="I153" s="69"/>
      <c r="J153" s="70"/>
      <c r="K153" s="83"/>
      <c r="L153" s="70"/>
    </row>
    <row r="154">
      <c r="A154" s="62" t="s">
        <v>268</v>
      </c>
      <c r="B154" s="67" t="s">
        <v>221</v>
      </c>
      <c r="C154" s="67" t="s">
        <v>222</v>
      </c>
      <c r="D154" s="67">
        <v>40.0</v>
      </c>
      <c r="E154" s="67">
        <v>1.0</v>
      </c>
      <c r="F154" s="67">
        <v>1.0</v>
      </c>
      <c r="G154" s="67">
        <v>1.0</v>
      </c>
      <c r="H154" s="67" t="s">
        <v>270</v>
      </c>
      <c r="I154" s="69"/>
      <c r="J154" s="70"/>
      <c r="K154" s="83"/>
      <c r="L154" s="70"/>
    </row>
    <row r="155">
      <c r="A155" s="62" t="s">
        <v>268</v>
      </c>
      <c r="B155" s="67" t="s">
        <v>225</v>
      </c>
      <c r="C155" s="67" t="s">
        <v>236</v>
      </c>
      <c r="D155" s="67">
        <v>12.5</v>
      </c>
      <c r="E155" s="67">
        <v>1.0</v>
      </c>
      <c r="F155" s="67">
        <v>0.0</v>
      </c>
      <c r="G155" s="67">
        <v>0.0</v>
      </c>
      <c r="H155" s="67">
        <v>0.0</v>
      </c>
      <c r="I155" s="69"/>
      <c r="J155" s="70"/>
      <c r="K155" s="83"/>
      <c r="L155" s="70"/>
    </row>
    <row r="156">
      <c r="A156" s="62" t="s">
        <v>268</v>
      </c>
      <c r="B156" s="67" t="s">
        <v>226</v>
      </c>
      <c r="C156" s="67" t="s">
        <v>222</v>
      </c>
      <c r="D156" s="67">
        <v>62.5</v>
      </c>
      <c r="E156" s="67">
        <v>1.0</v>
      </c>
      <c r="F156" s="67">
        <v>0.0</v>
      </c>
      <c r="G156" s="67">
        <v>0.0</v>
      </c>
      <c r="H156" s="67">
        <v>0.0</v>
      </c>
      <c r="I156" s="69"/>
      <c r="J156" s="70"/>
      <c r="K156" s="83"/>
      <c r="L156" s="70"/>
    </row>
    <row r="157">
      <c r="A157" s="96" t="s">
        <v>268</v>
      </c>
      <c r="B157" s="72" t="s">
        <v>226</v>
      </c>
      <c r="C157" s="72" t="s">
        <v>222</v>
      </c>
      <c r="D157" s="72">
        <v>43.5</v>
      </c>
      <c r="E157" s="72">
        <v>1.0</v>
      </c>
      <c r="F157" s="72">
        <v>1.0</v>
      </c>
      <c r="G157" s="72">
        <v>0.0</v>
      </c>
      <c r="H157" s="72">
        <v>0.0</v>
      </c>
      <c r="I157" s="74"/>
      <c r="J157" s="75"/>
      <c r="K157" s="79"/>
      <c r="L157" s="70"/>
    </row>
    <row r="158">
      <c r="A158" s="90" t="s">
        <v>271</v>
      </c>
      <c r="B158" s="63" t="s">
        <v>218</v>
      </c>
      <c r="C158" s="63" t="s">
        <v>222</v>
      </c>
      <c r="D158" s="63">
        <v>23.0</v>
      </c>
      <c r="E158" s="63">
        <v>1.0</v>
      </c>
      <c r="F158" s="63">
        <v>0.0</v>
      </c>
      <c r="G158" s="63">
        <v>0.0</v>
      </c>
      <c r="H158" s="63">
        <v>0.0</v>
      </c>
      <c r="I158" s="81"/>
      <c r="J158" s="80"/>
      <c r="K158" s="82"/>
      <c r="L158" s="70"/>
    </row>
    <row r="159">
      <c r="A159" s="62" t="s">
        <v>271</v>
      </c>
      <c r="B159" s="67" t="s">
        <v>218</v>
      </c>
      <c r="C159" s="67" t="s">
        <v>222</v>
      </c>
      <c r="D159" s="70">
        <f>63.5/3.1416</f>
        <v>20.21263051</v>
      </c>
      <c r="E159" s="67">
        <v>1.0</v>
      </c>
      <c r="F159" s="67">
        <v>0.0</v>
      </c>
      <c r="G159" s="67">
        <v>0.0</v>
      </c>
      <c r="H159" s="67">
        <v>0.0</v>
      </c>
      <c r="I159" s="69"/>
      <c r="J159" s="70"/>
      <c r="K159" s="83"/>
      <c r="L159" s="70"/>
    </row>
    <row r="160">
      <c r="A160" s="62" t="s">
        <v>271</v>
      </c>
      <c r="B160" s="67" t="s">
        <v>218</v>
      </c>
      <c r="C160" s="67" t="s">
        <v>222</v>
      </c>
      <c r="D160" s="70">
        <f>52.2/3.1416</f>
        <v>16.6157372</v>
      </c>
      <c r="E160" s="67">
        <v>1.0</v>
      </c>
      <c r="F160" s="67">
        <v>0.0</v>
      </c>
      <c r="G160" s="67">
        <v>0.0</v>
      </c>
      <c r="H160" s="67">
        <v>0.0</v>
      </c>
      <c r="I160" s="69"/>
      <c r="J160" s="70"/>
      <c r="K160" s="83"/>
      <c r="L160" s="70"/>
    </row>
    <row r="161">
      <c r="A161" s="62" t="s">
        <v>271</v>
      </c>
      <c r="B161" s="67" t="s">
        <v>221</v>
      </c>
      <c r="C161" s="67" t="s">
        <v>222</v>
      </c>
      <c r="D161" s="70">
        <f>57/3.1416</f>
        <v>18.14362108</v>
      </c>
      <c r="E161" s="67">
        <v>1.0</v>
      </c>
      <c r="F161" s="67">
        <v>0.0</v>
      </c>
      <c r="G161" s="67">
        <v>0.0</v>
      </c>
      <c r="H161" s="67">
        <v>0.0</v>
      </c>
      <c r="I161" s="69"/>
      <c r="J161" s="70"/>
      <c r="K161" s="83"/>
      <c r="L161" s="70"/>
    </row>
    <row r="162">
      <c r="A162" s="62" t="s">
        <v>271</v>
      </c>
      <c r="B162" s="67" t="s">
        <v>221</v>
      </c>
      <c r="C162" s="67" t="s">
        <v>272</v>
      </c>
      <c r="D162" s="70">
        <f>40.8/3.1416</f>
        <v>12.98701299</v>
      </c>
      <c r="E162" s="67">
        <v>1.0</v>
      </c>
      <c r="F162" s="67">
        <v>0.0</v>
      </c>
      <c r="G162" s="67">
        <v>0.0</v>
      </c>
      <c r="H162" s="67">
        <v>0.0</v>
      </c>
      <c r="I162" s="69"/>
      <c r="J162" s="70"/>
      <c r="K162" s="83"/>
      <c r="L162" s="70"/>
    </row>
    <row r="163">
      <c r="A163" s="62" t="s">
        <v>271</v>
      </c>
      <c r="B163" s="67" t="s">
        <v>225</v>
      </c>
      <c r="C163" s="67" t="s">
        <v>273</v>
      </c>
      <c r="D163" s="70">
        <f>60/3.1416</f>
        <v>19.09854851</v>
      </c>
      <c r="E163" s="67">
        <v>1.0</v>
      </c>
      <c r="F163" s="67">
        <v>0.0</v>
      </c>
      <c r="G163" s="67">
        <v>0.0</v>
      </c>
      <c r="H163" s="67">
        <v>0.0</v>
      </c>
      <c r="I163" s="69"/>
      <c r="J163" s="70"/>
      <c r="K163" s="83"/>
      <c r="L163" s="70"/>
    </row>
    <row r="164">
      <c r="A164" s="62" t="s">
        <v>271</v>
      </c>
      <c r="B164" s="67" t="s">
        <v>225</v>
      </c>
      <c r="C164" s="67" t="s">
        <v>219</v>
      </c>
      <c r="D164" s="67">
        <v>19.0</v>
      </c>
      <c r="E164" s="67">
        <v>1.0</v>
      </c>
      <c r="F164" s="67">
        <v>0.0</v>
      </c>
      <c r="G164" s="67">
        <v>0.0</v>
      </c>
      <c r="H164" s="67">
        <v>0.0</v>
      </c>
      <c r="I164" s="69"/>
      <c r="J164" s="70"/>
      <c r="K164" s="83"/>
      <c r="L164" s="70"/>
    </row>
    <row r="165">
      <c r="A165" s="62" t="s">
        <v>271</v>
      </c>
      <c r="B165" s="67" t="s">
        <v>225</v>
      </c>
      <c r="C165" s="67" t="s">
        <v>222</v>
      </c>
      <c r="D165" s="70">
        <f>68/3.1416</f>
        <v>21.64502165</v>
      </c>
      <c r="E165" s="67">
        <v>1.0</v>
      </c>
      <c r="F165" s="67">
        <v>1.0</v>
      </c>
      <c r="G165" s="67">
        <v>0.0</v>
      </c>
      <c r="H165" s="67">
        <v>0.0</v>
      </c>
      <c r="I165" s="69"/>
      <c r="J165" s="70"/>
      <c r="K165" s="83"/>
      <c r="L165" s="70"/>
    </row>
    <row r="166">
      <c r="A166" s="62" t="s">
        <v>271</v>
      </c>
      <c r="B166" s="67" t="s">
        <v>226</v>
      </c>
      <c r="C166" s="67" t="s">
        <v>222</v>
      </c>
      <c r="D166" s="70">
        <f>55/3.1416</f>
        <v>17.5070028</v>
      </c>
      <c r="E166" s="67">
        <v>1.0</v>
      </c>
      <c r="F166" s="67">
        <v>0.0</v>
      </c>
      <c r="G166" s="67">
        <v>1.0</v>
      </c>
      <c r="H166" s="67" t="s">
        <v>234</v>
      </c>
      <c r="I166" s="69"/>
      <c r="J166" s="70"/>
      <c r="K166" s="83"/>
      <c r="L166" s="70"/>
    </row>
    <row r="167">
      <c r="A167" s="96" t="s">
        <v>271</v>
      </c>
      <c r="B167" s="72" t="s">
        <v>226</v>
      </c>
      <c r="C167" s="72" t="s">
        <v>222</v>
      </c>
      <c r="D167" s="75">
        <f>61.5/3.1416</f>
        <v>19.57601222</v>
      </c>
      <c r="E167" s="72">
        <v>1.0</v>
      </c>
      <c r="F167" s="72">
        <v>1.0</v>
      </c>
      <c r="G167" s="72">
        <v>0.0</v>
      </c>
      <c r="H167" s="72">
        <v>0.0</v>
      </c>
      <c r="I167" s="74"/>
      <c r="J167" s="75"/>
      <c r="K167" s="79"/>
      <c r="L167" s="70"/>
    </row>
    <row r="168">
      <c r="A168" s="90" t="s">
        <v>274</v>
      </c>
      <c r="B168" s="63" t="s">
        <v>218</v>
      </c>
      <c r="C168" s="63" t="s">
        <v>222</v>
      </c>
      <c r="D168" s="63">
        <v>53.0</v>
      </c>
      <c r="E168" s="63">
        <v>1.0</v>
      </c>
      <c r="F168" s="63">
        <v>0.0</v>
      </c>
      <c r="G168" s="63">
        <v>0.0</v>
      </c>
      <c r="H168" s="63">
        <v>0.0</v>
      </c>
      <c r="I168" s="60">
        <v>78.0</v>
      </c>
      <c r="J168" s="63">
        <v>62.0</v>
      </c>
      <c r="K168" s="84" t="s">
        <v>270</v>
      </c>
      <c r="L168" s="70"/>
    </row>
    <row r="169">
      <c r="A169" s="62" t="s">
        <v>274</v>
      </c>
      <c r="B169" s="67" t="s">
        <v>221</v>
      </c>
      <c r="C169" s="67" t="s">
        <v>220</v>
      </c>
      <c r="D169" s="67">
        <v>16.0</v>
      </c>
      <c r="E169" s="67">
        <v>1.0</v>
      </c>
      <c r="F169" s="67">
        <v>1.0</v>
      </c>
      <c r="G169" s="67">
        <v>0.0</v>
      </c>
      <c r="H169" s="67">
        <v>0.0</v>
      </c>
      <c r="I169" s="69"/>
      <c r="J169" s="70"/>
      <c r="K169" s="83"/>
      <c r="L169" s="70"/>
    </row>
    <row r="170">
      <c r="A170" s="62" t="s">
        <v>274</v>
      </c>
      <c r="B170" s="67" t="s">
        <v>221</v>
      </c>
      <c r="C170" s="67" t="s">
        <v>220</v>
      </c>
      <c r="D170" s="67">
        <v>15.5</v>
      </c>
      <c r="E170" s="67">
        <v>1.0</v>
      </c>
      <c r="F170" s="67">
        <v>1.0</v>
      </c>
      <c r="G170" s="67">
        <v>0.0</v>
      </c>
      <c r="H170" s="67">
        <v>0.0</v>
      </c>
      <c r="I170" s="69"/>
      <c r="J170" s="70"/>
      <c r="K170" s="83"/>
      <c r="L170" s="70"/>
    </row>
    <row r="171">
      <c r="A171" s="96" t="s">
        <v>274</v>
      </c>
      <c r="B171" s="72" t="s">
        <v>221</v>
      </c>
      <c r="C171" s="72" t="s">
        <v>220</v>
      </c>
      <c r="D171" s="72">
        <v>17.4</v>
      </c>
      <c r="E171" s="72">
        <v>1.0</v>
      </c>
      <c r="F171" s="72">
        <v>1.0</v>
      </c>
      <c r="G171" s="72">
        <v>0.0</v>
      </c>
      <c r="H171" s="72">
        <v>0.0</v>
      </c>
      <c r="I171" s="74"/>
      <c r="J171" s="75"/>
      <c r="K171" s="79"/>
      <c r="L171" s="70"/>
    </row>
    <row r="172">
      <c r="A172" s="90" t="s">
        <v>275</v>
      </c>
      <c r="B172" s="63" t="s">
        <v>218</v>
      </c>
      <c r="C172" s="63" t="s">
        <v>244</v>
      </c>
      <c r="D172" s="80">
        <f>42/3.1416</f>
        <v>13.36898396</v>
      </c>
      <c r="E172" s="63">
        <v>1.0</v>
      </c>
      <c r="F172" s="63">
        <v>0.0</v>
      </c>
      <c r="G172" s="63">
        <v>0.0</v>
      </c>
      <c r="H172" s="63">
        <v>0.0</v>
      </c>
      <c r="I172" s="81"/>
      <c r="J172" s="80"/>
      <c r="K172" s="82"/>
      <c r="L172" s="70"/>
    </row>
    <row r="173">
      <c r="A173" s="62" t="s">
        <v>275</v>
      </c>
      <c r="B173" s="67" t="s">
        <v>221</v>
      </c>
      <c r="C173" s="67" t="s">
        <v>222</v>
      </c>
      <c r="D173" s="67">
        <v>104.0</v>
      </c>
      <c r="E173" s="67">
        <v>1.0</v>
      </c>
      <c r="F173" s="67">
        <v>1.0</v>
      </c>
      <c r="G173" s="67">
        <v>1.0</v>
      </c>
      <c r="H173" s="67" t="s">
        <v>270</v>
      </c>
      <c r="I173" s="69"/>
      <c r="J173" s="70"/>
      <c r="K173" s="83"/>
      <c r="L173" s="70"/>
    </row>
    <row r="174">
      <c r="A174" s="62" t="s">
        <v>275</v>
      </c>
      <c r="B174" s="67" t="s">
        <v>226</v>
      </c>
      <c r="C174" s="67" t="s">
        <v>222</v>
      </c>
      <c r="D174" s="67">
        <v>33.0</v>
      </c>
      <c r="E174" s="67">
        <v>1.0</v>
      </c>
      <c r="F174" s="67">
        <v>0.0</v>
      </c>
      <c r="G174" s="67">
        <v>1.0</v>
      </c>
      <c r="H174" s="67" t="s">
        <v>270</v>
      </c>
      <c r="I174" s="69"/>
      <c r="J174" s="70"/>
      <c r="K174" s="83"/>
      <c r="L174" s="70"/>
    </row>
    <row r="175">
      <c r="A175" s="62" t="s">
        <v>275</v>
      </c>
      <c r="B175" s="67" t="s">
        <v>226</v>
      </c>
      <c r="C175" s="67" t="s">
        <v>222</v>
      </c>
      <c r="D175" s="67">
        <v>38.0</v>
      </c>
      <c r="E175" s="67">
        <v>1.0</v>
      </c>
      <c r="F175" s="67">
        <v>0.0</v>
      </c>
      <c r="G175" s="67">
        <v>1.0</v>
      </c>
      <c r="H175" s="67" t="s">
        <v>270</v>
      </c>
      <c r="I175" s="69"/>
      <c r="J175" s="70"/>
      <c r="K175" s="83"/>
      <c r="L175" s="70"/>
    </row>
    <row r="176">
      <c r="A176" s="62" t="s">
        <v>275</v>
      </c>
      <c r="B176" s="67" t="s">
        <v>226</v>
      </c>
      <c r="C176" s="67" t="s">
        <v>222</v>
      </c>
      <c r="D176" s="67">
        <v>39.0</v>
      </c>
      <c r="E176" s="67">
        <v>1.0</v>
      </c>
      <c r="F176" s="67">
        <v>1.0</v>
      </c>
      <c r="G176" s="67">
        <v>0.0</v>
      </c>
      <c r="H176" s="67">
        <v>0.0</v>
      </c>
      <c r="I176" s="69"/>
      <c r="J176" s="70"/>
      <c r="K176" s="83"/>
      <c r="L176" s="70"/>
    </row>
    <row r="177">
      <c r="A177" s="90" t="s">
        <v>276</v>
      </c>
      <c r="B177" s="63" t="s">
        <v>221</v>
      </c>
      <c r="C177" s="63" t="s">
        <v>220</v>
      </c>
      <c r="D177" s="63">
        <v>23.5</v>
      </c>
      <c r="E177" s="63">
        <v>1.0</v>
      </c>
      <c r="F177" s="63">
        <v>1.0</v>
      </c>
      <c r="G177" s="84">
        <v>0.0</v>
      </c>
      <c r="H177" s="84">
        <v>0.0</v>
      </c>
      <c r="I177" s="63">
        <v>78.0</v>
      </c>
      <c r="J177" s="63">
        <v>52.0</v>
      </c>
      <c r="K177" s="84">
        <v>0.0</v>
      </c>
      <c r="L177" s="67" t="s">
        <v>277</v>
      </c>
    </row>
    <row r="178">
      <c r="A178" s="62" t="s">
        <v>276</v>
      </c>
      <c r="B178" s="67" t="s">
        <v>221</v>
      </c>
      <c r="C178" s="67" t="s">
        <v>220</v>
      </c>
      <c r="D178" s="67">
        <v>24.3</v>
      </c>
      <c r="E178" s="67">
        <v>1.0</v>
      </c>
      <c r="F178" s="67">
        <v>1.0</v>
      </c>
      <c r="G178" s="85">
        <v>0.0</v>
      </c>
      <c r="H178" s="85">
        <v>0.0</v>
      </c>
      <c r="I178" s="70"/>
      <c r="J178" s="70"/>
      <c r="K178" s="83"/>
      <c r="L178" s="70"/>
    </row>
    <row r="179">
      <c r="A179" s="62" t="s">
        <v>276</v>
      </c>
      <c r="B179" s="67" t="s">
        <v>221</v>
      </c>
      <c r="C179" s="67" t="s">
        <v>220</v>
      </c>
      <c r="D179" s="67">
        <v>22.0</v>
      </c>
      <c r="E179" s="67">
        <v>1.0</v>
      </c>
      <c r="F179" s="67">
        <v>1.0</v>
      </c>
      <c r="G179" s="85">
        <v>0.0</v>
      </c>
      <c r="H179" s="85">
        <v>0.0</v>
      </c>
      <c r="I179" s="70"/>
      <c r="J179" s="70"/>
      <c r="K179" s="83"/>
      <c r="L179" s="70"/>
    </row>
    <row r="180">
      <c r="A180" s="96" t="s">
        <v>276</v>
      </c>
      <c r="B180" s="72" t="s">
        <v>226</v>
      </c>
      <c r="C180" s="72" t="s">
        <v>220</v>
      </c>
      <c r="D180" s="72">
        <v>15.0</v>
      </c>
      <c r="E180" s="72">
        <v>3.0</v>
      </c>
      <c r="F180" s="72">
        <v>0.0</v>
      </c>
      <c r="G180" s="86">
        <v>1.0</v>
      </c>
      <c r="H180" s="86" t="s">
        <v>234</v>
      </c>
      <c r="I180" s="75"/>
      <c r="J180" s="75"/>
      <c r="K180" s="79"/>
      <c r="L180" s="70"/>
    </row>
    <row r="181">
      <c r="A181" s="90" t="s">
        <v>278</v>
      </c>
      <c r="B181" s="63" t="s">
        <v>221</v>
      </c>
      <c r="C181" s="63" t="s">
        <v>222</v>
      </c>
      <c r="D181" s="63">
        <v>53.0</v>
      </c>
      <c r="E181" s="63">
        <v>1.0</v>
      </c>
      <c r="F181" s="63">
        <v>0.0</v>
      </c>
      <c r="G181" s="63">
        <v>0.0</v>
      </c>
      <c r="H181" s="63">
        <v>0.0</v>
      </c>
      <c r="I181" s="60">
        <v>10.0</v>
      </c>
      <c r="J181" s="63">
        <v>90.0</v>
      </c>
      <c r="K181" s="84">
        <v>0.0</v>
      </c>
      <c r="L181" s="70"/>
    </row>
    <row r="182">
      <c r="A182" s="62" t="s">
        <v>278</v>
      </c>
      <c r="B182" s="67" t="s">
        <v>221</v>
      </c>
      <c r="C182" s="67" t="s">
        <v>220</v>
      </c>
      <c r="D182" s="67">
        <v>20.0</v>
      </c>
      <c r="E182" s="67">
        <v>1.0</v>
      </c>
      <c r="F182" s="67">
        <v>0.0</v>
      </c>
      <c r="G182" s="67">
        <v>0.0</v>
      </c>
      <c r="H182" s="67">
        <v>0.0</v>
      </c>
      <c r="I182" s="69"/>
      <c r="J182" s="70"/>
      <c r="K182" s="83"/>
      <c r="L182" s="70"/>
    </row>
    <row r="183">
      <c r="A183" s="62" t="s">
        <v>278</v>
      </c>
      <c r="B183" s="67" t="s">
        <v>218</v>
      </c>
      <c r="C183" s="67" t="s">
        <v>244</v>
      </c>
      <c r="D183" s="70">
        <f>54/3.1416</f>
        <v>17.18869366</v>
      </c>
      <c r="E183" s="67">
        <v>1.0</v>
      </c>
      <c r="F183" s="67">
        <v>1.0</v>
      </c>
      <c r="G183" s="67">
        <v>1.0</v>
      </c>
      <c r="H183" s="67">
        <v>1.0</v>
      </c>
      <c r="I183" s="69"/>
      <c r="J183" s="70"/>
      <c r="K183" s="83"/>
      <c r="L183" s="70"/>
    </row>
    <row r="184">
      <c r="A184" s="62" t="s">
        <v>278</v>
      </c>
      <c r="B184" s="67" t="s">
        <v>226</v>
      </c>
      <c r="C184" s="67" t="s">
        <v>222</v>
      </c>
      <c r="D184" s="70">
        <f>52.1</f>
        <v>52.1</v>
      </c>
      <c r="E184" s="67">
        <v>1.0</v>
      </c>
      <c r="F184" s="67">
        <v>0.0</v>
      </c>
      <c r="G184" s="67">
        <v>0.0</v>
      </c>
      <c r="H184" s="67">
        <v>0.0</v>
      </c>
      <c r="I184" s="69"/>
      <c r="J184" s="70"/>
      <c r="K184" s="83"/>
      <c r="L184" s="70"/>
    </row>
    <row r="185">
      <c r="A185" s="62" t="s">
        <v>278</v>
      </c>
      <c r="B185" s="67" t="s">
        <v>226</v>
      </c>
      <c r="C185" s="67" t="s">
        <v>222</v>
      </c>
      <c r="D185" s="67">
        <v>18.0</v>
      </c>
      <c r="E185" s="67">
        <v>3.0</v>
      </c>
      <c r="F185" s="67">
        <v>1.0</v>
      </c>
      <c r="G185" s="67">
        <v>1.0</v>
      </c>
      <c r="H185" s="67" t="s">
        <v>234</v>
      </c>
      <c r="I185" s="69"/>
      <c r="J185" s="70"/>
      <c r="K185" s="83"/>
      <c r="L185" s="70"/>
    </row>
    <row r="186">
      <c r="A186" s="96" t="s">
        <v>278</v>
      </c>
      <c r="B186" s="72" t="s">
        <v>226</v>
      </c>
      <c r="C186" s="72" t="s">
        <v>222</v>
      </c>
      <c r="D186" s="72">
        <v>29.0</v>
      </c>
      <c r="E186" s="72">
        <v>2.0</v>
      </c>
      <c r="F186" s="72">
        <v>1.0</v>
      </c>
      <c r="G186" s="72">
        <v>1.0</v>
      </c>
      <c r="H186" s="72" t="s">
        <v>234</v>
      </c>
      <c r="I186" s="74"/>
      <c r="J186" s="75"/>
      <c r="K186" s="79"/>
      <c r="L186" s="70"/>
    </row>
    <row r="187">
      <c r="A187" s="90" t="s">
        <v>279</v>
      </c>
      <c r="B187" s="63" t="s">
        <v>218</v>
      </c>
      <c r="C187" s="63" t="s">
        <v>233</v>
      </c>
      <c r="D187" s="80">
        <f>47/3.1416</f>
        <v>14.96052967</v>
      </c>
      <c r="E187" s="63">
        <v>1.0</v>
      </c>
      <c r="F187" s="63">
        <v>0.0</v>
      </c>
      <c r="G187" s="63">
        <v>0.0</v>
      </c>
      <c r="H187" s="63">
        <v>0.0</v>
      </c>
      <c r="I187" s="81"/>
      <c r="J187" s="80"/>
      <c r="K187" s="82"/>
      <c r="L187" s="70"/>
    </row>
    <row r="188">
      <c r="A188" s="62" t="s">
        <v>279</v>
      </c>
      <c r="B188" s="67" t="s">
        <v>218</v>
      </c>
      <c r="C188" s="67" t="s">
        <v>233</v>
      </c>
      <c r="D188" s="67">
        <v>68.0</v>
      </c>
      <c r="E188" s="67">
        <v>1.0</v>
      </c>
      <c r="F188" s="67">
        <v>0.0</v>
      </c>
      <c r="G188" s="67">
        <v>0.0</v>
      </c>
      <c r="H188" s="67">
        <v>0.0</v>
      </c>
      <c r="I188" s="69"/>
      <c r="J188" s="70"/>
      <c r="K188" s="83"/>
      <c r="L188" s="70"/>
    </row>
    <row r="189">
      <c r="A189" s="62" t="s">
        <v>279</v>
      </c>
      <c r="B189" s="67" t="s">
        <v>218</v>
      </c>
      <c r="C189" s="67" t="s">
        <v>220</v>
      </c>
      <c r="D189" s="70">
        <f>40/3.1416</f>
        <v>12.73236567</v>
      </c>
      <c r="E189" s="67">
        <v>1.0</v>
      </c>
      <c r="F189" s="67">
        <v>1.0</v>
      </c>
      <c r="G189" s="67">
        <v>0.0</v>
      </c>
      <c r="H189" s="67">
        <v>0.0</v>
      </c>
      <c r="I189" s="69"/>
      <c r="J189" s="70"/>
      <c r="K189" s="83"/>
      <c r="L189" s="70"/>
    </row>
    <row r="190">
      <c r="A190" s="62" t="s">
        <v>279</v>
      </c>
      <c r="B190" s="67" t="s">
        <v>221</v>
      </c>
      <c r="C190" s="67" t="s">
        <v>219</v>
      </c>
      <c r="D190" s="70">
        <f>46.2/3.1416</f>
        <v>14.70588235</v>
      </c>
      <c r="E190" s="67">
        <v>1.0</v>
      </c>
      <c r="F190" s="67">
        <v>0.0</v>
      </c>
      <c r="G190" s="67">
        <v>0.0</v>
      </c>
      <c r="H190" s="67">
        <v>0.0</v>
      </c>
      <c r="I190" s="69"/>
      <c r="J190" s="70"/>
      <c r="K190" s="83"/>
      <c r="L190" s="70"/>
    </row>
    <row r="191">
      <c r="A191" s="62" t="s">
        <v>279</v>
      </c>
      <c r="B191" s="67" t="s">
        <v>225</v>
      </c>
      <c r="C191" s="67" t="s">
        <v>233</v>
      </c>
      <c r="D191" s="67">
        <v>56.0</v>
      </c>
      <c r="E191" s="67">
        <v>1.0</v>
      </c>
      <c r="F191" s="67">
        <v>1.0</v>
      </c>
      <c r="G191" s="67">
        <v>0.0</v>
      </c>
      <c r="H191" s="67">
        <v>0.0</v>
      </c>
      <c r="I191" s="69"/>
      <c r="J191" s="70"/>
      <c r="K191" s="83"/>
      <c r="L191" s="70"/>
    </row>
    <row r="192">
      <c r="A192" s="96" t="s">
        <v>279</v>
      </c>
      <c r="B192" s="72" t="s">
        <v>225</v>
      </c>
      <c r="C192" s="72" t="s">
        <v>222</v>
      </c>
      <c r="D192" s="72">
        <v>14.5</v>
      </c>
      <c r="E192" s="72">
        <v>1.0</v>
      </c>
      <c r="F192" s="72">
        <v>1.0</v>
      </c>
      <c r="G192" s="72">
        <v>0.0</v>
      </c>
      <c r="H192" s="72">
        <v>0.0</v>
      </c>
      <c r="I192" s="74"/>
      <c r="J192" s="75"/>
      <c r="K192" s="79"/>
      <c r="L192" s="70"/>
    </row>
    <row r="193">
      <c r="A193" s="90" t="s">
        <v>280</v>
      </c>
      <c r="B193" s="63" t="s">
        <v>218</v>
      </c>
      <c r="C193" s="63" t="s">
        <v>233</v>
      </c>
      <c r="D193" s="63">
        <v>66.0</v>
      </c>
      <c r="E193" s="63">
        <v>1.0</v>
      </c>
      <c r="F193" s="63">
        <v>1.0</v>
      </c>
      <c r="G193" s="63">
        <v>0.0</v>
      </c>
      <c r="H193" s="63">
        <v>0.0</v>
      </c>
      <c r="I193" s="81"/>
      <c r="J193" s="80"/>
      <c r="K193" s="82"/>
      <c r="L193" s="70"/>
    </row>
    <row r="194">
      <c r="A194" s="62" t="s">
        <v>280</v>
      </c>
      <c r="B194" s="67" t="s">
        <v>218</v>
      </c>
      <c r="C194" s="67" t="s">
        <v>233</v>
      </c>
      <c r="D194" s="67">
        <v>57.0</v>
      </c>
      <c r="E194" s="67">
        <v>1.0</v>
      </c>
      <c r="F194" s="67">
        <v>1.0</v>
      </c>
      <c r="G194" s="67">
        <v>0.0</v>
      </c>
      <c r="H194" s="67">
        <v>0.0</v>
      </c>
      <c r="I194" s="69"/>
      <c r="J194" s="70"/>
      <c r="K194" s="83"/>
      <c r="L194" s="70"/>
    </row>
    <row r="195">
      <c r="A195" s="62" t="s">
        <v>280</v>
      </c>
      <c r="B195" s="67" t="s">
        <v>221</v>
      </c>
      <c r="C195" s="67" t="s">
        <v>233</v>
      </c>
      <c r="D195" s="67">
        <v>68.0</v>
      </c>
      <c r="E195" s="67">
        <v>2.0</v>
      </c>
      <c r="F195" s="67">
        <v>0.0</v>
      </c>
      <c r="G195" s="67">
        <v>0.0</v>
      </c>
      <c r="H195" s="67">
        <v>0.0</v>
      </c>
      <c r="I195" s="69"/>
      <c r="J195" s="70"/>
      <c r="K195" s="83"/>
      <c r="L195" s="70"/>
    </row>
    <row r="196">
      <c r="A196" s="62" t="s">
        <v>280</v>
      </c>
      <c r="B196" s="67" t="s">
        <v>221</v>
      </c>
      <c r="C196" s="67" t="s">
        <v>222</v>
      </c>
      <c r="D196" s="70">
        <f>47/3.1416</f>
        <v>14.96052967</v>
      </c>
      <c r="E196" s="67">
        <v>1.0</v>
      </c>
      <c r="F196" s="67">
        <v>0.0</v>
      </c>
      <c r="G196" s="67">
        <v>0.0</v>
      </c>
      <c r="H196" s="67">
        <v>0.0</v>
      </c>
      <c r="I196" s="69"/>
      <c r="J196" s="70"/>
      <c r="K196" s="83"/>
      <c r="L196" s="70"/>
    </row>
    <row r="197">
      <c r="A197" s="62" t="s">
        <v>280</v>
      </c>
      <c r="B197" s="67" t="s">
        <v>225</v>
      </c>
      <c r="C197" s="67" t="s">
        <v>222</v>
      </c>
      <c r="D197" s="67">
        <v>33.0</v>
      </c>
      <c r="E197" s="67">
        <v>1.0</v>
      </c>
      <c r="F197" s="67">
        <v>1.0</v>
      </c>
      <c r="G197" s="67">
        <v>0.0</v>
      </c>
      <c r="H197" s="67">
        <v>0.0</v>
      </c>
      <c r="I197" s="69"/>
      <c r="J197" s="70"/>
      <c r="K197" s="83"/>
      <c r="L197" s="70"/>
    </row>
    <row r="198">
      <c r="A198" s="96" t="s">
        <v>280</v>
      </c>
      <c r="B198" s="72" t="s">
        <v>226</v>
      </c>
      <c r="C198" s="72" t="s">
        <v>220</v>
      </c>
      <c r="D198" s="75">
        <f>63.2/3.1416</f>
        <v>20.11713776</v>
      </c>
      <c r="E198" s="72">
        <v>1.0</v>
      </c>
      <c r="F198" s="72">
        <v>1.0</v>
      </c>
      <c r="G198" s="72">
        <v>1.0</v>
      </c>
      <c r="H198" s="72" t="s">
        <v>270</v>
      </c>
      <c r="I198" s="74"/>
      <c r="J198" s="75"/>
      <c r="K198" s="79"/>
      <c r="L198" s="70"/>
    </row>
    <row r="199">
      <c r="A199" s="90" t="s">
        <v>281</v>
      </c>
      <c r="B199" s="63" t="s">
        <v>218</v>
      </c>
      <c r="C199" s="63" t="s">
        <v>222</v>
      </c>
      <c r="D199" s="80">
        <f>78.9/3.1416</f>
        <v>25.11459129</v>
      </c>
      <c r="E199" s="63">
        <v>1.0</v>
      </c>
      <c r="F199" s="63">
        <v>1.0</v>
      </c>
      <c r="G199" s="63">
        <v>0.0</v>
      </c>
      <c r="H199" s="63">
        <v>0.0</v>
      </c>
      <c r="I199" s="60">
        <v>59.0</v>
      </c>
      <c r="J199" s="63">
        <v>169.0</v>
      </c>
      <c r="K199" s="84">
        <v>1.0</v>
      </c>
      <c r="L199" s="70"/>
    </row>
    <row r="200">
      <c r="A200" s="62" t="s">
        <v>281</v>
      </c>
      <c r="B200" s="67" t="s">
        <v>218</v>
      </c>
      <c r="C200" s="67" t="s">
        <v>222</v>
      </c>
      <c r="D200" s="67">
        <v>70.0</v>
      </c>
      <c r="E200" s="67">
        <v>1.0</v>
      </c>
      <c r="F200" s="67">
        <v>1.0</v>
      </c>
      <c r="G200" s="67">
        <v>0.0</v>
      </c>
      <c r="H200" s="67">
        <v>0.0</v>
      </c>
      <c r="I200" s="69"/>
      <c r="J200" s="70"/>
      <c r="K200" s="83"/>
      <c r="L200" s="70"/>
    </row>
    <row r="201">
      <c r="A201" s="62" t="s">
        <v>281</v>
      </c>
      <c r="B201" s="67" t="s">
        <v>225</v>
      </c>
      <c r="C201" s="67" t="s">
        <v>233</v>
      </c>
      <c r="D201" s="67">
        <v>81.0</v>
      </c>
      <c r="E201" s="67">
        <v>1.0</v>
      </c>
      <c r="F201" s="67">
        <v>1.0</v>
      </c>
      <c r="G201" s="67">
        <v>0.0</v>
      </c>
      <c r="H201" s="67">
        <v>0.0</v>
      </c>
      <c r="I201" s="69"/>
      <c r="J201" s="70"/>
      <c r="K201" s="83"/>
      <c r="L201" s="70"/>
    </row>
    <row r="202">
      <c r="A202" s="62" t="s">
        <v>281</v>
      </c>
      <c r="B202" s="67" t="s">
        <v>226</v>
      </c>
      <c r="C202" s="67" t="s">
        <v>233</v>
      </c>
      <c r="D202" s="70">
        <f>123/3.1416</f>
        <v>39.15202445</v>
      </c>
      <c r="E202" s="67">
        <v>1.0</v>
      </c>
      <c r="F202" s="67">
        <v>1.0</v>
      </c>
      <c r="G202" s="67">
        <v>0.0</v>
      </c>
      <c r="H202" s="67">
        <v>0.0</v>
      </c>
      <c r="I202" s="69"/>
      <c r="J202" s="70"/>
      <c r="K202" s="83"/>
      <c r="L202" s="70"/>
    </row>
    <row r="203">
      <c r="A203" s="96" t="s">
        <v>281</v>
      </c>
      <c r="B203" s="72" t="s">
        <v>226</v>
      </c>
      <c r="C203" s="72" t="s">
        <v>233</v>
      </c>
      <c r="D203" s="75">
        <f>37/3.1416</f>
        <v>11.77743825</v>
      </c>
      <c r="E203" s="72">
        <v>1.0</v>
      </c>
      <c r="F203" s="72">
        <v>1.0</v>
      </c>
      <c r="G203" s="72">
        <v>0.0</v>
      </c>
      <c r="H203" s="72">
        <v>0.0</v>
      </c>
      <c r="I203" s="74"/>
      <c r="J203" s="75"/>
      <c r="K203" s="79"/>
      <c r="L203" s="70"/>
    </row>
    <row r="204">
      <c r="A204" s="90" t="s">
        <v>282</v>
      </c>
      <c r="B204" s="63" t="s">
        <v>221</v>
      </c>
      <c r="C204" s="63" t="s">
        <v>233</v>
      </c>
      <c r="D204" s="80">
        <f>106/3.1416</f>
        <v>33.74076903</v>
      </c>
      <c r="E204" s="63">
        <v>2.0</v>
      </c>
      <c r="F204" s="63">
        <v>0.0</v>
      </c>
      <c r="G204" s="63">
        <v>0.0</v>
      </c>
      <c r="H204" s="63">
        <v>0.0</v>
      </c>
      <c r="I204" s="81"/>
      <c r="J204" s="80"/>
      <c r="K204" s="82"/>
      <c r="L204" s="70"/>
    </row>
    <row r="205">
      <c r="A205" s="62" t="s">
        <v>282</v>
      </c>
      <c r="B205" s="67" t="s">
        <v>221</v>
      </c>
      <c r="C205" s="67" t="s">
        <v>233</v>
      </c>
      <c r="D205" s="70">
        <f>91/3.1416</f>
        <v>28.96613191</v>
      </c>
      <c r="E205" s="67">
        <v>2.0</v>
      </c>
      <c r="F205" s="67">
        <v>0.0</v>
      </c>
      <c r="G205" s="67">
        <v>0.0</v>
      </c>
      <c r="H205" s="67">
        <v>0.0</v>
      </c>
      <c r="I205" s="69"/>
      <c r="J205" s="70"/>
      <c r="K205" s="83"/>
      <c r="L205" s="70"/>
    </row>
    <row r="206">
      <c r="A206" s="96" t="s">
        <v>282</v>
      </c>
      <c r="B206" s="72" t="s">
        <v>225</v>
      </c>
      <c r="C206" s="72" t="s">
        <v>233</v>
      </c>
      <c r="D206" s="75">
        <f>106.2/3.1416</f>
        <v>33.80443086</v>
      </c>
      <c r="E206" s="72">
        <v>2.0</v>
      </c>
      <c r="F206" s="72">
        <v>0.0</v>
      </c>
      <c r="G206" s="72">
        <v>0.0</v>
      </c>
      <c r="H206" s="72">
        <v>0.0</v>
      </c>
      <c r="I206" s="74"/>
      <c r="J206" s="75"/>
      <c r="K206" s="79"/>
      <c r="L206" s="70"/>
    </row>
    <row r="207">
      <c r="A207" s="90" t="s">
        <v>283</v>
      </c>
      <c r="B207" s="63" t="s">
        <v>218</v>
      </c>
      <c r="C207" s="63" t="s">
        <v>233</v>
      </c>
      <c r="D207" s="80">
        <f>150/3.1416</f>
        <v>47.74637128</v>
      </c>
      <c r="E207" s="63">
        <v>2.0</v>
      </c>
      <c r="F207" s="63">
        <v>0.0</v>
      </c>
      <c r="G207" s="63">
        <v>0.0</v>
      </c>
      <c r="H207" s="63">
        <v>0.0</v>
      </c>
      <c r="I207" s="81"/>
      <c r="J207" s="80"/>
      <c r="K207" s="82"/>
      <c r="L207" s="70"/>
    </row>
    <row r="208">
      <c r="A208" s="62" t="s">
        <v>283</v>
      </c>
      <c r="B208" s="67" t="s">
        <v>218</v>
      </c>
      <c r="C208" s="67" t="s">
        <v>233</v>
      </c>
      <c r="D208" s="70">
        <f>89/3.1416</f>
        <v>28.32951362</v>
      </c>
      <c r="E208" s="67">
        <v>2.0</v>
      </c>
      <c r="F208" s="67">
        <v>0.0</v>
      </c>
      <c r="G208" s="67">
        <v>0.0</v>
      </c>
      <c r="H208" s="67">
        <v>0.0</v>
      </c>
      <c r="I208" s="69"/>
      <c r="J208" s="70"/>
      <c r="K208" s="83"/>
      <c r="L208" s="70"/>
    </row>
    <row r="209">
      <c r="A209" s="62" t="s">
        <v>283</v>
      </c>
      <c r="B209" s="67" t="s">
        <v>221</v>
      </c>
      <c r="C209" s="67" t="s">
        <v>233</v>
      </c>
      <c r="D209" s="67">
        <v>28.0</v>
      </c>
      <c r="E209" s="67">
        <v>3.0</v>
      </c>
      <c r="F209" s="67">
        <v>0.0</v>
      </c>
      <c r="G209" s="67">
        <v>0.0</v>
      </c>
      <c r="H209" s="67">
        <v>0.0</v>
      </c>
      <c r="I209" s="69"/>
      <c r="J209" s="70"/>
      <c r="K209" s="83"/>
      <c r="L209" s="70"/>
    </row>
    <row r="210">
      <c r="A210" s="62" t="s">
        <v>283</v>
      </c>
      <c r="B210" s="67" t="s">
        <v>221</v>
      </c>
      <c r="C210" s="67" t="s">
        <v>233</v>
      </c>
      <c r="D210" s="67">
        <v>25.5</v>
      </c>
      <c r="E210" s="67">
        <v>3.0</v>
      </c>
      <c r="F210" s="67">
        <v>0.0</v>
      </c>
      <c r="G210" s="67">
        <v>0.0</v>
      </c>
      <c r="H210" s="67">
        <v>0.0</v>
      </c>
      <c r="I210" s="69"/>
      <c r="J210" s="70"/>
      <c r="K210" s="83"/>
      <c r="L210" s="70"/>
    </row>
    <row r="211">
      <c r="A211" s="62" t="s">
        <v>283</v>
      </c>
      <c r="B211" s="67" t="s">
        <v>225</v>
      </c>
      <c r="C211" s="67" t="s">
        <v>233</v>
      </c>
      <c r="D211" s="67">
        <f>160/3.1416</f>
        <v>50.92946269</v>
      </c>
      <c r="E211" s="67">
        <v>1.0</v>
      </c>
      <c r="F211" s="67">
        <v>0.0</v>
      </c>
      <c r="G211" s="67">
        <v>0.0</v>
      </c>
      <c r="H211" s="67">
        <v>0.0</v>
      </c>
      <c r="I211" s="69"/>
      <c r="J211" s="70"/>
      <c r="K211" s="83"/>
      <c r="L211" s="70"/>
    </row>
    <row r="212">
      <c r="A212" s="62" t="s">
        <v>283</v>
      </c>
      <c r="B212" s="67" t="s">
        <v>225</v>
      </c>
      <c r="C212" s="67" t="s">
        <v>233</v>
      </c>
      <c r="D212" s="70">
        <f>103/3.1416</f>
        <v>32.78584161</v>
      </c>
      <c r="E212" s="67">
        <v>2.0</v>
      </c>
      <c r="F212" s="67">
        <v>0.0</v>
      </c>
      <c r="G212" s="67">
        <v>0.0</v>
      </c>
      <c r="H212" s="67">
        <v>0.0</v>
      </c>
      <c r="I212" s="69"/>
      <c r="J212" s="70"/>
      <c r="K212" s="83"/>
      <c r="L212" s="70"/>
    </row>
    <row r="213">
      <c r="A213" s="96" t="s">
        <v>283</v>
      </c>
      <c r="B213" s="72" t="s">
        <v>226</v>
      </c>
      <c r="C213" s="72" t="s">
        <v>233</v>
      </c>
      <c r="D213" s="75">
        <f>79/3.1416</f>
        <v>25.14642221</v>
      </c>
      <c r="E213" s="72">
        <v>2.0</v>
      </c>
      <c r="F213" s="72">
        <v>0.0</v>
      </c>
      <c r="G213" s="72">
        <v>0.0</v>
      </c>
      <c r="H213" s="72">
        <v>0.0</v>
      </c>
      <c r="I213" s="74"/>
      <c r="J213" s="75"/>
      <c r="K213" s="79"/>
      <c r="L213" s="70"/>
    </row>
    <row r="214">
      <c r="A214" s="90" t="s">
        <v>284</v>
      </c>
      <c r="B214" s="63" t="s">
        <v>221</v>
      </c>
      <c r="C214" s="63" t="s">
        <v>219</v>
      </c>
      <c r="D214" s="80">
        <f>41/3.1416</f>
        <v>13.05067482</v>
      </c>
      <c r="E214" s="63">
        <v>1.0</v>
      </c>
      <c r="F214" s="63">
        <v>0.0</v>
      </c>
      <c r="G214" s="63">
        <v>0.0</v>
      </c>
      <c r="H214" s="63">
        <v>0.0</v>
      </c>
      <c r="I214" s="60">
        <v>21.0</v>
      </c>
      <c r="J214" s="63">
        <v>98.0</v>
      </c>
      <c r="K214" s="84">
        <v>0.0</v>
      </c>
      <c r="L214" s="70"/>
    </row>
    <row r="215">
      <c r="A215" s="62" t="s">
        <v>284</v>
      </c>
      <c r="B215" s="67" t="s">
        <v>225</v>
      </c>
      <c r="C215" s="67" t="s">
        <v>233</v>
      </c>
      <c r="D215" s="70">
        <f>93/3.1416</f>
        <v>29.60275019</v>
      </c>
      <c r="E215" s="67">
        <v>1.0</v>
      </c>
      <c r="F215" s="67">
        <v>0.0</v>
      </c>
      <c r="G215" s="67">
        <v>0.0</v>
      </c>
      <c r="H215" s="67">
        <v>0.0</v>
      </c>
      <c r="I215" s="61">
        <v>24.0</v>
      </c>
      <c r="J215" s="67">
        <v>111.0</v>
      </c>
      <c r="K215" s="85">
        <v>0.0</v>
      </c>
      <c r="L215" s="70"/>
    </row>
    <row r="216">
      <c r="A216" s="62" t="s">
        <v>284</v>
      </c>
      <c r="B216" s="67" t="s">
        <v>225</v>
      </c>
      <c r="C216" s="67" t="s">
        <v>233</v>
      </c>
      <c r="D216" s="70">
        <f>92/3.1416</f>
        <v>29.28444105</v>
      </c>
      <c r="E216" s="67">
        <v>1.0</v>
      </c>
      <c r="F216" s="67">
        <v>0.0</v>
      </c>
      <c r="G216" s="67">
        <v>0.0</v>
      </c>
      <c r="H216" s="67">
        <v>0.0</v>
      </c>
      <c r="I216" s="69"/>
      <c r="J216" s="70"/>
      <c r="K216" s="83"/>
      <c r="L216" s="70"/>
    </row>
    <row r="217">
      <c r="A217" s="62" t="s">
        <v>284</v>
      </c>
      <c r="B217" s="67" t="s">
        <v>225</v>
      </c>
      <c r="C217" s="67" t="s">
        <v>233</v>
      </c>
      <c r="D217" s="70">
        <f>72/3.1416</f>
        <v>22.91825821</v>
      </c>
      <c r="E217" s="67">
        <v>1.0</v>
      </c>
      <c r="F217" s="67">
        <v>0.0</v>
      </c>
      <c r="G217" s="67">
        <v>0.0</v>
      </c>
      <c r="H217" s="67">
        <v>0.0</v>
      </c>
      <c r="I217" s="69"/>
      <c r="J217" s="70"/>
      <c r="K217" s="83"/>
      <c r="L217" s="70"/>
    </row>
    <row r="218">
      <c r="A218" s="96" t="s">
        <v>284</v>
      </c>
      <c r="B218" s="72" t="s">
        <v>226</v>
      </c>
      <c r="C218" s="72" t="s">
        <v>233</v>
      </c>
      <c r="D218" s="75">
        <f>52/3.1416</f>
        <v>16.55207538</v>
      </c>
      <c r="E218" s="72">
        <v>1.0</v>
      </c>
      <c r="F218" s="72">
        <v>0.0</v>
      </c>
      <c r="G218" s="72">
        <v>0.0</v>
      </c>
      <c r="H218" s="72">
        <v>0.0</v>
      </c>
      <c r="I218" s="74"/>
      <c r="J218" s="75"/>
      <c r="K218" s="79"/>
      <c r="L218" s="70"/>
    </row>
    <row r="219">
      <c r="A219" s="90" t="s">
        <v>285</v>
      </c>
      <c r="B219" s="63" t="s">
        <v>218</v>
      </c>
      <c r="C219" s="63" t="s">
        <v>233</v>
      </c>
      <c r="D219" s="63">
        <v>46.0</v>
      </c>
      <c r="E219" s="63">
        <v>2.0</v>
      </c>
      <c r="F219" s="63">
        <v>0.0</v>
      </c>
      <c r="G219" s="63">
        <v>0.0</v>
      </c>
      <c r="H219" s="63">
        <v>0.0</v>
      </c>
      <c r="I219" s="81"/>
      <c r="J219" s="80"/>
      <c r="K219" s="82"/>
      <c r="L219" s="70"/>
    </row>
    <row r="220">
      <c r="A220" s="62" t="s">
        <v>285</v>
      </c>
      <c r="B220" s="67" t="s">
        <v>221</v>
      </c>
      <c r="C220" s="67" t="s">
        <v>233</v>
      </c>
      <c r="D220" s="70">
        <f>123/3.1416</f>
        <v>39.15202445</v>
      </c>
      <c r="E220" s="67">
        <v>2.0</v>
      </c>
      <c r="F220" s="67">
        <v>0.0</v>
      </c>
      <c r="G220" s="67">
        <v>0.0</v>
      </c>
      <c r="H220" s="67">
        <v>0.0</v>
      </c>
      <c r="I220" s="61" t="s">
        <v>286</v>
      </c>
      <c r="J220" s="70"/>
      <c r="K220" s="83"/>
      <c r="L220" s="70"/>
    </row>
    <row r="221">
      <c r="A221" s="62" t="s">
        <v>285</v>
      </c>
      <c r="B221" s="67" t="s">
        <v>221</v>
      </c>
      <c r="C221" s="67" t="s">
        <v>233</v>
      </c>
      <c r="D221" s="70">
        <f>43.4/3.1416</f>
        <v>13.81461676</v>
      </c>
      <c r="E221" s="67">
        <v>1.0</v>
      </c>
      <c r="F221" s="67">
        <v>0.0</v>
      </c>
      <c r="G221" s="67">
        <v>0.0</v>
      </c>
      <c r="H221" s="67">
        <v>0.0</v>
      </c>
      <c r="I221" s="69"/>
      <c r="J221" s="70"/>
      <c r="K221" s="83"/>
      <c r="L221" s="70"/>
    </row>
    <row r="222">
      <c r="A222" s="62" t="s">
        <v>285</v>
      </c>
      <c r="B222" s="67" t="s">
        <v>221</v>
      </c>
      <c r="C222" s="67" t="s">
        <v>233</v>
      </c>
      <c r="D222" s="70">
        <f>62/3.1416</f>
        <v>19.73516679</v>
      </c>
      <c r="E222" s="67">
        <v>2.0</v>
      </c>
      <c r="F222" s="67">
        <v>0.0</v>
      </c>
      <c r="G222" s="67">
        <v>0.0</v>
      </c>
      <c r="H222" s="67">
        <v>0.0</v>
      </c>
      <c r="I222" s="69"/>
      <c r="J222" s="70"/>
      <c r="K222" s="83"/>
      <c r="L222" s="70"/>
    </row>
    <row r="223">
      <c r="A223" s="62" t="s">
        <v>285</v>
      </c>
      <c r="B223" s="67" t="s">
        <v>225</v>
      </c>
      <c r="C223" s="67" t="s">
        <v>233</v>
      </c>
      <c r="D223" s="67">
        <v>39.0</v>
      </c>
      <c r="E223" s="67">
        <v>2.0</v>
      </c>
      <c r="F223" s="67">
        <v>0.0</v>
      </c>
      <c r="G223" s="67">
        <v>0.0</v>
      </c>
      <c r="H223" s="67">
        <v>0.0</v>
      </c>
      <c r="I223" s="61" t="s">
        <v>286</v>
      </c>
      <c r="J223" s="70"/>
      <c r="K223" s="83"/>
      <c r="L223" s="70"/>
    </row>
    <row r="224">
      <c r="A224" s="62" t="s">
        <v>285</v>
      </c>
      <c r="B224" s="67" t="s">
        <v>225</v>
      </c>
      <c r="C224" s="67" t="s">
        <v>233</v>
      </c>
      <c r="D224" s="70">
        <f>48.6/3.1416</f>
        <v>15.46982429</v>
      </c>
      <c r="E224" s="67">
        <v>2.0</v>
      </c>
      <c r="F224" s="67">
        <v>0.0</v>
      </c>
      <c r="G224" s="67">
        <v>0.0</v>
      </c>
      <c r="H224" s="67">
        <v>0.0</v>
      </c>
      <c r="I224" s="69"/>
      <c r="J224" s="70"/>
      <c r="K224" s="83"/>
      <c r="L224" s="70"/>
    </row>
    <row r="225">
      <c r="A225" s="96" t="s">
        <v>285</v>
      </c>
      <c r="B225" s="72" t="s">
        <v>225</v>
      </c>
      <c r="C225" s="72" t="s">
        <v>233</v>
      </c>
      <c r="D225" s="75">
        <f>53/3.1416</f>
        <v>16.87038452</v>
      </c>
      <c r="E225" s="72">
        <v>2.0</v>
      </c>
      <c r="F225" s="72">
        <v>0.0</v>
      </c>
      <c r="G225" s="72">
        <v>0.0</v>
      </c>
      <c r="H225" s="72">
        <v>0.0</v>
      </c>
      <c r="I225" s="74"/>
      <c r="J225" s="75"/>
      <c r="K225" s="79"/>
      <c r="L225" s="70"/>
    </row>
    <row r="226">
      <c r="A226" s="90" t="s">
        <v>287</v>
      </c>
      <c r="B226" s="63" t="s">
        <v>218</v>
      </c>
      <c r="C226" s="63" t="s">
        <v>233</v>
      </c>
      <c r="D226" s="80">
        <f>83.5/3.1416</f>
        <v>26.57881334</v>
      </c>
      <c r="E226" s="63">
        <v>1.0</v>
      </c>
      <c r="F226" s="63">
        <v>0.0</v>
      </c>
      <c r="G226" s="84">
        <v>0.0</v>
      </c>
      <c r="H226" s="84">
        <v>0.0</v>
      </c>
      <c r="I226" s="81"/>
      <c r="J226" s="80"/>
      <c r="K226" s="82"/>
      <c r="L226" s="70"/>
    </row>
    <row r="227">
      <c r="A227" s="62" t="s">
        <v>287</v>
      </c>
      <c r="B227" s="67" t="s">
        <v>221</v>
      </c>
      <c r="C227" s="67" t="s">
        <v>233</v>
      </c>
      <c r="D227" s="70">
        <f>79/3.1416</f>
        <v>25.14642221</v>
      </c>
      <c r="E227" s="67">
        <v>2.0</v>
      </c>
      <c r="F227" s="67">
        <v>0.0</v>
      </c>
      <c r="G227" s="85">
        <v>0.0</v>
      </c>
      <c r="H227" s="85">
        <v>0.0</v>
      </c>
      <c r="I227" s="69"/>
      <c r="J227" s="70"/>
      <c r="K227" s="83"/>
      <c r="L227" s="70">
        <f>AVERAGE(D226:D234)</f>
        <v>22.32761792</v>
      </c>
    </row>
    <row r="228">
      <c r="A228" s="62" t="s">
        <v>287</v>
      </c>
      <c r="B228" s="67" t="s">
        <v>221</v>
      </c>
      <c r="C228" s="67" t="s">
        <v>233</v>
      </c>
      <c r="D228" s="70">
        <f>49.3/3.1416</f>
        <v>15.69264069</v>
      </c>
      <c r="E228" s="67">
        <v>2.0</v>
      </c>
      <c r="F228" s="67">
        <v>0.0</v>
      </c>
      <c r="G228" s="85">
        <v>0.0</v>
      </c>
      <c r="H228" s="85">
        <v>0.0</v>
      </c>
      <c r="I228" s="69"/>
      <c r="J228" s="70"/>
      <c r="K228" s="83"/>
      <c r="L228" s="70"/>
    </row>
    <row r="229">
      <c r="A229" s="62" t="s">
        <v>287</v>
      </c>
      <c r="B229" s="67" t="s">
        <v>225</v>
      </c>
      <c r="C229" s="67" t="s">
        <v>233</v>
      </c>
      <c r="D229" s="70">
        <f>60.5/3.1416</f>
        <v>19.25770308</v>
      </c>
      <c r="E229" s="67">
        <v>2.0</v>
      </c>
      <c r="F229" s="67">
        <v>0.0</v>
      </c>
      <c r="G229" s="85">
        <v>0.0</v>
      </c>
      <c r="H229" s="85">
        <v>0.0</v>
      </c>
      <c r="I229" s="69"/>
      <c r="J229" s="70"/>
      <c r="K229" s="83"/>
      <c r="L229" s="70"/>
    </row>
    <row r="230">
      <c r="A230" s="62" t="s">
        <v>287</v>
      </c>
      <c r="B230" s="67" t="s">
        <v>225</v>
      </c>
      <c r="C230" s="67" t="s">
        <v>233</v>
      </c>
      <c r="D230" s="70">
        <f>65/3.1416</f>
        <v>20.69009422</v>
      </c>
      <c r="E230" s="67">
        <v>2.0</v>
      </c>
      <c r="F230" s="67">
        <v>0.0</v>
      </c>
      <c r="G230" s="85">
        <v>0.0</v>
      </c>
      <c r="H230" s="85">
        <v>0.0</v>
      </c>
      <c r="I230" s="69"/>
      <c r="J230" s="70"/>
      <c r="K230" s="83"/>
      <c r="L230" s="70"/>
    </row>
    <row r="231">
      <c r="A231" s="62" t="s">
        <v>287</v>
      </c>
      <c r="B231" s="67" t="s">
        <v>225</v>
      </c>
      <c r="C231" s="67" t="s">
        <v>233</v>
      </c>
      <c r="D231" s="70">
        <f>47/3.1416</f>
        <v>14.96052967</v>
      </c>
      <c r="E231" s="67">
        <v>2.0</v>
      </c>
      <c r="F231" s="67">
        <v>0.0</v>
      </c>
      <c r="G231" s="85">
        <v>0.0</v>
      </c>
      <c r="H231" s="85">
        <v>0.0</v>
      </c>
      <c r="I231" s="69"/>
      <c r="J231" s="70"/>
      <c r="K231" s="83"/>
      <c r="L231" s="70"/>
    </row>
    <row r="232">
      <c r="A232" s="62" t="s">
        <v>287</v>
      </c>
      <c r="B232" s="67" t="s">
        <v>226</v>
      </c>
      <c r="C232" s="67" t="s">
        <v>233</v>
      </c>
      <c r="D232" s="70">
        <f>62.8/3.1416</f>
        <v>19.98981411</v>
      </c>
      <c r="E232" s="67">
        <v>1.0</v>
      </c>
      <c r="F232" s="67">
        <v>0.0</v>
      </c>
      <c r="G232" s="85">
        <v>0.0</v>
      </c>
      <c r="H232" s="85">
        <v>0.0</v>
      </c>
      <c r="I232" s="69"/>
      <c r="J232" s="70"/>
      <c r="K232" s="83"/>
      <c r="L232" s="70"/>
    </row>
    <row r="233">
      <c r="A233" s="62" t="s">
        <v>287</v>
      </c>
      <c r="B233" s="67" t="s">
        <v>226</v>
      </c>
      <c r="C233" s="67" t="s">
        <v>233</v>
      </c>
      <c r="D233" s="70">
        <f>97.2/3.1416</f>
        <v>30.93964859</v>
      </c>
      <c r="E233" s="67">
        <v>1.0</v>
      </c>
      <c r="F233" s="67">
        <v>0.0</v>
      </c>
      <c r="G233" s="85">
        <v>0.0</v>
      </c>
      <c r="H233" s="85">
        <v>0.0</v>
      </c>
      <c r="I233" s="69"/>
      <c r="J233" s="70"/>
      <c r="K233" s="83"/>
      <c r="L233" s="70"/>
    </row>
    <row r="234">
      <c r="A234" s="96" t="s">
        <v>287</v>
      </c>
      <c r="B234" s="72" t="s">
        <v>226</v>
      </c>
      <c r="C234" s="72" t="s">
        <v>233</v>
      </c>
      <c r="D234" s="75">
        <f>87/3.1416</f>
        <v>27.69289534</v>
      </c>
      <c r="E234" s="72">
        <v>1.0</v>
      </c>
      <c r="F234" s="72">
        <v>0.0</v>
      </c>
      <c r="G234" s="86">
        <v>0.0</v>
      </c>
      <c r="H234" s="86">
        <v>0.0</v>
      </c>
      <c r="I234" s="74"/>
      <c r="J234" s="75"/>
      <c r="K234" s="79"/>
      <c r="L234" s="70"/>
    </row>
    <row r="235">
      <c r="A235" s="90" t="s">
        <v>288</v>
      </c>
      <c r="B235" s="63" t="s">
        <v>218</v>
      </c>
      <c r="C235" s="63" t="s">
        <v>233</v>
      </c>
      <c r="D235" s="80">
        <f>52.5/3.1416</f>
        <v>16.71122995</v>
      </c>
      <c r="E235" s="63">
        <v>2.0</v>
      </c>
      <c r="F235" s="63">
        <v>0.0</v>
      </c>
      <c r="G235" s="84">
        <v>0.0</v>
      </c>
      <c r="H235" s="84">
        <v>0.0</v>
      </c>
      <c r="I235" s="81"/>
      <c r="J235" s="80"/>
      <c r="K235" s="82"/>
      <c r="L235" s="70"/>
    </row>
    <row r="236">
      <c r="A236" s="62" t="s">
        <v>288</v>
      </c>
      <c r="B236" s="67" t="s">
        <v>218</v>
      </c>
      <c r="C236" s="67" t="s">
        <v>233</v>
      </c>
      <c r="D236" s="70">
        <f>48.5/3.1416</f>
        <v>15.43799338</v>
      </c>
      <c r="E236" s="67">
        <v>2.0</v>
      </c>
      <c r="F236" s="67">
        <v>0.0</v>
      </c>
      <c r="G236" s="85">
        <v>0.0</v>
      </c>
      <c r="H236" s="85">
        <v>0.0</v>
      </c>
      <c r="I236" s="69"/>
      <c r="J236" s="70"/>
      <c r="K236" s="83"/>
      <c r="L236" s="70"/>
    </row>
    <row r="237">
      <c r="A237" s="62" t="s">
        <v>288</v>
      </c>
      <c r="B237" s="67" t="s">
        <v>218</v>
      </c>
      <c r="C237" s="67" t="s">
        <v>233</v>
      </c>
      <c r="D237" s="70">
        <f>48.8/3.1416</f>
        <v>15.53348612</v>
      </c>
      <c r="E237" s="67">
        <v>1.0</v>
      </c>
      <c r="F237" s="67">
        <v>0.0</v>
      </c>
      <c r="G237" s="85">
        <v>0.0</v>
      </c>
      <c r="H237" s="85">
        <v>0.0</v>
      </c>
      <c r="I237" s="69"/>
      <c r="J237" s="70"/>
      <c r="K237" s="83"/>
      <c r="L237" s="70"/>
    </row>
    <row r="238">
      <c r="A238" s="62" t="s">
        <v>288</v>
      </c>
      <c r="B238" s="67" t="s">
        <v>221</v>
      </c>
      <c r="C238" s="67" t="s">
        <v>233</v>
      </c>
      <c r="D238" s="70">
        <f>105.7/3.1416</f>
        <v>33.64527629</v>
      </c>
      <c r="E238" s="67">
        <v>1.0</v>
      </c>
      <c r="F238" s="67">
        <v>0.0</v>
      </c>
      <c r="G238" s="85">
        <v>0.0</v>
      </c>
      <c r="H238" s="85">
        <v>0.0</v>
      </c>
      <c r="I238" s="69"/>
      <c r="J238" s="70"/>
      <c r="K238" s="83"/>
      <c r="L238" s="70"/>
    </row>
    <row r="239">
      <c r="A239" s="62" t="s">
        <v>288</v>
      </c>
      <c r="B239" s="67" t="s">
        <v>225</v>
      </c>
      <c r="C239" s="67" t="s">
        <v>233</v>
      </c>
      <c r="D239" s="70">
        <f>48/3.1416</f>
        <v>15.27883881</v>
      </c>
      <c r="E239" s="67">
        <v>2.0</v>
      </c>
      <c r="F239" s="67">
        <v>0.0</v>
      </c>
      <c r="G239" s="85">
        <v>0.0</v>
      </c>
      <c r="H239" s="85">
        <v>0.0</v>
      </c>
      <c r="I239" s="69"/>
      <c r="J239" s="70"/>
      <c r="K239" s="83"/>
      <c r="L239" s="70"/>
    </row>
    <row r="240">
      <c r="A240" s="62" t="s">
        <v>288</v>
      </c>
      <c r="B240" s="67" t="s">
        <v>225</v>
      </c>
      <c r="C240" s="67" t="s">
        <v>233</v>
      </c>
      <c r="D240" s="70">
        <f>42/3.1416</f>
        <v>13.36898396</v>
      </c>
      <c r="E240" s="67">
        <v>1.0</v>
      </c>
      <c r="F240" s="67">
        <v>0.0</v>
      </c>
      <c r="G240" s="85">
        <v>0.0</v>
      </c>
      <c r="H240" s="85">
        <v>0.0</v>
      </c>
      <c r="I240" s="69"/>
      <c r="J240" s="70"/>
      <c r="K240" s="83"/>
      <c r="L240" s="70"/>
    </row>
    <row r="241">
      <c r="A241" s="62" t="s">
        <v>288</v>
      </c>
      <c r="B241" s="67" t="s">
        <v>225</v>
      </c>
      <c r="C241" s="67" t="s">
        <v>233</v>
      </c>
      <c r="D241" s="70">
        <f>48/3.1416</f>
        <v>15.27883881</v>
      </c>
      <c r="E241" s="67">
        <v>1.0</v>
      </c>
      <c r="F241" s="67">
        <v>0.0</v>
      </c>
      <c r="G241" s="85">
        <v>0.0</v>
      </c>
      <c r="H241" s="85">
        <v>0.0</v>
      </c>
      <c r="I241" s="69"/>
      <c r="J241" s="70"/>
      <c r="K241" s="83"/>
      <c r="L241" s="70"/>
    </row>
    <row r="242">
      <c r="A242" s="62" t="s">
        <v>288</v>
      </c>
      <c r="B242" s="67" t="s">
        <v>226</v>
      </c>
      <c r="C242" s="67" t="s">
        <v>233</v>
      </c>
      <c r="D242" s="70">
        <f>57.8/3.1416</f>
        <v>18.3982684</v>
      </c>
      <c r="E242" s="67">
        <v>1.0</v>
      </c>
      <c r="F242" s="67">
        <v>0.0</v>
      </c>
      <c r="G242" s="85">
        <v>0.0</v>
      </c>
      <c r="H242" s="85">
        <v>0.0</v>
      </c>
      <c r="I242" s="69"/>
      <c r="J242" s="70"/>
      <c r="K242" s="83"/>
      <c r="L242" s="70"/>
    </row>
    <row r="243">
      <c r="A243" s="62" t="s">
        <v>288</v>
      </c>
      <c r="B243" s="67" t="s">
        <v>226</v>
      </c>
      <c r="C243" s="67" t="s">
        <v>233</v>
      </c>
      <c r="D243" s="70">
        <f>43/3.1416</f>
        <v>13.6872931</v>
      </c>
      <c r="E243" s="67">
        <v>1.0</v>
      </c>
      <c r="F243" s="67">
        <v>0.0</v>
      </c>
      <c r="G243" s="85">
        <v>0.0</v>
      </c>
      <c r="H243" s="85">
        <v>0.0</v>
      </c>
      <c r="I243" s="69"/>
      <c r="J243" s="70"/>
      <c r="K243" s="83"/>
      <c r="L243" s="70"/>
    </row>
    <row r="244">
      <c r="A244" s="96" t="s">
        <v>288</v>
      </c>
      <c r="B244" s="72" t="s">
        <v>226</v>
      </c>
      <c r="C244" s="72" t="s">
        <v>233</v>
      </c>
      <c r="D244" s="75">
        <f>50.6/3.1416</f>
        <v>16.10644258</v>
      </c>
      <c r="E244" s="72">
        <v>1.0</v>
      </c>
      <c r="F244" s="72">
        <v>0.0</v>
      </c>
      <c r="G244" s="86">
        <v>0.0</v>
      </c>
      <c r="H244" s="86">
        <v>0.0</v>
      </c>
      <c r="I244" s="74"/>
      <c r="J244" s="75"/>
      <c r="K244" s="79"/>
      <c r="L244" s="70"/>
    </row>
    <row r="245">
      <c r="A245" s="90" t="s">
        <v>289</v>
      </c>
      <c r="B245" s="63" t="s">
        <v>218</v>
      </c>
      <c r="C245" s="63" t="s">
        <v>233</v>
      </c>
      <c r="D245" s="80">
        <f>87.8/3.1416</f>
        <v>27.94754265</v>
      </c>
      <c r="E245" s="63">
        <v>1.0</v>
      </c>
      <c r="F245" s="63">
        <v>0.0</v>
      </c>
      <c r="G245" s="84">
        <v>0.0</v>
      </c>
      <c r="H245" s="84">
        <v>0.0</v>
      </c>
      <c r="I245" s="60">
        <v>21.0</v>
      </c>
      <c r="J245" s="63">
        <v>213.0</v>
      </c>
      <c r="K245" s="84" t="s">
        <v>290</v>
      </c>
      <c r="L245" s="70"/>
    </row>
    <row r="246">
      <c r="A246" s="62" t="s">
        <v>289</v>
      </c>
      <c r="B246" s="67" t="s">
        <v>218</v>
      </c>
      <c r="C246" s="67" t="s">
        <v>233</v>
      </c>
      <c r="D246" s="70">
        <f>76/3.1416</f>
        <v>24.19149478</v>
      </c>
      <c r="E246" s="67">
        <v>1.0</v>
      </c>
      <c r="F246" s="67">
        <v>0.0</v>
      </c>
      <c r="G246" s="85">
        <v>0.0</v>
      </c>
      <c r="H246" s="85">
        <v>0.0</v>
      </c>
      <c r="I246" s="69"/>
      <c r="J246" s="70"/>
      <c r="K246" s="83"/>
      <c r="L246" s="70"/>
    </row>
    <row r="247">
      <c r="A247" s="62" t="s">
        <v>289</v>
      </c>
      <c r="B247" s="67" t="s">
        <v>218</v>
      </c>
      <c r="C247" s="67" t="s">
        <v>233</v>
      </c>
      <c r="D247" s="70">
        <f>48.8/3.1416</f>
        <v>15.53348612</v>
      </c>
      <c r="E247" s="67">
        <v>1.0</v>
      </c>
      <c r="F247" s="67">
        <v>0.0</v>
      </c>
      <c r="G247" s="85">
        <v>0.0</v>
      </c>
      <c r="H247" s="85">
        <v>0.0</v>
      </c>
      <c r="I247" s="69"/>
      <c r="J247" s="70"/>
      <c r="K247" s="83"/>
      <c r="L247" s="70"/>
    </row>
    <row r="248">
      <c r="A248" s="62" t="s">
        <v>289</v>
      </c>
      <c r="B248" s="67" t="s">
        <v>221</v>
      </c>
      <c r="C248" s="67" t="s">
        <v>233</v>
      </c>
      <c r="D248" s="70">
        <f>71.9/3.1416</f>
        <v>22.8864273</v>
      </c>
      <c r="E248" s="67">
        <v>2.0</v>
      </c>
      <c r="F248" s="67">
        <v>0.0</v>
      </c>
      <c r="G248" s="85">
        <v>0.0</v>
      </c>
      <c r="H248" s="85">
        <v>0.0</v>
      </c>
      <c r="I248" s="69"/>
      <c r="J248" s="70"/>
      <c r="K248" s="83"/>
      <c r="L248" s="70"/>
    </row>
    <row r="249">
      <c r="A249" s="62" t="s">
        <v>289</v>
      </c>
      <c r="B249" s="67" t="s">
        <v>221</v>
      </c>
      <c r="C249" s="67" t="s">
        <v>233</v>
      </c>
      <c r="D249" s="67">
        <v>96.5</v>
      </c>
      <c r="E249" s="67">
        <v>1.0</v>
      </c>
      <c r="F249" s="67">
        <v>0.0</v>
      </c>
      <c r="G249" s="85">
        <v>0.0</v>
      </c>
      <c r="H249" s="85">
        <v>0.0</v>
      </c>
      <c r="I249" s="69"/>
      <c r="J249" s="70"/>
      <c r="K249" s="83"/>
      <c r="L249" s="70"/>
    </row>
    <row r="250">
      <c r="A250" s="62" t="s">
        <v>289</v>
      </c>
      <c r="B250" s="67" t="s">
        <v>221</v>
      </c>
      <c r="C250" s="67" t="s">
        <v>233</v>
      </c>
      <c r="D250" s="70">
        <f>104/3.1416</f>
        <v>33.10415075</v>
      </c>
      <c r="E250" s="67">
        <v>1.0</v>
      </c>
      <c r="F250" s="67">
        <v>0.0</v>
      </c>
      <c r="G250" s="85">
        <v>0.0</v>
      </c>
      <c r="H250" s="85">
        <v>0.0</v>
      </c>
      <c r="I250" s="69"/>
      <c r="J250" s="70"/>
      <c r="K250" s="83"/>
      <c r="L250" s="70"/>
    </row>
    <row r="251">
      <c r="A251" s="62" t="s">
        <v>289</v>
      </c>
      <c r="B251" s="67" t="s">
        <v>225</v>
      </c>
      <c r="C251" s="67" t="s">
        <v>233</v>
      </c>
      <c r="D251" s="70">
        <f>70.4/3.1416</f>
        <v>22.40896359</v>
      </c>
      <c r="E251" s="67">
        <v>3.0</v>
      </c>
      <c r="F251" s="67">
        <v>0.0</v>
      </c>
      <c r="G251" s="85">
        <v>0.0</v>
      </c>
      <c r="H251" s="85">
        <v>0.0</v>
      </c>
      <c r="I251" s="69"/>
      <c r="J251" s="70"/>
      <c r="K251" s="83"/>
      <c r="L251" s="70"/>
    </row>
    <row r="252">
      <c r="A252" s="62" t="s">
        <v>289</v>
      </c>
      <c r="B252" s="67" t="s">
        <v>225</v>
      </c>
      <c r="C252" s="67" t="s">
        <v>233</v>
      </c>
      <c r="D252" s="70">
        <f>70.9/3.1416</f>
        <v>22.56811816</v>
      </c>
      <c r="E252" s="67">
        <v>1.0</v>
      </c>
      <c r="F252" s="67">
        <v>0.0</v>
      </c>
      <c r="G252" s="85">
        <v>0.0</v>
      </c>
      <c r="H252" s="85">
        <v>0.0</v>
      </c>
      <c r="I252" s="69"/>
      <c r="J252" s="70"/>
      <c r="K252" s="83"/>
      <c r="L252" s="70"/>
    </row>
    <row r="253">
      <c r="A253" s="62" t="s">
        <v>289</v>
      </c>
      <c r="B253" s="67" t="s">
        <v>225</v>
      </c>
      <c r="C253" s="67" t="s">
        <v>233</v>
      </c>
      <c r="D253" s="70">
        <f>72/3.1416</f>
        <v>22.91825821</v>
      </c>
      <c r="E253" s="67">
        <v>2.0</v>
      </c>
      <c r="F253" s="67">
        <v>0.0</v>
      </c>
      <c r="G253" s="85">
        <v>0.0</v>
      </c>
      <c r="H253" s="85">
        <v>0.0</v>
      </c>
      <c r="I253" s="69"/>
      <c r="J253" s="70"/>
      <c r="K253" s="83"/>
      <c r="L253" s="70"/>
    </row>
    <row r="254">
      <c r="A254" s="62" t="s">
        <v>289</v>
      </c>
      <c r="B254" s="67" t="s">
        <v>226</v>
      </c>
      <c r="C254" s="67" t="s">
        <v>233</v>
      </c>
      <c r="D254" s="70">
        <f>52.4/3.1416</f>
        <v>16.67939903</v>
      </c>
      <c r="E254" s="67">
        <v>3.0</v>
      </c>
      <c r="F254" s="67">
        <v>0.0</v>
      </c>
      <c r="G254" s="85">
        <v>0.0</v>
      </c>
      <c r="H254" s="85">
        <v>0.0</v>
      </c>
      <c r="I254" s="69"/>
      <c r="J254" s="70"/>
      <c r="K254" s="83"/>
      <c r="L254" s="70"/>
    </row>
    <row r="255">
      <c r="A255" s="96" t="s">
        <v>289</v>
      </c>
      <c r="B255" s="72" t="s">
        <v>226</v>
      </c>
      <c r="C255" s="72" t="s">
        <v>233</v>
      </c>
      <c r="D255" s="75">
        <f>68/3.1416</f>
        <v>21.64502165</v>
      </c>
      <c r="E255" s="72">
        <v>3.0</v>
      </c>
      <c r="F255" s="72">
        <v>0.0</v>
      </c>
      <c r="G255" s="86">
        <v>0.0</v>
      </c>
      <c r="H255" s="86">
        <v>0.0</v>
      </c>
      <c r="I255" s="74"/>
      <c r="J255" s="75"/>
      <c r="K255" s="79"/>
      <c r="L255" s="70"/>
    </row>
    <row r="256">
      <c r="A256" s="90" t="s">
        <v>291</v>
      </c>
      <c r="B256" s="63" t="s">
        <v>218</v>
      </c>
      <c r="C256" s="63" t="s">
        <v>233</v>
      </c>
      <c r="D256" s="80">
        <f>56.3/3.1416</f>
        <v>17.92080469</v>
      </c>
      <c r="E256" s="63">
        <v>1.0</v>
      </c>
      <c r="F256" s="63">
        <v>0.0</v>
      </c>
      <c r="G256" s="84">
        <v>0.0</v>
      </c>
      <c r="H256" s="84">
        <v>0.0</v>
      </c>
      <c r="I256" s="60">
        <v>15.3</v>
      </c>
      <c r="J256" s="63">
        <v>48.0</v>
      </c>
      <c r="K256" s="84">
        <v>0.0</v>
      </c>
      <c r="L256" s="70"/>
    </row>
    <row r="257">
      <c r="A257" s="62" t="s">
        <v>291</v>
      </c>
      <c r="B257" s="67" t="s">
        <v>218</v>
      </c>
      <c r="C257" s="67" t="s">
        <v>233</v>
      </c>
      <c r="D257" s="70">
        <f>49/3.1416</f>
        <v>15.59714795</v>
      </c>
      <c r="E257" s="67">
        <v>1.0</v>
      </c>
      <c r="F257" s="67">
        <v>0.0</v>
      </c>
      <c r="G257" s="85">
        <v>0.0</v>
      </c>
      <c r="H257" s="85">
        <v>0.0</v>
      </c>
      <c r="I257" s="69"/>
      <c r="J257" s="70"/>
      <c r="K257" s="83"/>
      <c r="L257" s="70"/>
    </row>
    <row r="258">
      <c r="A258" s="62" t="s">
        <v>291</v>
      </c>
      <c r="B258" s="67" t="s">
        <v>218</v>
      </c>
      <c r="C258" s="67" t="s">
        <v>233</v>
      </c>
      <c r="D258" s="70">
        <f>56.2/3.1416</f>
        <v>17.88897377</v>
      </c>
      <c r="E258" s="67">
        <v>2.0</v>
      </c>
      <c r="F258" s="67">
        <v>0.0</v>
      </c>
      <c r="G258" s="85">
        <v>0.0</v>
      </c>
      <c r="H258" s="85">
        <v>0.0</v>
      </c>
      <c r="I258" s="69"/>
      <c r="J258" s="70"/>
      <c r="K258" s="83"/>
      <c r="L258" s="70"/>
    </row>
    <row r="259">
      <c r="A259" s="62" t="s">
        <v>291</v>
      </c>
      <c r="B259" s="67" t="s">
        <v>221</v>
      </c>
      <c r="C259" s="67" t="s">
        <v>233</v>
      </c>
      <c r="D259" s="70">
        <f>55/3.1416</f>
        <v>17.5070028</v>
      </c>
      <c r="E259" s="67">
        <v>1.0</v>
      </c>
      <c r="F259" s="67">
        <v>0.0</v>
      </c>
      <c r="G259" s="85">
        <v>0.0</v>
      </c>
      <c r="H259" s="85">
        <v>0.0</v>
      </c>
      <c r="I259" s="69"/>
      <c r="J259" s="70"/>
      <c r="K259" s="83"/>
      <c r="L259" s="70"/>
    </row>
    <row r="260">
      <c r="A260" s="62" t="s">
        <v>291</v>
      </c>
      <c r="B260" s="67" t="s">
        <v>221</v>
      </c>
      <c r="C260" s="67" t="s">
        <v>233</v>
      </c>
      <c r="D260" s="70">
        <f>65.2/3.1416</f>
        <v>20.75375605</v>
      </c>
      <c r="E260" s="67">
        <v>2.0</v>
      </c>
      <c r="F260" s="67">
        <v>0.0</v>
      </c>
      <c r="G260" s="85">
        <v>0.0</v>
      </c>
      <c r="H260" s="85">
        <v>0.0</v>
      </c>
      <c r="I260" s="69"/>
      <c r="J260" s="70"/>
      <c r="K260" s="83"/>
      <c r="L260" s="70"/>
    </row>
    <row r="261">
      <c r="A261" s="62" t="s">
        <v>291</v>
      </c>
      <c r="B261" s="67" t="s">
        <v>221</v>
      </c>
      <c r="C261" s="67" t="s">
        <v>233</v>
      </c>
      <c r="D261" s="70">
        <f>57.4/3.1416</f>
        <v>18.27094474</v>
      </c>
      <c r="E261" s="67">
        <v>2.0</v>
      </c>
      <c r="F261" s="67">
        <v>0.0</v>
      </c>
      <c r="G261" s="85">
        <v>0.0</v>
      </c>
      <c r="H261" s="85">
        <v>0.0</v>
      </c>
      <c r="I261" s="69"/>
      <c r="J261" s="70"/>
      <c r="K261" s="83"/>
      <c r="L261" s="70"/>
    </row>
    <row r="262">
      <c r="A262" s="62" t="s">
        <v>291</v>
      </c>
      <c r="B262" s="67" t="s">
        <v>225</v>
      </c>
      <c r="C262" s="67" t="s">
        <v>233</v>
      </c>
      <c r="D262" s="70">
        <f>51/3.1416</f>
        <v>16.23376623</v>
      </c>
      <c r="E262" s="67">
        <v>2.0</v>
      </c>
      <c r="F262" s="67">
        <v>0.0</v>
      </c>
      <c r="G262" s="85">
        <v>0.0</v>
      </c>
      <c r="H262" s="85">
        <v>0.0</v>
      </c>
      <c r="I262" s="69"/>
      <c r="J262" s="70"/>
      <c r="K262" s="83"/>
      <c r="L262" s="70"/>
    </row>
    <row r="263">
      <c r="A263" s="62" t="s">
        <v>291</v>
      </c>
      <c r="B263" s="67" t="s">
        <v>225</v>
      </c>
      <c r="C263" s="67" t="s">
        <v>233</v>
      </c>
      <c r="D263" s="67">
        <v>30.0</v>
      </c>
      <c r="E263" s="67">
        <v>1.0</v>
      </c>
      <c r="F263" s="67">
        <v>0.0</v>
      </c>
      <c r="G263" s="85">
        <v>0.0</v>
      </c>
      <c r="H263" s="85">
        <v>0.0</v>
      </c>
      <c r="I263" s="69"/>
      <c r="J263" s="70"/>
      <c r="K263" s="83"/>
      <c r="L263" s="70"/>
    </row>
    <row r="264">
      <c r="A264" s="62" t="s">
        <v>291</v>
      </c>
      <c r="B264" s="67" t="s">
        <v>225</v>
      </c>
      <c r="C264" s="67" t="s">
        <v>233</v>
      </c>
      <c r="D264" s="67">
        <v>19.0</v>
      </c>
      <c r="E264" s="67">
        <v>1.0</v>
      </c>
      <c r="F264" s="67">
        <v>0.0</v>
      </c>
      <c r="G264" s="85">
        <v>0.0</v>
      </c>
      <c r="H264" s="85">
        <v>0.0</v>
      </c>
      <c r="I264" s="69"/>
      <c r="J264" s="70"/>
      <c r="K264" s="83"/>
      <c r="L264" s="70"/>
    </row>
    <row r="265">
      <c r="A265" s="62" t="s">
        <v>291</v>
      </c>
      <c r="B265" s="67" t="s">
        <v>226</v>
      </c>
      <c r="C265" s="67" t="s">
        <v>233</v>
      </c>
      <c r="D265" s="70">
        <f>65/3.1416</f>
        <v>20.69009422</v>
      </c>
      <c r="E265" s="67">
        <v>2.0</v>
      </c>
      <c r="F265" s="67">
        <v>0.0</v>
      </c>
      <c r="G265" s="85">
        <v>0.0</v>
      </c>
      <c r="H265" s="85">
        <v>0.0</v>
      </c>
      <c r="I265" s="69"/>
      <c r="J265" s="70"/>
      <c r="K265" s="83"/>
      <c r="L265" s="70"/>
    </row>
    <row r="266">
      <c r="A266" s="62" t="s">
        <v>291</v>
      </c>
      <c r="B266" s="67" t="s">
        <v>226</v>
      </c>
      <c r="C266" s="67" t="s">
        <v>233</v>
      </c>
      <c r="D266" s="70">
        <f>97/3.1416</f>
        <v>30.87598676</v>
      </c>
      <c r="E266" s="67">
        <v>2.0</v>
      </c>
      <c r="F266" s="67">
        <v>0.0</v>
      </c>
      <c r="G266" s="85">
        <v>0.0</v>
      </c>
      <c r="H266" s="85">
        <v>0.0</v>
      </c>
      <c r="I266" s="69"/>
      <c r="J266" s="70"/>
      <c r="K266" s="83"/>
      <c r="L266" s="70"/>
    </row>
    <row r="267">
      <c r="A267" s="96" t="s">
        <v>291</v>
      </c>
      <c r="B267" s="72" t="s">
        <v>226</v>
      </c>
      <c r="C267" s="72" t="s">
        <v>233</v>
      </c>
      <c r="D267" s="75">
        <f>58.3/3.1416</f>
        <v>18.55742297</v>
      </c>
      <c r="E267" s="72">
        <v>2.0</v>
      </c>
      <c r="F267" s="72">
        <v>0.0</v>
      </c>
      <c r="G267" s="86">
        <v>0.0</v>
      </c>
      <c r="H267" s="86">
        <v>0.0</v>
      </c>
      <c r="I267" s="74"/>
      <c r="J267" s="75"/>
      <c r="K267" s="79"/>
      <c r="L267" s="70"/>
    </row>
    <row r="268">
      <c r="A268" s="97" t="s">
        <v>292</v>
      </c>
      <c r="B268" s="98" t="s">
        <v>221</v>
      </c>
      <c r="C268" s="98" t="s">
        <v>233</v>
      </c>
      <c r="D268" s="98">
        <v>110.0</v>
      </c>
      <c r="E268" s="98">
        <v>3.0</v>
      </c>
      <c r="F268" s="98">
        <v>0.0</v>
      </c>
      <c r="G268" s="99">
        <v>0.0</v>
      </c>
      <c r="H268" s="99">
        <v>0.0</v>
      </c>
      <c r="I268" s="100"/>
      <c r="J268" s="101"/>
      <c r="K268" s="102"/>
      <c r="L268" s="70"/>
    </row>
    <row r="269">
      <c r="A269" s="90" t="s">
        <v>293</v>
      </c>
      <c r="B269" s="63" t="s">
        <v>221</v>
      </c>
      <c r="C269" s="63" t="s">
        <v>233</v>
      </c>
      <c r="D269" s="80">
        <f>54/3.1416</f>
        <v>17.18869366</v>
      </c>
      <c r="E269" s="63">
        <v>1.0</v>
      </c>
      <c r="F269" s="63">
        <v>0.0</v>
      </c>
      <c r="G269" s="84">
        <v>0.0</v>
      </c>
      <c r="H269" s="84">
        <v>0.0</v>
      </c>
      <c r="I269" s="81"/>
      <c r="J269" s="80"/>
      <c r="K269" s="82"/>
      <c r="L269" s="70"/>
    </row>
    <row r="270">
      <c r="A270" s="62" t="s">
        <v>293</v>
      </c>
      <c r="B270" s="67" t="s">
        <v>221</v>
      </c>
      <c r="C270" s="67" t="s">
        <v>233</v>
      </c>
      <c r="D270" s="67">
        <v>22.0</v>
      </c>
      <c r="E270" s="67">
        <v>1.0</v>
      </c>
      <c r="F270" s="67">
        <v>0.0</v>
      </c>
      <c r="G270" s="85">
        <v>0.0</v>
      </c>
      <c r="H270" s="85">
        <v>0.0</v>
      </c>
      <c r="I270" s="69"/>
      <c r="J270" s="70"/>
      <c r="K270" s="83"/>
      <c r="L270" s="70"/>
    </row>
    <row r="271">
      <c r="A271" s="62" t="s">
        <v>293</v>
      </c>
      <c r="B271" s="67" t="s">
        <v>221</v>
      </c>
      <c r="C271" s="67" t="s">
        <v>233</v>
      </c>
      <c r="D271" s="70">
        <f>46/3.1416</f>
        <v>14.64222052</v>
      </c>
      <c r="E271" s="67">
        <v>1.0</v>
      </c>
      <c r="F271" s="67">
        <v>0.0</v>
      </c>
      <c r="G271" s="85">
        <v>0.0</v>
      </c>
      <c r="H271" s="85">
        <v>0.0</v>
      </c>
      <c r="I271" s="69"/>
      <c r="J271" s="70"/>
      <c r="K271" s="83"/>
      <c r="L271" s="70"/>
    </row>
    <row r="272">
      <c r="A272" s="62" t="s">
        <v>293</v>
      </c>
      <c r="B272" s="67" t="s">
        <v>225</v>
      </c>
      <c r="C272" s="67" t="s">
        <v>233</v>
      </c>
      <c r="D272" s="70">
        <f>62.7/3.1416</f>
        <v>19.95798319</v>
      </c>
      <c r="E272" s="67">
        <v>2.0</v>
      </c>
      <c r="F272" s="67">
        <v>0.0</v>
      </c>
      <c r="G272" s="85">
        <v>0.0</v>
      </c>
      <c r="H272" s="85">
        <v>0.0</v>
      </c>
      <c r="I272" s="69"/>
      <c r="J272" s="70"/>
      <c r="K272" s="83"/>
      <c r="L272" s="70"/>
    </row>
    <row r="273">
      <c r="A273" s="62" t="s">
        <v>293</v>
      </c>
      <c r="B273" s="67" t="s">
        <v>225</v>
      </c>
      <c r="C273" s="67" t="s">
        <v>233</v>
      </c>
      <c r="D273" s="70">
        <f>59/3.1416</f>
        <v>18.78023937</v>
      </c>
      <c r="E273" s="67">
        <v>2.0</v>
      </c>
      <c r="F273" s="67">
        <v>0.0</v>
      </c>
      <c r="G273" s="85">
        <v>0.0</v>
      </c>
      <c r="H273" s="85">
        <v>0.0</v>
      </c>
      <c r="I273" s="69"/>
      <c r="J273" s="70"/>
      <c r="K273" s="83"/>
      <c r="L273" s="70"/>
    </row>
    <row r="274">
      <c r="A274" s="62" t="s">
        <v>293</v>
      </c>
      <c r="B274" s="67" t="s">
        <v>226</v>
      </c>
      <c r="C274" s="67" t="s">
        <v>233</v>
      </c>
      <c r="D274" s="70">
        <f>94.9/3.1416</f>
        <v>30.20753756</v>
      </c>
      <c r="E274" s="67">
        <v>2.0</v>
      </c>
      <c r="F274" s="67">
        <v>0.0</v>
      </c>
      <c r="G274" s="85">
        <v>0.0</v>
      </c>
      <c r="H274" s="85">
        <v>0.0</v>
      </c>
      <c r="I274" s="69"/>
      <c r="J274" s="70"/>
      <c r="K274" s="83"/>
      <c r="L274" s="70"/>
    </row>
    <row r="275">
      <c r="A275" s="96" t="s">
        <v>293</v>
      </c>
      <c r="B275" s="72" t="s">
        <v>226</v>
      </c>
      <c r="C275" s="72" t="s">
        <v>233</v>
      </c>
      <c r="D275" s="75">
        <f>107/3.1416</f>
        <v>34.05907818</v>
      </c>
      <c r="E275" s="72">
        <v>2.0</v>
      </c>
      <c r="F275" s="72">
        <v>0.0</v>
      </c>
      <c r="G275" s="86">
        <v>0.0</v>
      </c>
      <c r="H275" s="86">
        <v>0.0</v>
      </c>
      <c r="I275" s="74"/>
      <c r="J275" s="75"/>
      <c r="K275" s="79"/>
      <c r="L275" s="70"/>
    </row>
    <row r="276">
      <c r="A276" s="103" t="s">
        <v>294</v>
      </c>
      <c r="B276" s="98" t="s">
        <v>218</v>
      </c>
      <c r="C276" s="98" t="s">
        <v>233</v>
      </c>
      <c r="D276" s="101">
        <f>53.5/3.1416</f>
        <v>17.02953909</v>
      </c>
      <c r="E276" s="98">
        <v>1.0</v>
      </c>
      <c r="F276" s="98">
        <v>0.0</v>
      </c>
      <c r="G276" s="99">
        <v>0.0</v>
      </c>
      <c r="H276" s="99">
        <v>0.0</v>
      </c>
      <c r="I276" s="100"/>
      <c r="J276" s="101"/>
      <c r="K276" s="102"/>
      <c r="L276" s="70"/>
    </row>
    <row r="277">
      <c r="A277" s="90" t="s">
        <v>295</v>
      </c>
      <c r="B277" s="63" t="s">
        <v>218</v>
      </c>
      <c r="C277" s="63" t="s">
        <v>233</v>
      </c>
      <c r="D277" s="80">
        <f>72/3.1416</f>
        <v>22.91825821</v>
      </c>
      <c r="E277" s="63">
        <v>2.0</v>
      </c>
      <c r="F277" s="63">
        <v>0.0</v>
      </c>
      <c r="G277" s="84">
        <v>0.0</v>
      </c>
      <c r="H277" s="84">
        <v>0.0</v>
      </c>
      <c r="I277" s="81"/>
      <c r="J277" s="80"/>
      <c r="K277" s="82"/>
      <c r="L277" s="70"/>
    </row>
    <row r="278">
      <c r="A278" s="62" t="s">
        <v>295</v>
      </c>
      <c r="B278" s="67" t="s">
        <v>218</v>
      </c>
      <c r="C278" s="67" t="s">
        <v>233</v>
      </c>
      <c r="D278" s="70">
        <f>60.2/3.1416</f>
        <v>19.16221034</v>
      </c>
      <c r="E278" s="67">
        <v>1.0</v>
      </c>
      <c r="F278" s="67">
        <v>0.0</v>
      </c>
      <c r="G278" s="85">
        <v>0.0</v>
      </c>
      <c r="H278" s="85">
        <v>0.0</v>
      </c>
      <c r="I278" s="69"/>
      <c r="J278" s="70"/>
      <c r="K278" s="83"/>
      <c r="L278" s="70"/>
    </row>
    <row r="279">
      <c r="A279" s="62" t="s">
        <v>295</v>
      </c>
      <c r="B279" s="67" t="s">
        <v>218</v>
      </c>
      <c r="C279" s="67" t="s">
        <v>233</v>
      </c>
      <c r="D279" s="70">
        <f>56.2/3.1416</f>
        <v>17.88897377</v>
      </c>
      <c r="E279" s="67">
        <v>1.0</v>
      </c>
      <c r="F279" s="67">
        <v>0.0</v>
      </c>
      <c r="G279" s="85">
        <v>0.0</v>
      </c>
      <c r="H279" s="85">
        <v>0.0</v>
      </c>
      <c r="I279" s="69"/>
      <c r="J279" s="70"/>
      <c r="K279" s="83"/>
      <c r="L279" s="70"/>
    </row>
    <row r="280">
      <c r="A280" s="62" t="s">
        <v>295</v>
      </c>
      <c r="B280" s="67" t="s">
        <v>221</v>
      </c>
      <c r="C280" s="67" t="s">
        <v>233</v>
      </c>
      <c r="D280" s="70">
        <f>45.5/3.1416</f>
        <v>14.48306595</v>
      </c>
      <c r="E280" s="67">
        <v>2.0</v>
      </c>
      <c r="F280" s="67">
        <v>0.0</v>
      </c>
      <c r="G280" s="85">
        <v>0.0</v>
      </c>
      <c r="H280" s="85">
        <v>0.0</v>
      </c>
      <c r="I280" s="69"/>
      <c r="J280" s="70"/>
      <c r="K280" s="83"/>
      <c r="L280" s="70"/>
    </row>
    <row r="281">
      <c r="A281" s="62" t="s">
        <v>295</v>
      </c>
      <c r="B281" s="67" t="s">
        <v>225</v>
      </c>
      <c r="C281" s="67" t="s">
        <v>233</v>
      </c>
      <c r="D281" s="70">
        <f>95.4/3.1416</f>
        <v>30.36669213</v>
      </c>
      <c r="E281" s="67">
        <v>2.0</v>
      </c>
      <c r="F281" s="67">
        <v>0.0</v>
      </c>
      <c r="G281" s="85">
        <v>0.0</v>
      </c>
      <c r="H281" s="85">
        <v>0.0</v>
      </c>
      <c r="I281" s="69"/>
      <c r="J281" s="70"/>
      <c r="K281" s="83"/>
      <c r="L281" s="70"/>
    </row>
    <row r="282">
      <c r="A282" s="62" t="s">
        <v>295</v>
      </c>
      <c r="B282" s="67" t="s">
        <v>225</v>
      </c>
      <c r="C282" s="67" t="s">
        <v>233</v>
      </c>
      <c r="D282" s="70">
        <f>80.5/3.1416</f>
        <v>25.62388592</v>
      </c>
      <c r="E282" s="67">
        <v>1.0</v>
      </c>
      <c r="F282" s="67">
        <v>0.0</v>
      </c>
      <c r="G282" s="85">
        <v>0.0</v>
      </c>
      <c r="H282" s="85">
        <v>0.0</v>
      </c>
      <c r="I282" s="69"/>
      <c r="J282" s="70"/>
      <c r="K282" s="83"/>
      <c r="L282" s="70"/>
    </row>
    <row r="283">
      <c r="A283" s="62" t="s">
        <v>295</v>
      </c>
      <c r="B283" s="67" t="s">
        <v>225</v>
      </c>
      <c r="C283" s="67" t="s">
        <v>233</v>
      </c>
      <c r="D283" s="70">
        <f>64.2/3.1416</f>
        <v>20.43544691</v>
      </c>
      <c r="E283" s="67">
        <v>1.0</v>
      </c>
      <c r="F283" s="67">
        <v>0.0</v>
      </c>
      <c r="G283" s="85">
        <v>0.0</v>
      </c>
      <c r="H283" s="85">
        <v>0.0</v>
      </c>
      <c r="I283" s="69"/>
      <c r="J283" s="70"/>
      <c r="K283" s="83"/>
      <c r="L283" s="70"/>
    </row>
    <row r="284">
      <c r="A284" s="62" t="s">
        <v>295</v>
      </c>
      <c r="B284" s="67" t="s">
        <v>226</v>
      </c>
      <c r="C284" s="67" t="s">
        <v>233</v>
      </c>
      <c r="D284" s="70">
        <f>77/3.1416</f>
        <v>24.50980392</v>
      </c>
      <c r="E284" s="67">
        <v>2.0</v>
      </c>
      <c r="F284" s="67">
        <v>0.0</v>
      </c>
      <c r="G284" s="85">
        <v>0.0</v>
      </c>
      <c r="H284" s="85">
        <v>0.0</v>
      </c>
      <c r="I284" s="69"/>
      <c r="J284" s="70"/>
      <c r="K284" s="83"/>
      <c r="L284" s="70"/>
    </row>
    <row r="285">
      <c r="A285" s="62" t="s">
        <v>295</v>
      </c>
      <c r="B285" s="67" t="s">
        <v>226</v>
      </c>
      <c r="C285" s="67" t="s">
        <v>233</v>
      </c>
      <c r="D285" s="70">
        <f>41/3.1416</f>
        <v>13.05067482</v>
      </c>
      <c r="E285" s="67">
        <v>2.0</v>
      </c>
      <c r="F285" s="67">
        <v>0.0</v>
      </c>
      <c r="G285" s="85">
        <v>0.0</v>
      </c>
      <c r="H285" s="85">
        <v>0.0</v>
      </c>
      <c r="I285" s="69"/>
      <c r="J285" s="70"/>
      <c r="K285" s="83"/>
      <c r="L285" s="70"/>
    </row>
    <row r="286">
      <c r="A286" s="96" t="s">
        <v>295</v>
      </c>
      <c r="B286" s="72" t="s">
        <v>226</v>
      </c>
      <c r="C286" s="72" t="s">
        <v>233</v>
      </c>
      <c r="D286" s="72">
        <v>15.5</v>
      </c>
      <c r="E286" s="72">
        <v>2.0</v>
      </c>
      <c r="F286" s="72">
        <v>0.0</v>
      </c>
      <c r="G286" s="86">
        <v>0.0</v>
      </c>
      <c r="H286" s="86">
        <v>0.0</v>
      </c>
      <c r="I286" s="74"/>
      <c r="J286" s="75"/>
      <c r="K286" s="79"/>
      <c r="L286" s="70"/>
    </row>
    <row r="287">
      <c r="A287" s="90" t="s">
        <v>296</v>
      </c>
      <c r="B287" s="63" t="s">
        <v>218</v>
      </c>
      <c r="C287" s="63" t="s">
        <v>233</v>
      </c>
      <c r="D287" s="80">
        <f>50/3.1416</f>
        <v>15.91545709</v>
      </c>
      <c r="E287" s="63">
        <v>2.0</v>
      </c>
      <c r="F287" s="63">
        <v>0.0</v>
      </c>
      <c r="G287" s="84">
        <v>0.0</v>
      </c>
      <c r="H287" s="84">
        <v>0.0</v>
      </c>
      <c r="I287" s="60">
        <v>13.0</v>
      </c>
      <c r="J287" s="63">
        <v>105.0</v>
      </c>
      <c r="K287" s="84">
        <v>0.0</v>
      </c>
      <c r="L287" s="70"/>
    </row>
    <row r="288">
      <c r="A288" s="62" t="s">
        <v>296</v>
      </c>
      <c r="B288" s="67" t="s">
        <v>218</v>
      </c>
      <c r="C288" s="67" t="s">
        <v>233</v>
      </c>
      <c r="D288" s="70">
        <f>102/3.1416</f>
        <v>32.46753247</v>
      </c>
      <c r="E288" s="67">
        <v>2.0</v>
      </c>
      <c r="F288" s="67">
        <v>0.0</v>
      </c>
      <c r="G288" s="85">
        <v>0.0</v>
      </c>
      <c r="H288" s="85">
        <v>0.0</v>
      </c>
      <c r="I288" s="69"/>
      <c r="J288" s="70"/>
      <c r="K288" s="83"/>
      <c r="L288" s="70"/>
    </row>
    <row r="289">
      <c r="A289" s="62" t="s">
        <v>296</v>
      </c>
      <c r="B289" s="67" t="s">
        <v>221</v>
      </c>
      <c r="C289" s="67" t="s">
        <v>233</v>
      </c>
      <c r="D289" s="70">
        <f>60/3.1416</f>
        <v>19.09854851</v>
      </c>
      <c r="E289" s="67">
        <v>2.0</v>
      </c>
      <c r="F289" s="67">
        <v>0.0</v>
      </c>
      <c r="G289" s="85">
        <v>0.0</v>
      </c>
      <c r="H289" s="85">
        <v>0.0</v>
      </c>
      <c r="I289" s="69"/>
      <c r="J289" s="70"/>
      <c r="K289" s="83"/>
      <c r="L289" s="70"/>
    </row>
    <row r="290">
      <c r="A290" s="62" t="s">
        <v>296</v>
      </c>
      <c r="B290" s="67" t="s">
        <v>221</v>
      </c>
      <c r="C290" s="67" t="s">
        <v>233</v>
      </c>
      <c r="D290" s="70">
        <f>44.2/3.1416</f>
        <v>14.06926407</v>
      </c>
      <c r="E290" s="67">
        <v>2.0</v>
      </c>
      <c r="F290" s="67">
        <v>0.0</v>
      </c>
      <c r="G290" s="85">
        <v>0.0</v>
      </c>
      <c r="H290" s="85">
        <v>0.0</v>
      </c>
      <c r="I290" s="69"/>
      <c r="J290" s="70"/>
      <c r="K290" s="83"/>
      <c r="L290" s="70"/>
    </row>
    <row r="291">
      <c r="A291" s="62" t="s">
        <v>296</v>
      </c>
      <c r="B291" s="67" t="s">
        <v>221</v>
      </c>
      <c r="C291" s="67" t="s">
        <v>233</v>
      </c>
      <c r="D291" s="70">
        <f>47.4/3.1416</f>
        <v>15.08785332</v>
      </c>
      <c r="E291" s="67">
        <v>2.0</v>
      </c>
      <c r="F291" s="67">
        <v>0.0</v>
      </c>
      <c r="G291" s="85">
        <v>0.0</v>
      </c>
      <c r="H291" s="85">
        <v>0.0</v>
      </c>
      <c r="I291" s="69"/>
      <c r="J291" s="70"/>
      <c r="K291" s="83"/>
      <c r="L291" s="70"/>
    </row>
    <row r="292">
      <c r="A292" s="62" t="s">
        <v>296</v>
      </c>
      <c r="B292" s="67" t="s">
        <v>225</v>
      </c>
      <c r="C292" s="67" t="s">
        <v>233</v>
      </c>
      <c r="D292" s="70">
        <f>57.4/3.1416</f>
        <v>18.27094474</v>
      </c>
      <c r="E292" s="67">
        <v>2.0</v>
      </c>
      <c r="F292" s="67">
        <v>0.0</v>
      </c>
      <c r="G292" s="85">
        <v>0.0</v>
      </c>
      <c r="H292" s="85">
        <v>0.0</v>
      </c>
      <c r="I292" s="69"/>
      <c r="J292" s="70"/>
      <c r="K292" s="83"/>
      <c r="L292" s="70"/>
    </row>
    <row r="293">
      <c r="A293" s="62" t="s">
        <v>296</v>
      </c>
      <c r="B293" s="67" t="s">
        <v>225</v>
      </c>
      <c r="C293" s="67" t="s">
        <v>233</v>
      </c>
      <c r="D293" s="70">
        <f>65</f>
        <v>65</v>
      </c>
      <c r="E293" s="67">
        <v>1.0</v>
      </c>
      <c r="F293" s="67">
        <v>0.0</v>
      </c>
      <c r="G293" s="85">
        <v>0.0</v>
      </c>
      <c r="H293" s="85">
        <v>0.0</v>
      </c>
      <c r="I293" s="69"/>
      <c r="J293" s="70"/>
      <c r="K293" s="83"/>
      <c r="L293" s="70"/>
    </row>
    <row r="294">
      <c r="A294" s="62" t="s">
        <v>296</v>
      </c>
      <c r="B294" s="67" t="s">
        <v>225</v>
      </c>
      <c r="C294" s="67" t="s">
        <v>233</v>
      </c>
      <c r="D294" s="70">
        <f>64/3.1416</f>
        <v>20.37178508</v>
      </c>
      <c r="E294" s="67">
        <v>2.0</v>
      </c>
      <c r="F294" s="67">
        <v>0.0</v>
      </c>
      <c r="G294" s="85">
        <v>0.0</v>
      </c>
      <c r="H294" s="85">
        <v>0.0</v>
      </c>
      <c r="I294" s="69"/>
      <c r="J294" s="70"/>
      <c r="K294" s="83"/>
      <c r="L294" s="70"/>
    </row>
    <row r="295">
      <c r="A295" s="62" t="s">
        <v>296</v>
      </c>
      <c r="B295" s="67" t="s">
        <v>226</v>
      </c>
      <c r="C295" s="67" t="s">
        <v>233</v>
      </c>
      <c r="D295" s="70">
        <f>50.5/3.1416</f>
        <v>16.07461166</v>
      </c>
      <c r="E295" s="67">
        <v>2.0</v>
      </c>
      <c r="F295" s="67">
        <v>0.0</v>
      </c>
      <c r="G295" s="85">
        <v>0.0</v>
      </c>
      <c r="H295" s="85">
        <v>0.0</v>
      </c>
      <c r="I295" s="69"/>
      <c r="J295" s="70"/>
      <c r="K295" s="83"/>
      <c r="L295" s="70"/>
    </row>
    <row r="296">
      <c r="A296" s="62" t="s">
        <v>296</v>
      </c>
      <c r="B296" s="67" t="s">
        <v>226</v>
      </c>
      <c r="C296" s="67" t="s">
        <v>233</v>
      </c>
      <c r="D296" s="70">
        <f>46/3.1416</f>
        <v>14.64222052</v>
      </c>
      <c r="E296" s="67">
        <v>1.0</v>
      </c>
      <c r="F296" s="67">
        <v>0.0</v>
      </c>
      <c r="G296" s="85">
        <v>0.0</v>
      </c>
      <c r="H296" s="85">
        <v>0.0</v>
      </c>
      <c r="I296" s="69"/>
      <c r="J296" s="70"/>
      <c r="K296" s="83"/>
      <c r="L296" s="70"/>
    </row>
    <row r="297">
      <c r="A297" s="96" t="s">
        <v>296</v>
      </c>
      <c r="B297" s="72" t="s">
        <v>226</v>
      </c>
      <c r="C297" s="72" t="s">
        <v>233</v>
      </c>
      <c r="D297" s="75">
        <f>71.7/3.1416</f>
        <v>22.82276547</v>
      </c>
      <c r="E297" s="72">
        <v>1.0</v>
      </c>
      <c r="F297" s="72">
        <v>0.0</v>
      </c>
      <c r="G297" s="86">
        <v>0.0</v>
      </c>
      <c r="H297" s="86">
        <v>0.0</v>
      </c>
      <c r="I297" s="74"/>
      <c r="J297" s="75"/>
      <c r="K297" s="79"/>
      <c r="L297" s="70"/>
    </row>
    <row r="298">
      <c r="A298" s="90" t="s">
        <v>297</v>
      </c>
      <c r="B298" s="63" t="s">
        <v>218</v>
      </c>
      <c r="C298" s="63" t="s">
        <v>233</v>
      </c>
      <c r="D298" s="63">
        <v>49.0</v>
      </c>
      <c r="E298" s="63">
        <v>1.0</v>
      </c>
      <c r="F298" s="63">
        <v>0.0</v>
      </c>
      <c r="G298" s="63">
        <v>0.0</v>
      </c>
      <c r="H298" s="63">
        <v>0.0</v>
      </c>
      <c r="I298" s="60">
        <v>35.0</v>
      </c>
      <c r="J298" s="63">
        <v>116.0</v>
      </c>
      <c r="K298" s="84">
        <v>0.0</v>
      </c>
      <c r="L298" s="70"/>
    </row>
    <row r="299">
      <c r="A299" s="62" t="s">
        <v>297</v>
      </c>
      <c r="B299" s="67" t="s">
        <v>225</v>
      </c>
      <c r="C299" s="67" t="s">
        <v>233</v>
      </c>
      <c r="D299" s="70">
        <f>108.2/3.1416</f>
        <v>34.44104915</v>
      </c>
      <c r="E299" s="67">
        <v>2.0</v>
      </c>
      <c r="F299" s="67">
        <v>0.0</v>
      </c>
      <c r="G299" s="67">
        <v>0.0</v>
      </c>
      <c r="H299" s="67">
        <v>0.0</v>
      </c>
      <c r="I299" s="69"/>
      <c r="J299" s="70"/>
      <c r="K299" s="83"/>
      <c r="L299" s="70"/>
    </row>
    <row r="300">
      <c r="A300" s="62" t="s">
        <v>297</v>
      </c>
      <c r="B300" s="67" t="s">
        <v>225</v>
      </c>
      <c r="C300" s="67" t="s">
        <v>233</v>
      </c>
      <c r="D300" s="70">
        <f>51</f>
        <v>51</v>
      </c>
      <c r="E300" s="67">
        <v>2.0</v>
      </c>
      <c r="F300" s="67">
        <v>0.0</v>
      </c>
      <c r="G300" s="67">
        <v>0.0</v>
      </c>
      <c r="H300" s="67">
        <v>0.0</v>
      </c>
      <c r="I300" s="69"/>
      <c r="J300" s="70"/>
      <c r="K300" s="83"/>
      <c r="L300" s="70"/>
    </row>
    <row r="301">
      <c r="A301" s="96" t="s">
        <v>297</v>
      </c>
      <c r="B301" s="72" t="s">
        <v>225</v>
      </c>
      <c r="C301" s="72" t="s">
        <v>233</v>
      </c>
      <c r="D301" s="75">
        <f>64.2/3.1416</f>
        <v>20.43544691</v>
      </c>
      <c r="E301" s="72">
        <v>1.0</v>
      </c>
      <c r="F301" s="72">
        <v>0.0</v>
      </c>
      <c r="G301" s="72">
        <v>0.0</v>
      </c>
      <c r="H301" s="72">
        <v>0.0</v>
      </c>
      <c r="I301" s="74"/>
      <c r="J301" s="75"/>
      <c r="K301" s="79"/>
      <c r="L301" s="70"/>
    </row>
    <row r="302">
      <c r="A302" s="90" t="s">
        <v>298</v>
      </c>
      <c r="B302" s="63" t="s">
        <v>221</v>
      </c>
      <c r="C302" s="63" t="s">
        <v>241</v>
      </c>
      <c r="D302" s="80">
        <f>60.2/3.1416</f>
        <v>19.16221034</v>
      </c>
      <c r="E302" s="63">
        <v>1.0</v>
      </c>
      <c r="F302" s="63">
        <v>0.0</v>
      </c>
      <c r="G302" s="63">
        <v>0.0</v>
      </c>
      <c r="H302" s="63">
        <v>0.0</v>
      </c>
      <c r="I302" s="81"/>
      <c r="J302" s="80"/>
      <c r="K302" s="82"/>
      <c r="L302" s="70"/>
    </row>
    <row r="303">
      <c r="A303" s="96" t="s">
        <v>298</v>
      </c>
      <c r="B303" s="72" t="s">
        <v>225</v>
      </c>
      <c r="C303" s="72" t="s">
        <v>233</v>
      </c>
      <c r="D303" s="75">
        <f>68/3.1416</f>
        <v>21.64502165</v>
      </c>
      <c r="E303" s="72">
        <v>1.0</v>
      </c>
      <c r="F303" s="72">
        <v>0.0</v>
      </c>
      <c r="G303" s="72">
        <v>0.0</v>
      </c>
      <c r="H303" s="72">
        <v>0.0</v>
      </c>
      <c r="I303" s="74"/>
      <c r="J303" s="75"/>
      <c r="K303" s="79"/>
      <c r="L303" s="70"/>
    </row>
    <row r="304">
      <c r="A304" s="90" t="s">
        <v>299</v>
      </c>
      <c r="B304" s="63" t="s">
        <v>218</v>
      </c>
      <c r="C304" s="63" t="s">
        <v>233</v>
      </c>
      <c r="D304" s="80">
        <f>45/3.1416</f>
        <v>14.32391138</v>
      </c>
      <c r="E304" s="63">
        <v>1.0</v>
      </c>
      <c r="F304" s="63">
        <v>0.0</v>
      </c>
      <c r="G304" s="63">
        <v>0.0</v>
      </c>
      <c r="H304" s="63">
        <v>0.0</v>
      </c>
      <c r="I304" s="81"/>
      <c r="J304" s="80"/>
      <c r="K304" s="82"/>
      <c r="L304" s="70"/>
    </row>
    <row r="305">
      <c r="A305" s="62" t="s">
        <v>299</v>
      </c>
      <c r="B305" s="67" t="s">
        <v>225</v>
      </c>
      <c r="C305" s="67" t="s">
        <v>233</v>
      </c>
      <c r="D305" s="70">
        <f>43/3.1416</f>
        <v>13.6872931</v>
      </c>
      <c r="E305" s="67">
        <v>1.0</v>
      </c>
      <c r="F305" s="67">
        <v>0.0</v>
      </c>
      <c r="G305" s="67">
        <v>0.0</v>
      </c>
      <c r="H305" s="67">
        <v>0.0</v>
      </c>
      <c r="I305" s="69"/>
      <c r="J305" s="70"/>
      <c r="K305" s="83"/>
      <c r="L305" s="70"/>
    </row>
    <row r="306">
      <c r="A306" s="96" t="s">
        <v>299</v>
      </c>
      <c r="B306" s="72" t="s">
        <v>226</v>
      </c>
      <c r="C306" s="72" t="s">
        <v>233</v>
      </c>
      <c r="D306" s="75">
        <f>55/3.1416</f>
        <v>17.5070028</v>
      </c>
      <c r="E306" s="72">
        <v>1.0</v>
      </c>
      <c r="F306" s="72">
        <v>0.0</v>
      </c>
      <c r="G306" s="72">
        <v>0.0</v>
      </c>
      <c r="H306" s="72">
        <v>0.0</v>
      </c>
      <c r="I306" s="74"/>
      <c r="J306" s="75"/>
      <c r="K306" s="79"/>
      <c r="L306" s="70"/>
    </row>
    <row r="307">
      <c r="A307" s="90" t="s">
        <v>300</v>
      </c>
      <c r="B307" s="63" t="s">
        <v>218</v>
      </c>
      <c r="C307" s="63" t="s">
        <v>233</v>
      </c>
      <c r="D307" s="63">
        <v>24.8</v>
      </c>
      <c r="E307" s="63">
        <v>1.0</v>
      </c>
      <c r="F307" s="63">
        <v>0.0</v>
      </c>
      <c r="G307" s="63">
        <v>2.0</v>
      </c>
      <c r="H307" s="63" t="s">
        <v>269</v>
      </c>
      <c r="I307" s="60">
        <v>7.5</v>
      </c>
      <c r="J307" s="63">
        <v>90.0</v>
      </c>
      <c r="K307" s="84">
        <v>0.0</v>
      </c>
      <c r="L307" s="70"/>
    </row>
    <row r="308">
      <c r="A308" s="62" t="s">
        <v>300</v>
      </c>
      <c r="B308" s="67" t="s">
        <v>221</v>
      </c>
      <c r="C308" s="67" t="s">
        <v>233</v>
      </c>
      <c r="D308" s="67">
        <v>109.5</v>
      </c>
      <c r="E308" s="67">
        <v>2.0</v>
      </c>
      <c r="F308" s="67">
        <v>0.0</v>
      </c>
      <c r="G308" s="67">
        <v>5.0</v>
      </c>
      <c r="H308" s="67" t="s">
        <v>301</v>
      </c>
      <c r="I308" s="69"/>
      <c r="J308" s="70"/>
      <c r="K308" s="83"/>
      <c r="L308" s="70"/>
    </row>
    <row r="309">
      <c r="A309" s="62" t="s">
        <v>300</v>
      </c>
      <c r="B309" s="67" t="s">
        <v>225</v>
      </c>
      <c r="C309" s="67" t="s">
        <v>302</v>
      </c>
      <c r="D309" s="70">
        <f>71.5/3.1416</f>
        <v>22.75910364</v>
      </c>
      <c r="E309" s="67">
        <v>1.0</v>
      </c>
      <c r="F309" s="67">
        <v>0.0</v>
      </c>
      <c r="G309" s="67">
        <v>1.0</v>
      </c>
      <c r="H309" s="67">
        <v>1.0</v>
      </c>
      <c r="I309" s="69"/>
      <c r="J309" s="70"/>
      <c r="K309" s="83"/>
      <c r="L309" s="70"/>
    </row>
    <row r="310">
      <c r="A310" s="96" t="s">
        <v>300</v>
      </c>
      <c r="B310" s="72" t="s">
        <v>226</v>
      </c>
      <c r="C310" s="72" t="s">
        <v>302</v>
      </c>
      <c r="D310" s="75">
        <f>69</f>
        <v>69</v>
      </c>
      <c r="E310" s="72">
        <v>1.0</v>
      </c>
      <c r="F310" s="72">
        <v>0.0</v>
      </c>
      <c r="G310" s="72">
        <v>1.0</v>
      </c>
      <c r="H310" s="72">
        <v>1.0</v>
      </c>
      <c r="I310" s="74"/>
      <c r="J310" s="75"/>
      <c r="K310" s="79"/>
      <c r="L310" s="70"/>
    </row>
    <row r="311">
      <c r="A311" s="90" t="s">
        <v>303</v>
      </c>
      <c r="B311" s="63" t="s">
        <v>218</v>
      </c>
      <c r="C311" s="63" t="s">
        <v>233</v>
      </c>
      <c r="D311" s="63">
        <v>18.0</v>
      </c>
      <c r="E311" s="63">
        <v>1.0</v>
      </c>
      <c r="F311" s="63">
        <v>0.0</v>
      </c>
      <c r="G311" s="63">
        <v>0.0</v>
      </c>
      <c r="H311" s="63">
        <v>0.0</v>
      </c>
      <c r="I311" s="81"/>
      <c r="J311" s="80"/>
      <c r="K311" s="82"/>
      <c r="L311" s="70"/>
    </row>
    <row r="312">
      <c r="A312" s="62" t="s">
        <v>303</v>
      </c>
      <c r="B312" s="67" t="s">
        <v>225</v>
      </c>
      <c r="C312" s="67" t="s">
        <v>233</v>
      </c>
      <c r="D312" s="70">
        <f>145/3.1416</f>
        <v>46.15482557</v>
      </c>
      <c r="E312" s="67">
        <v>2.0</v>
      </c>
      <c r="F312" s="67">
        <v>0.0</v>
      </c>
      <c r="G312" s="67">
        <v>0.0</v>
      </c>
      <c r="H312" s="67">
        <v>0.0</v>
      </c>
      <c r="I312" s="69"/>
      <c r="J312" s="70"/>
      <c r="K312" s="83"/>
      <c r="L312" s="70"/>
    </row>
    <row r="313">
      <c r="A313" s="62" t="s">
        <v>303</v>
      </c>
      <c r="B313" s="67" t="s">
        <v>226</v>
      </c>
      <c r="C313" s="67" t="s">
        <v>233</v>
      </c>
      <c r="D313" s="70">
        <f>47/3.1416</f>
        <v>14.96052967</v>
      </c>
      <c r="E313" s="67">
        <v>1.0</v>
      </c>
      <c r="F313" s="67">
        <v>0.0</v>
      </c>
      <c r="G313" s="67">
        <v>0.0</v>
      </c>
      <c r="H313" s="67">
        <v>0.0</v>
      </c>
      <c r="I313" s="69"/>
      <c r="J313" s="70"/>
      <c r="K313" s="83"/>
      <c r="L313" s="70"/>
    </row>
    <row r="314">
      <c r="A314" s="62" t="s">
        <v>303</v>
      </c>
      <c r="B314" s="67" t="s">
        <v>226</v>
      </c>
      <c r="C314" s="67" t="s">
        <v>233</v>
      </c>
      <c r="D314" s="70">
        <f>60/3.1416</f>
        <v>19.09854851</v>
      </c>
      <c r="E314" s="67">
        <v>1.0</v>
      </c>
      <c r="F314" s="67">
        <v>0.0</v>
      </c>
      <c r="G314" s="67">
        <v>0.0</v>
      </c>
      <c r="H314" s="67">
        <v>0.0</v>
      </c>
      <c r="I314" s="69"/>
      <c r="J314" s="70"/>
      <c r="K314" s="83"/>
      <c r="L314" s="70"/>
    </row>
    <row r="315">
      <c r="A315" s="96" t="s">
        <v>303</v>
      </c>
      <c r="B315" s="72" t="s">
        <v>226</v>
      </c>
      <c r="C315" s="72" t="s">
        <v>233</v>
      </c>
      <c r="D315" s="75">
        <f>54.2/3.1416</f>
        <v>17.25235549</v>
      </c>
      <c r="E315" s="72">
        <v>2.0</v>
      </c>
      <c r="F315" s="72">
        <v>0.0</v>
      </c>
      <c r="G315" s="72">
        <v>0.0</v>
      </c>
      <c r="H315" s="72">
        <v>0.0</v>
      </c>
      <c r="I315" s="74"/>
      <c r="J315" s="75"/>
      <c r="K315" s="79"/>
      <c r="L315" s="70"/>
    </row>
    <row r="316">
      <c r="A316" s="90" t="s">
        <v>304</v>
      </c>
      <c r="B316" s="63" t="s">
        <v>218</v>
      </c>
      <c r="C316" s="63" t="s">
        <v>233</v>
      </c>
      <c r="D316" s="80">
        <f>63.5/3.1416</f>
        <v>20.21263051</v>
      </c>
      <c r="E316" s="63">
        <v>1.0</v>
      </c>
      <c r="F316" s="63">
        <v>0.0</v>
      </c>
      <c r="G316" s="63">
        <v>0.0</v>
      </c>
      <c r="H316" s="63">
        <v>0.0</v>
      </c>
      <c r="I316" s="81"/>
      <c r="J316" s="80"/>
      <c r="K316" s="82"/>
      <c r="L316" s="70"/>
    </row>
    <row r="317">
      <c r="A317" s="62" t="s">
        <v>304</v>
      </c>
      <c r="B317" s="67" t="s">
        <v>226</v>
      </c>
      <c r="C317" s="67" t="s">
        <v>233</v>
      </c>
      <c r="D317" s="70">
        <f>42/3.1416</f>
        <v>13.36898396</v>
      </c>
      <c r="E317" s="67">
        <v>2.0</v>
      </c>
      <c r="F317" s="67">
        <v>0.0</v>
      </c>
      <c r="G317" s="67">
        <v>0.0</v>
      </c>
      <c r="H317" s="67">
        <v>0.0</v>
      </c>
      <c r="I317" s="69"/>
      <c r="J317" s="70"/>
      <c r="K317" s="83"/>
      <c r="L317" s="70"/>
    </row>
    <row r="318">
      <c r="A318" s="62" t="s">
        <v>304</v>
      </c>
      <c r="B318" s="67" t="s">
        <v>221</v>
      </c>
      <c r="C318" s="67" t="s">
        <v>233</v>
      </c>
      <c r="D318" s="70">
        <f>61/3.1416</f>
        <v>19.41685765</v>
      </c>
      <c r="E318" s="67">
        <v>1.0</v>
      </c>
      <c r="F318" s="67">
        <v>0.0</v>
      </c>
      <c r="G318" s="67">
        <v>0.0</v>
      </c>
      <c r="H318" s="67">
        <v>0.0</v>
      </c>
      <c r="I318" s="69"/>
      <c r="J318" s="70"/>
      <c r="K318" s="83"/>
      <c r="L318" s="70"/>
    </row>
    <row r="319">
      <c r="A319" s="62" t="s">
        <v>304</v>
      </c>
      <c r="B319" s="67" t="s">
        <v>221</v>
      </c>
      <c r="C319" s="67" t="s">
        <v>233</v>
      </c>
      <c r="D319" s="70">
        <f>144/3.1416</f>
        <v>45.83651642</v>
      </c>
      <c r="E319" s="67">
        <v>1.0</v>
      </c>
      <c r="F319" s="67">
        <v>0.0</v>
      </c>
      <c r="G319" s="67">
        <v>0.0</v>
      </c>
      <c r="H319" s="67">
        <v>0.0</v>
      </c>
      <c r="I319" s="69"/>
      <c r="J319" s="70"/>
      <c r="K319" s="83"/>
      <c r="L319" s="70"/>
    </row>
    <row r="320">
      <c r="A320" s="62" t="s">
        <v>304</v>
      </c>
      <c r="B320" s="67" t="s">
        <v>225</v>
      </c>
      <c r="C320" s="67" t="s">
        <v>233</v>
      </c>
      <c r="D320" s="70">
        <f>73/3.1416</f>
        <v>23.23656735</v>
      </c>
      <c r="E320" s="67">
        <v>2.0</v>
      </c>
      <c r="F320" s="67">
        <v>0.0</v>
      </c>
      <c r="G320" s="67">
        <v>0.0</v>
      </c>
      <c r="H320" s="67">
        <v>0.0</v>
      </c>
      <c r="I320" s="69"/>
      <c r="J320" s="70"/>
      <c r="K320" s="83"/>
      <c r="L320" s="70"/>
    </row>
    <row r="321">
      <c r="A321" s="62" t="s">
        <v>304</v>
      </c>
      <c r="B321" s="67" t="s">
        <v>225</v>
      </c>
      <c r="C321" s="67" t="s">
        <v>233</v>
      </c>
      <c r="D321" s="70">
        <f>67.3/3.1416</f>
        <v>21.42220525</v>
      </c>
      <c r="E321" s="67">
        <v>2.0</v>
      </c>
      <c r="F321" s="67">
        <v>0.0</v>
      </c>
      <c r="G321" s="67">
        <v>0.0</v>
      </c>
      <c r="H321" s="67">
        <v>0.0</v>
      </c>
      <c r="I321" s="69"/>
      <c r="J321" s="70"/>
      <c r="K321" s="83"/>
      <c r="L321" s="70"/>
    </row>
    <row r="322">
      <c r="A322" s="96" t="s">
        <v>304</v>
      </c>
      <c r="B322" s="72" t="s">
        <v>225</v>
      </c>
      <c r="C322" s="72" t="s">
        <v>233</v>
      </c>
      <c r="D322" s="75">
        <f>55.4/3.1416</f>
        <v>17.63432646</v>
      </c>
      <c r="E322" s="72">
        <v>2.0</v>
      </c>
      <c r="F322" s="72">
        <v>0.0</v>
      </c>
      <c r="G322" s="72">
        <v>0.0</v>
      </c>
      <c r="H322" s="72">
        <v>0.0</v>
      </c>
      <c r="I322" s="74"/>
      <c r="J322" s="75"/>
      <c r="K322" s="79"/>
      <c r="L322" s="70"/>
    </row>
    <row r="323">
      <c r="A323" s="90" t="s">
        <v>305</v>
      </c>
      <c r="B323" s="63" t="s">
        <v>218</v>
      </c>
      <c r="C323" s="63" t="s">
        <v>233</v>
      </c>
      <c r="D323" s="80">
        <f>59</f>
        <v>59</v>
      </c>
      <c r="E323" s="63">
        <v>2.0</v>
      </c>
      <c r="F323" s="63">
        <v>1.0</v>
      </c>
      <c r="G323" s="63">
        <v>0.0</v>
      </c>
      <c r="H323" s="63">
        <v>0.0</v>
      </c>
      <c r="I323" s="81"/>
      <c r="J323" s="80"/>
      <c r="K323" s="82"/>
      <c r="L323" s="70"/>
    </row>
    <row r="324">
      <c r="A324" s="62" t="s">
        <v>305</v>
      </c>
      <c r="B324" s="67" t="s">
        <v>218</v>
      </c>
      <c r="C324" s="67" t="s">
        <v>241</v>
      </c>
      <c r="D324" s="67">
        <v>55.0</v>
      </c>
      <c r="E324" s="67">
        <v>2.0</v>
      </c>
      <c r="F324" s="67">
        <v>1.0</v>
      </c>
      <c r="G324" s="67">
        <v>1.0</v>
      </c>
      <c r="H324" s="67" t="s">
        <v>270</v>
      </c>
      <c r="I324" s="69"/>
      <c r="J324" s="70"/>
      <c r="K324" s="83"/>
      <c r="L324" s="70"/>
    </row>
    <row r="325">
      <c r="A325" s="62" t="s">
        <v>305</v>
      </c>
      <c r="B325" s="67" t="s">
        <v>225</v>
      </c>
      <c r="C325" s="67" t="s">
        <v>233</v>
      </c>
      <c r="D325" s="70">
        <f>40/3.1416</f>
        <v>12.73236567</v>
      </c>
      <c r="E325" s="67">
        <v>1.0</v>
      </c>
      <c r="F325" s="67">
        <v>0.0</v>
      </c>
      <c r="G325" s="67">
        <v>0.0</v>
      </c>
      <c r="H325" s="67">
        <v>0.0</v>
      </c>
      <c r="I325" s="69"/>
      <c r="J325" s="70"/>
      <c r="K325" s="83"/>
      <c r="L325" s="70"/>
    </row>
    <row r="326">
      <c r="A326" s="62" t="s">
        <v>305</v>
      </c>
      <c r="B326" s="67" t="s">
        <v>225</v>
      </c>
      <c r="C326" s="67" t="s">
        <v>233</v>
      </c>
      <c r="D326" s="70">
        <f>24</f>
        <v>24</v>
      </c>
      <c r="E326" s="67">
        <v>2.0</v>
      </c>
      <c r="F326" s="67">
        <v>0.0</v>
      </c>
      <c r="G326" s="67">
        <v>0.0</v>
      </c>
      <c r="H326" s="67">
        <v>0.0</v>
      </c>
      <c r="I326" s="69"/>
      <c r="J326" s="70"/>
      <c r="K326" s="83"/>
      <c r="L326" s="70"/>
    </row>
    <row r="327">
      <c r="A327" s="62" t="s">
        <v>305</v>
      </c>
      <c r="B327" s="67" t="s">
        <v>225</v>
      </c>
      <c r="C327" s="67" t="s">
        <v>233</v>
      </c>
      <c r="D327" s="67">
        <v>24.5</v>
      </c>
      <c r="E327" s="67">
        <v>2.0</v>
      </c>
      <c r="F327" s="67">
        <v>0.0</v>
      </c>
      <c r="G327" s="67">
        <v>0.0</v>
      </c>
      <c r="H327" s="67">
        <v>0.0</v>
      </c>
      <c r="I327" s="69"/>
      <c r="J327" s="70"/>
      <c r="K327" s="83"/>
      <c r="L327" s="70"/>
    </row>
    <row r="328">
      <c r="A328" s="96" t="s">
        <v>305</v>
      </c>
      <c r="B328" s="72" t="s">
        <v>225</v>
      </c>
      <c r="C328" s="72" t="s">
        <v>233</v>
      </c>
      <c r="D328" s="72">
        <v>28.0</v>
      </c>
      <c r="E328" s="72">
        <v>1.0</v>
      </c>
      <c r="F328" s="72">
        <v>0.0</v>
      </c>
      <c r="G328" s="72">
        <v>0.0</v>
      </c>
      <c r="H328" s="72">
        <v>0.0</v>
      </c>
      <c r="I328" s="74"/>
      <c r="J328" s="75"/>
      <c r="K328" s="79"/>
      <c r="L328" s="70"/>
    </row>
    <row r="329">
      <c r="A329" s="103" t="s">
        <v>306</v>
      </c>
      <c r="B329" s="98" t="s">
        <v>221</v>
      </c>
      <c r="C329" s="98" t="s">
        <v>233</v>
      </c>
      <c r="D329" s="101">
        <f>108.6/3.1416</f>
        <v>34.5683728</v>
      </c>
      <c r="E329" s="98">
        <v>2.0</v>
      </c>
      <c r="F329" s="98">
        <v>0.0</v>
      </c>
      <c r="G329" s="98">
        <v>0.0</v>
      </c>
      <c r="H329" s="98">
        <v>0.0</v>
      </c>
      <c r="I329" s="78">
        <v>48.0</v>
      </c>
      <c r="J329" s="98">
        <v>90.0</v>
      </c>
      <c r="K329" s="99">
        <v>1.0</v>
      </c>
      <c r="L329" s="67" t="s">
        <v>307</v>
      </c>
    </row>
    <row r="330">
      <c r="A330" s="90" t="s">
        <v>308</v>
      </c>
      <c r="B330" s="63" t="s">
        <v>225</v>
      </c>
      <c r="C330" s="63" t="s">
        <v>233</v>
      </c>
      <c r="D330" s="80">
        <f>67/3.1416</f>
        <v>21.3267125</v>
      </c>
      <c r="E330" s="63">
        <v>2.0</v>
      </c>
      <c r="F330" s="63">
        <v>0.0</v>
      </c>
      <c r="G330" s="63">
        <v>0.0</v>
      </c>
      <c r="H330" s="63">
        <v>0.0</v>
      </c>
      <c r="I330" s="60">
        <v>32.0</v>
      </c>
      <c r="J330" s="63">
        <v>1.2</v>
      </c>
      <c r="K330" s="84">
        <v>1.0</v>
      </c>
      <c r="L330" s="70"/>
    </row>
    <row r="331">
      <c r="A331" s="62" t="s">
        <v>308</v>
      </c>
      <c r="B331" s="67" t="s">
        <v>225</v>
      </c>
      <c r="C331" s="67" t="s">
        <v>233</v>
      </c>
      <c r="D331" s="70">
        <f>89/3.1416</f>
        <v>28.32951362</v>
      </c>
      <c r="E331" s="67">
        <v>2.0</v>
      </c>
      <c r="F331" s="67">
        <v>0.0</v>
      </c>
      <c r="G331" s="67">
        <v>0.0</v>
      </c>
      <c r="H331" s="67">
        <v>0.0</v>
      </c>
      <c r="I331" s="69"/>
      <c r="J331" s="70"/>
      <c r="K331" s="83"/>
      <c r="L331" s="70"/>
    </row>
    <row r="332">
      <c r="A332" s="62" t="s">
        <v>308</v>
      </c>
      <c r="B332" s="67" t="s">
        <v>225</v>
      </c>
      <c r="C332" s="67" t="s">
        <v>233</v>
      </c>
      <c r="D332" s="70">
        <f>45</f>
        <v>45</v>
      </c>
      <c r="E332" s="67">
        <v>2.0</v>
      </c>
      <c r="F332" s="67">
        <v>0.0</v>
      </c>
      <c r="G332" s="67">
        <v>0.0</v>
      </c>
      <c r="H332" s="67">
        <v>0.0</v>
      </c>
      <c r="I332" s="69"/>
      <c r="J332" s="70"/>
      <c r="K332" s="83"/>
      <c r="L332" s="70"/>
    </row>
    <row r="333">
      <c r="A333" s="62" t="s">
        <v>308</v>
      </c>
      <c r="B333" s="67" t="s">
        <v>226</v>
      </c>
      <c r="C333" s="67" t="s">
        <v>233</v>
      </c>
      <c r="D333" s="70">
        <f>116/3.1416</f>
        <v>36.92386045</v>
      </c>
      <c r="E333" s="67">
        <v>2.0</v>
      </c>
      <c r="F333" s="67">
        <v>0.0</v>
      </c>
      <c r="G333" s="67">
        <v>0.0</v>
      </c>
      <c r="H333" s="67">
        <v>0.0</v>
      </c>
      <c r="I333" s="69"/>
      <c r="J333" s="70"/>
      <c r="K333" s="83"/>
      <c r="L333" s="70"/>
    </row>
    <row r="334">
      <c r="A334" s="62" t="s">
        <v>308</v>
      </c>
      <c r="B334" s="67" t="s">
        <v>226</v>
      </c>
      <c r="C334" s="67" t="s">
        <v>233</v>
      </c>
      <c r="D334" s="70">
        <f>59</f>
        <v>59</v>
      </c>
      <c r="E334" s="67">
        <v>2.0</v>
      </c>
      <c r="F334" s="67">
        <v>0.0</v>
      </c>
      <c r="G334" s="67">
        <v>0.0</v>
      </c>
      <c r="H334" s="67">
        <v>0.0</v>
      </c>
      <c r="I334" s="69"/>
      <c r="J334" s="70"/>
      <c r="K334" s="83"/>
      <c r="L334" s="70"/>
    </row>
    <row r="335">
      <c r="A335" s="96" t="s">
        <v>308</v>
      </c>
      <c r="B335" s="72" t="s">
        <v>226</v>
      </c>
      <c r="C335" s="72" t="s">
        <v>233</v>
      </c>
      <c r="D335" s="75">
        <f>49/3.1416</f>
        <v>15.59714795</v>
      </c>
      <c r="E335" s="72">
        <v>2.0</v>
      </c>
      <c r="F335" s="72">
        <v>0.0</v>
      </c>
      <c r="G335" s="72">
        <v>0.0</v>
      </c>
      <c r="H335" s="72">
        <v>0.0</v>
      </c>
      <c r="I335" s="74"/>
      <c r="J335" s="75"/>
      <c r="K335" s="79"/>
      <c r="L335" s="70"/>
    </row>
    <row r="336">
      <c r="A336" s="90" t="s">
        <v>309</v>
      </c>
      <c r="B336" s="63" t="s">
        <v>218</v>
      </c>
      <c r="C336" s="63" t="s">
        <v>233</v>
      </c>
      <c r="D336" s="80">
        <f>48.8/3.1416</f>
        <v>15.53348612</v>
      </c>
      <c r="E336" s="63">
        <v>3.0</v>
      </c>
      <c r="F336" s="63">
        <v>0.0</v>
      </c>
      <c r="G336" s="63">
        <v>0.0</v>
      </c>
      <c r="H336" s="63">
        <v>0.0</v>
      </c>
      <c r="I336" s="81"/>
      <c r="J336" s="80"/>
      <c r="K336" s="82"/>
      <c r="L336" s="70"/>
    </row>
    <row r="337">
      <c r="A337" s="62" t="s">
        <v>309</v>
      </c>
      <c r="B337" s="67" t="s">
        <v>218</v>
      </c>
      <c r="C337" s="67" t="s">
        <v>233</v>
      </c>
      <c r="D337" s="70">
        <f>47.8/3.1416</f>
        <v>15.21517698</v>
      </c>
      <c r="E337" s="67">
        <v>2.0</v>
      </c>
      <c r="F337" s="67">
        <v>0.0</v>
      </c>
      <c r="G337" s="67">
        <v>0.0</v>
      </c>
      <c r="H337" s="67">
        <v>0.0</v>
      </c>
      <c r="I337" s="69"/>
      <c r="J337" s="70"/>
      <c r="K337" s="83"/>
      <c r="L337" s="70"/>
    </row>
    <row r="338">
      <c r="A338" s="62" t="s">
        <v>309</v>
      </c>
      <c r="B338" s="67" t="s">
        <v>218</v>
      </c>
      <c r="C338" s="67" t="s">
        <v>233</v>
      </c>
      <c r="D338" s="70">
        <f>64.2/3.1416</f>
        <v>20.43544691</v>
      </c>
      <c r="E338" s="67">
        <v>2.0</v>
      </c>
      <c r="F338" s="67">
        <v>0.0</v>
      </c>
      <c r="G338" s="67">
        <v>0.0</v>
      </c>
      <c r="H338" s="67">
        <v>0.0</v>
      </c>
      <c r="I338" s="69"/>
      <c r="J338" s="70"/>
      <c r="K338" s="83"/>
      <c r="L338" s="70"/>
    </row>
    <row r="339">
      <c r="A339" s="62" t="s">
        <v>309</v>
      </c>
      <c r="B339" s="67" t="s">
        <v>221</v>
      </c>
      <c r="C339" s="67" t="s">
        <v>233</v>
      </c>
      <c r="D339" s="70">
        <f>59</f>
        <v>59</v>
      </c>
      <c r="E339" s="67">
        <v>2.0</v>
      </c>
      <c r="F339" s="67">
        <v>0.0</v>
      </c>
      <c r="G339" s="67">
        <v>1.0</v>
      </c>
      <c r="H339" s="67" t="s">
        <v>270</v>
      </c>
      <c r="I339" s="69"/>
      <c r="J339" s="70"/>
      <c r="K339" s="83"/>
      <c r="L339" s="70"/>
    </row>
    <row r="340">
      <c r="A340" s="62" t="s">
        <v>309</v>
      </c>
      <c r="B340" s="67" t="s">
        <v>221</v>
      </c>
      <c r="C340" s="67" t="s">
        <v>233</v>
      </c>
      <c r="D340" s="70">
        <f>74/3.1416</f>
        <v>23.5548765</v>
      </c>
      <c r="E340" s="67">
        <v>2.0</v>
      </c>
      <c r="F340" s="67">
        <v>0.0</v>
      </c>
      <c r="G340" s="67">
        <v>0.0</v>
      </c>
      <c r="H340" s="67">
        <v>0.0</v>
      </c>
      <c r="I340" s="69"/>
      <c r="J340" s="70"/>
      <c r="K340" s="83"/>
      <c r="L340" s="70"/>
    </row>
    <row r="341">
      <c r="A341" s="62" t="s">
        <v>309</v>
      </c>
      <c r="B341" s="67" t="s">
        <v>221</v>
      </c>
      <c r="C341" s="67" t="s">
        <v>233</v>
      </c>
      <c r="D341" s="70">
        <f>63/3.1416</f>
        <v>20.05347594</v>
      </c>
      <c r="E341" s="67">
        <v>2.0</v>
      </c>
      <c r="F341" s="67">
        <v>0.0</v>
      </c>
      <c r="G341" s="67">
        <v>0.0</v>
      </c>
      <c r="H341" s="67">
        <v>0.0</v>
      </c>
      <c r="I341" s="69"/>
      <c r="J341" s="70"/>
      <c r="K341" s="83"/>
      <c r="L341" s="70"/>
    </row>
    <row r="342">
      <c r="A342" s="96" t="s">
        <v>309</v>
      </c>
      <c r="B342" s="72" t="s">
        <v>225</v>
      </c>
      <c r="C342" s="72" t="s">
        <v>233</v>
      </c>
      <c r="D342" s="75">
        <f>82/3.1416</f>
        <v>26.10134963</v>
      </c>
      <c r="E342" s="72">
        <v>1.0</v>
      </c>
      <c r="F342" s="72">
        <v>0.0</v>
      </c>
      <c r="G342" s="72">
        <v>0.0</v>
      </c>
      <c r="H342" s="72">
        <v>0.0</v>
      </c>
      <c r="I342" s="74"/>
      <c r="J342" s="75"/>
      <c r="K342" s="79"/>
      <c r="L342" s="70"/>
    </row>
    <row r="343">
      <c r="A343" s="90" t="s">
        <v>310</v>
      </c>
      <c r="B343" s="63" t="s">
        <v>218</v>
      </c>
      <c r="C343" s="63" t="s">
        <v>233</v>
      </c>
      <c r="D343" s="80">
        <f>40.5/3.1416</f>
        <v>12.89152024</v>
      </c>
      <c r="E343" s="63">
        <v>2.0</v>
      </c>
      <c r="F343" s="63">
        <v>0.0</v>
      </c>
      <c r="G343" s="63">
        <v>0.0</v>
      </c>
      <c r="H343" s="63">
        <v>0.0</v>
      </c>
      <c r="I343" s="81"/>
      <c r="J343" s="80"/>
      <c r="K343" s="82"/>
      <c r="L343" s="70"/>
    </row>
    <row r="344">
      <c r="A344" s="62" t="s">
        <v>310</v>
      </c>
      <c r="B344" s="67" t="s">
        <v>218</v>
      </c>
      <c r="C344" s="67" t="s">
        <v>233</v>
      </c>
      <c r="D344" s="70">
        <f>51</f>
        <v>51</v>
      </c>
      <c r="E344" s="67">
        <v>2.0</v>
      </c>
      <c r="F344" s="67">
        <v>0.0</v>
      </c>
      <c r="G344" s="67">
        <v>0.0</v>
      </c>
      <c r="H344" s="67">
        <v>0.0</v>
      </c>
      <c r="I344" s="69"/>
      <c r="J344" s="70"/>
      <c r="K344" s="83"/>
      <c r="L344" s="70"/>
    </row>
    <row r="345">
      <c r="A345" s="62" t="s">
        <v>310</v>
      </c>
      <c r="B345" s="67" t="s">
        <v>225</v>
      </c>
      <c r="C345" s="67" t="s">
        <v>233</v>
      </c>
      <c r="D345" s="70">
        <f>168/3.1416</f>
        <v>53.47593583</v>
      </c>
      <c r="E345" s="67">
        <v>2.0</v>
      </c>
      <c r="F345" s="67">
        <v>0.0</v>
      </c>
      <c r="G345" s="67">
        <v>0.0</v>
      </c>
      <c r="H345" s="67">
        <v>0.0</v>
      </c>
      <c r="I345" s="69"/>
      <c r="J345" s="70"/>
      <c r="K345" s="83"/>
      <c r="L345" s="70"/>
    </row>
    <row r="346">
      <c r="A346" s="62" t="s">
        <v>310</v>
      </c>
      <c r="B346" s="67" t="s">
        <v>225</v>
      </c>
      <c r="C346" s="67" t="s">
        <v>233</v>
      </c>
      <c r="D346" s="70">
        <f>82/3.1416</f>
        <v>26.10134963</v>
      </c>
      <c r="E346" s="67">
        <v>2.0</v>
      </c>
      <c r="F346" s="67">
        <v>0.0</v>
      </c>
      <c r="G346" s="67">
        <v>0.0</v>
      </c>
      <c r="H346" s="67">
        <v>0.0</v>
      </c>
      <c r="I346" s="69"/>
      <c r="J346" s="70"/>
      <c r="K346" s="83"/>
      <c r="L346" s="70"/>
    </row>
    <row r="347">
      <c r="A347" s="62" t="s">
        <v>310</v>
      </c>
      <c r="B347" s="67" t="s">
        <v>225</v>
      </c>
      <c r="C347" s="67" t="s">
        <v>233</v>
      </c>
      <c r="D347" s="67">
        <v>67.0</v>
      </c>
      <c r="E347" s="67">
        <v>2.0</v>
      </c>
      <c r="F347" s="67">
        <v>0.0</v>
      </c>
      <c r="G347" s="67">
        <v>0.0</v>
      </c>
      <c r="H347" s="67">
        <v>0.0</v>
      </c>
      <c r="I347" s="69"/>
      <c r="J347" s="70"/>
      <c r="K347" s="83"/>
      <c r="L347" s="70"/>
    </row>
    <row r="348">
      <c r="A348" s="96" t="s">
        <v>310</v>
      </c>
      <c r="B348" s="72" t="s">
        <v>226</v>
      </c>
      <c r="C348" s="72" t="s">
        <v>233</v>
      </c>
      <c r="D348" s="72">
        <v>60.0</v>
      </c>
      <c r="E348" s="72">
        <v>2.0</v>
      </c>
      <c r="F348" s="72">
        <v>0.0</v>
      </c>
      <c r="G348" s="72">
        <v>0.0</v>
      </c>
      <c r="H348" s="72">
        <v>0.0</v>
      </c>
      <c r="I348" s="74"/>
      <c r="J348" s="75"/>
      <c r="K348" s="79"/>
      <c r="L348" s="70"/>
    </row>
    <row r="349">
      <c r="A349" s="90" t="s">
        <v>311</v>
      </c>
      <c r="B349" s="63" t="s">
        <v>221</v>
      </c>
      <c r="C349" s="63" t="s">
        <v>233</v>
      </c>
      <c r="D349" s="80">
        <f>45/3.1416</f>
        <v>14.32391138</v>
      </c>
      <c r="E349" s="63">
        <v>2.0</v>
      </c>
      <c r="F349" s="63">
        <v>0.0</v>
      </c>
      <c r="G349" s="63">
        <v>0.0</v>
      </c>
      <c r="H349" s="63">
        <v>0.0</v>
      </c>
      <c r="I349" s="60">
        <v>58.0</v>
      </c>
      <c r="J349" s="63">
        <v>180.0</v>
      </c>
      <c r="K349" s="84" t="s">
        <v>312</v>
      </c>
      <c r="L349" s="70"/>
    </row>
    <row r="350">
      <c r="A350" s="62" t="s">
        <v>311</v>
      </c>
      <c r="B350" s="67" t="s">
        <v>225</v>
      </c>
      <c r="C350" s="67" t="s">
        <v>233</v>
      </c>
      <c r="D350" s="70">
        <f>17</f>
        <v>17</v>
      </c>
      <c r="E350" s="67">
        <v>2.0</v>
      </c>
      <c r="F350" s="67">
        <v>0.0</v>
      </c>
      <c r="G350" s="67">
        <v>0.0</v>
      </c>
      <c r="H350" s="67">
        <v>0.0</v>
      </c>
      <c r="I350" s="69"/>
      <c r="J350" s="70"/>
      <c r="K350" s="83"/>
      <c r="L350" s="70"/>
    </row>
    <row r="351">
      <c r="A351" s="62" t="s">
        <v>311</v>
      </c>
      <c r="B351" s="67" t="s">
        <v>225</v>
      </c>
      <c r="C351" s="67" t="s">
        <v>233</v>
      </c>
      <c r="D351" s="70">
        <f>80.5/3.1416</f>
        <v>25.62388592</v>
      </c>
      <c r="E351" s="67">
        <v>2.0</v>
      </c>
      <c r="F351" s="67">
        <v>0.0</v>
      </c>
      <c r="G351" s="67">
        <v>0.0</v>
      </c>
      <c r="H351" s="67">
        <v>0.0</v>
      </c>
      <c r="I351" s="69"/>
      <c r="J351" s="70"/>
      <c r="K351" s="83"/>
      <c r="L351" s="70"/>
    </row>
    <row r="352">
      <c r="A352" s="62" t="s">
        <v>311</v>
      </c>
      <c r="B352" s="67" t="s">
        <v>226</v>
      </c>
      <c r="C352" s="67" t="s">
        <v>233</v>
      </c>
      <c r="D352" s="70">
        <f>43.8/3.1416</f>
        <v>13.94194041</v>
      </c>
      <c r="E352" s="67">
        <v>2.0</v>
      </c>
      <c r="F352" s="67">
        <v>0.0</v>
      </c>
      <c r="G352" s="67">
        <v>0.0</v>
      </c>
      <c r="H352" s="67">
        <v>0.0</v>
      </c>
      <c r="I352" s="69"/>
      <c r="J352" s="70"/>
      <c r="K352" s="83"/>
      <c r="L352" s="70"/>
    </row>
    <row r="353">
      <c r="A353" s="62" t="s">
        <v>311</v>
      </c>
      <c r="B353" s="67" t="s">
        <v>226</v>
      </c>
      <c r="C353" s="67" t="s">
        <v>233</v>
      </c>
      <c r="D353" s="70">
        <f>40.5/3.1416</f>
        <v>12.89152024</v>
      </c>
      <c r="E353" s="67">
        <v>2.0</v>
      </c>
      <c r="F353" s="67">
        <v>0.0</v>
      </c>
      <c r="G353" s="67">
        <v>0.0</v>
      </c>
      <c r="H353" s="67">
        <v>0.0</v>
      </c>
      <c r="I353" s="69"/>
      <c r="J353" s="70"/>
      <c r="K353" s="83"/>
      <c r="L353" s="70"/>
    </row>
    <row r="354">
      <c r="A354" s="96" t="s">
        <v>311</v>
      </c>
      <c r="B354" s="72" t="s">
        <v>226</v>
      </c>
      <c r="C354" s="72" t="s">
        <v>233</v>
      </c>
      <c r="D354" s="75">
        <f>46/3.1416</f>
        <v>14.64222052</v>
      </c>
      <c r="E354" s="72">
        <v>2.0</v>
      </c>
      <c r="F354" s="72">
        <v>0.0</v>
      </c>
      <c r="G354" s="72">
        <v>0.0</v>
      </c>
      <c r="H354" s="72">
        <v>0.0</v>
      </c>
      <c r="I354" s="74"/>
      <c r="J354" s="75"/>
      <c r="K354" s="79"/>
      <c r="L354" s="70"/>
    </row>
    <row r="355">
      <c r="A355" s="103" t="s">
        <v>313</v>
      </c>
      <c r="B355" s="98" t="s">
        <v>225</v>
      </c>
      <c r="C355" s="98" t="s">
        <v>233</v>
      </c>
      <c r="D355" s="98">
        <v>76.0</v>
      </c>
      <c r="E355" s="98">
        <v>2.0</v>
      </c>
      <c r="F355" s="98">
        <v>0.0</v>
      </c>
      <c r="G355" s="98">
        <v>0.0</v>
      </c>
      <c r="H355" s="98">
        <v>0.0</v>
      </c>
      <c r="I355" s="100"/>
      <c r="J355" s="101"/>
      <c r="K355" s="102"/>
      <c r="L355" s="70"/>
    </row>
    <row r="356">
      <c r="A356" s="90" t="s">
        <v>314</v>
      </c>
      <c r="B356" s="63" t="s">
        <v>218</v>
      </c>
      <c r="C356" s="63" t="s">
        <v>233</v>
      </c>
      <c r="D356" s="80">
        <f>57/3.1416</f>
        <v>18.14362108</v>
      </c>
      <c r="E356" s="63">
        <v>2.0</v>
      </c>
      <c r="F356" s="63">
        <v>1.0</v>
      </c>
      <c r="G356" s="63">
        <v>0.0</v>
      </c>
      <c r="H356" s="63">
        <v>0.0</v>
      </c>
      <c r="I356" s="60">
        <v>38.0</v>
      </c>
      <c r="J356" s="63">
        <v>60.0</v>
      </c>
      <c r="K356" s="84">
        <v>3.0</v>
      </c>
      <c r="L356" s="70"/>
    </row>
    <row r="357">
      <c r="A357" s="62" t="s">
        <v>314</v>
      </c>
      <c r="B357" s="67" t="s">
        <v>221</v>
      </c>
      <c r="C357" s="67" t="s">
        <v>233</v>
      </c>
      <c r="D357" s="70">
        <f>96.8/3.1416</f>
        <v>30.81232493</v>
      </c>
      <c r="E357" s="67">
        <v>2.0</v>
      </c>
      <c r="F357" s="67">
        <v>0.0</v>
      </c>
      <c r="G357" s="67">
        <v>0.0</v>
      </c>
      <c r="H357" s="67">
        <v>0.0</v>
      </c>
      <c r="I357" s="61">
        <v>25.0</v>
      </c>
      <c r="J357" s="67">
        <v>43.0</v>
      </c>
      <c r="K357" s="85">
        <v>1.0</v>
      </c>
      <c r="L357" s="70"/>
    </row>
    <row r="358">
      <c r="A358" s="62" t="s">
        <v>314</v>
      </c>
      <c r="B358" s="67" t="s">
        <v>221</v>
      </c>
      <c r="C358" s="67" t="s">
        <v>233</v>
      </c>
      <c r="D358" s="70">
        <f>52.8/3.1416</f>
        <v>16.80672269</v>
      </c>
      <c r="E358" s="67">
        <v>2.0</v>
      </c>
      <c r="F358" s="67">
        <v>0.0</v>
      </c>
      <c r="G358" s="67">
        <v>0.0</v>
      </c>
      <c r="H358" s="67">
        <v>0.0</v>
      </c>
      <c r="I358" s="69"/>
      <c r="J358" s="70"/>
      <c r="K358" s="83"/>
      <c r="L358" s="70"/>
    </row>
    <row r="359">
      <c r="A359" s="62" t="s">
        <v>314</v>
      </c>
      <c r="B359" s="67" t="s">
        <v>221</v>
      </c>
      <c r="C359" s="67" t="s">
        <v>233</v>
      </c>
      <c r="D359" s="70">
        <f>47.7/3.1416</f>
        <v>15.18334607</v>
      </c>
      <c r="E359" s="67">
        <v>2.0</v>
      </c>
      <c r="F359" s="67">
        <v>0.0</v>
      </c>
      <c r="G359" s="67">
        <v>0.0</v>
      </c>
      <c r="H359" s="67">
        <v>0.0</v>
      </c>
      <c r="I359" s="69"/>
      <c r="J359" s="70"/>
      <c r="K359" s="83"/>
      <c r="L359" s="70"/>
    </row>
    <row r="360">
      <c r="A360" s="62" t="s">
        <v>314</v>
      </c>
      <c r="B360" s="67" t="s">
        <v>225</v>
      </c>
      <c r="C360" s="67" t="s">
        <v>233</v>
      </c>
      <c r="D360" s="70">
        <f>45.8/3.1416</f>
        <v>14.5785587</v>
      </c>
      <c r="E360" s="67">
        <v>1.0</v>
      </c>
      <c r="F360" s="67">
        <v>0.0</v>
      </c>
      <c r="G360" s="67">
        <v>0.0</v>
      </c>
      <c r="H360" s="67">
        <v>0.0</v>
      </c>
      <c r="I360" s="69"/>
      <c r="J360" s="70"/>
      <c r="K360" s="83"/>
      <c r="L360" s="70"/>
    </row>
    <row r="361">
      <c r="A361" s="62" t="s">
        <v>314</v>
      </c>
      <c r="B361" s="67" t="s">
        <v>225</v>
      </c>
      <c r="C361" s="67" t="s">
        <v>233</v>
      </c>
      <c r="D361" s="70">
        <f>49.5/3.1416</f>
        <v>15.75630252</v>
      </c>
      <c r="E361" s="67">
        <v>1.0</v>
      </c>
      <c r="F361" s="67">
        <v>0.0</v>
      </c>
      <c r="G361" s="67">
        <v>0.0</v>
      </c>
      <c r="H361" s="67">
        <v>0.0</v>
      </c>
      <c r="I361" s="69"/>
      <c r="J361" s="70"/>
      <c r="K361" s="83"/>
      <c r="L361" s="70"/>
    </row>
    <row r="362">
      <c r="A362" s="62" t="s">
        <v>314</v>
      </c>
      <c r="B362" s="67" t="s">
        <v>226</v>
      </c>
      <c r="C362" s="67" t="s">
        <v>233</v>
      </c>
      <c r="D362" s="70">
        <f>19</f>
        <v>19</v>
      </c>
      <c r="E362" s="67">
        <v>2.0</v>
      </c>
      <c r="F362" s="67">
        <v>0.0</v>
      </c>
      <c r="G362" s="67">
        <v>0.0</v>
      </c>
      <c r="H362" s="67">
        <v>0.0</v>
      </c>
      <c r="I362" s="69"/>
      <c r="J362" s="70"/>
      <c r="K362" s="83"/>
      <c r="L362" s="70"/>
    </row>
    <row r="363">
      <c r="A363" s="62" t="s">
        <v>314</v>
      </c>
      <c r="B363" s="67" t="s">
        <v>226</v>
      </c>
      <c r="C363" s="67" t="s">
        <v>233</v>
      </c>
      <c r="D363" s="70">
        <f>53/3.1416</f>
        <v>16.87038452</v>
      </c>
      <c r="E363" s="67">
        <v>2.0</v>
      </c>
      <c r="F363" s="67">
        <v>1.0</v>
      </c>
      <c r="G363" s="67">
        <v>0.0</v>
      </c>
      <c r="H363" s="67">
        <v>0.0</v>
      </c>
      <c r="I363" s="69"/>
      <c r="J363" s="70"/>
      <c r="K363" s="83"/>
      <c r="L363" s="70"/>
    </row>
    <row r="364">
      <c r="A364" s="96" t="s">
        <v>314</v>
      </c>
      <c r="B364" s="72" t="s">
        <v>226</v>
      </c>
      <c r="C364" s="72" t="s">
        <v>233</v>
      </c>
      <c r="D364" s="75">
        <f>52.8/3.1416</f>
        <v>16.80672269</v>
      </c>
      <c r="E364" s="72">
        <v>2.0</v>
      </c>
      <c r="F364" s="72">
        <v>0.0</v>
      </c>
      <c r="G364" s="72">
        <v>0.0</v>
      </c>
      <c r="H364" s="72">
        <v>0.0</v>
      </c>
      <c r="I364" s="74"/>
      <c r="J364" s="75"/>
      <c r="K364" s="79"/>
      <c r="L364" s="70"/>
    </row>
    <row r="365">
      <c r="A365" s="90" t="s">
        <v>315</v>
      </c>
      <c r="B365" s="63" t="s">
        <v>218</v>
      </c>
      <c r="C365" s="63" t="s">
        <v>233</v>
      </c>
      <c r="D365" s="80">
        <f>50.5/3.1416</f>
        <v>16.07461166</v>
      </c>
      <c r="E365" s="63">
        <v>1.0</v>
      </c>
      <c r="F365" s="63">
        <v>0.0</v>
      </c>
      <c r="G365" s="63">
        <v>0.0</v>
      </c>
      <c r="H365" s="63">
        <v>0.0</v>
      </c>
      <c r="I365" s="60">
        <v>22.0</v>
      </c>
      <c r="J365" s="63">
        <v>94.0</v>
      </c>
      <c r="K365" s="84" t="s">
        <v>316</v>
      </c>
      <c r="L365" s="70"/>
    </row>
    <row r="366">
      <c r="A366" s="62" t="s">
        <v>315</v>
      </c>
      <c r="B366" s="67" t="s">
        <v>218</v>
      </c>
      <c r="C366" s="67" t="s">
        <v>233</v>
      </c>
      <c r="D366" s="70">
        <f>42.8/3.1416</f>
        <v>13.62363127</v>
      </c>
      <c r="E366" s="67">
        <v>1.0</v>
      </c>
      <c r="F366" s="67">
        <v>0.0</v>
      </c>
      <c r="G366" s="67">
        <v>0.0</v>
      </c>
      <c r="H366" s="67">
        <v>0.0</v>
      </c>
      <c r="I366" s="69"/>
      <c r="J366" s="70"/>
      <c r="K366" s="83"/>
      <c r="L366" s="70"/>
    </row>
    <row r="367">
      <c r="A367" s="62" t="s">
        <v>315</v>
      </c>
      <c r="B367" s="67" t="s">
        <v>218</v>
      </c>
      <c r="C367" s="67" t="s">
        <v>233</v>
      </c>
      <c r="D367" s="70">
        <f>41/3.1416</f>
        <v>13.05067482</v>
      </c>
      <c r="E367" s="67">
        <v>2.0</v>
      </c>
      <c r="F367" s="67">
        <v>0.0</v>
      </c>
      <c r="G367" s="67">
        <v>0.0</v>
      </c>
      <c r="H367" s="67">
        <v>0.0</v>
      </c>
      <c r="I367" s="69"/>
      <c r="J367" s="70"/>
      <c r="K367" s="83"/>
      <c r="L367" s="70"/>
    </row>
    <row r="368">
      <c r="A368" s="62" t="s">
        <v>315</v>
      </c>
      <c r="B368" s="67" t="s">
        <v>221</v>
      </c>
      <c r="C368" s="67" t="s">
        <v>233</v>
      </c>
      <c r="D368" s="70">
        <f>67/3.1416</f>
        <v>21.3267125</v>
      </c>
      <c r="E368" s="67">
        <v>2.0</v>
      </c>
      <c r="F368" s="67">
        <v>0.0</v>
      </c>
      <c r="G368" s="67">
        <v>0.0</v>
      </c>
      <c r="H368" s="67">
        <v>0.0</v>
      </c>
      <c r="I368" s="69"/>
      <c r="J368" s="70"/>
      <c r="K368" s="83"/>
      <c r="L368" s="70"/>
    </row>
    <row r="369">
      <c r="A369" s="62" t="s">
        <v>315</v>
      </c>
      <c r="B369" s="67" t="s">
        <v>225</v>
      </c>
      <c r="C369" s="67" t="s">
        <v>317</v>
      </c>
      <c r="D369" s="67">
        <v>79.0</v>
      </c>
      <c r="E369" s="67">
        <v>1.0</v>
      </c>
      <c r="F369" s="67">
        <v>0.0</v>
      </c>
      <c r="G369" s="67">
        <v>1.0</v>
      </c>
      <c r="H369" s="67">
        <v>1.0</v>
      </c>
      <c r="I369" s="69"/>
      <c r="J369" s="70"/>
      <c r="K369" s="83"/>
      <c r="L369" s="70"/>
    </row>
    <row r="370">
      <c r="A370" s="62" t="s">
        <v>315</v>
      </c>
      <c r="B370" s="67" t="s">
        <v>226</v>
      </c>
      <c r="C370" s="67" t="s">
        <v>302</v>
      </c>
      <c r="D370" s="70">
        <f>100/3.1416</f>
        <v>31.83091418</v>
      </c>
      <c r="E370" s="67">
        <v>1.0</v>
      </c>
      <c r="F370" s="67">
        <v>0.0</v>
      </c>
      <c r="G370" s="67">
        <v>0.0</v>
      </c>
      <c r="H370" s="67">
        <v>0.0</v>
      </c>
      <c r="I370" s="69"/>
      <c r="J370" s="70"/>
      <c r="K370" s="83"/>
      <c r="L370" s="70"/>
    </row>
    <row r="371">
      <c r="A371" s="62" t="s">
        <v>315</v>
      </c>
      <c r="B371" s="67" t="s">
        <v>226</v>
      </c>
      <c r="C371" s="67" t="s">
        <v>233</v>
      </c>
      <c r="D371" s="70">
        <f>47.6/3.1416</f>
        <v>15.15151515</v>
      </c>
      <c r="E371" s="67">
        <v>1.0</v>
      </c>
      <c r="F371" s="67">
        <v>0.0</v>
      </c>
      <c r="G371" s="67">
        <v>0.0</v>
      </c>
      <c r="H371" s="67">
        <v>0.0</v>
      </c>
      <c r="I371" s="69"/>
      <c r="J371" s="70"/>
      <c r="K371" s="83"/>
      <c r="L371" s="70"/>
    </row>
    <row r="372">
      <c r="A372" s="96" t="s">
        <v>315</v>
      </c>
      <c r="B372" s="72" t="s">
        <v>226</v>
      </c>
      <c r="C372" s="72" t="s">
        <v>233</v>
      </c>
      <c r="D372" s="75">
        <f>49/3.1416</f>
        <v>15.59714795</v>
      </c>
      <c r="E372" s="72">
        <v>2.0</v>
      </c>
      <c r="F372" s="72">
        <v>0.0</v>
      </c>
      <c r="G372" s="72">
        <v>0.0</v>
      </c>
      <c r="H372" s="72">
        <v>0.0</v>
      </c>
      <c r="I372" s="74"/>
      <c r="J372" s="75"/>
      <c r="K372" s="79"/>
      <c r="L372" s="70"/>
    </row>
    <row r="373">
      <c r="A373" s="90" t="s">
        <v>318</v>
      </c>
      <c r="B373" s="63" t="s">
        <v>218</v>
      </c>
      <c r="C373" s="63" t="s">
        <v>233</v>
      </c>
      <c r="D373" s="80">
        <f>58.6/3.1416</f>
        <v>18.65291571</v>
      </c>
      <c r="E373" s="63">
        <v>2.0</v>
      </c>
      <c r="F373" s="63">
        <v>0.0</v>
      </c>
      <c r="G373" s="63">
        <v>1.0</v>
      </c>
      <c r="H373" s="63" t="s">
        <v>319</v>
      </c>
      <c r="I373" s="81"/>
      <c r="J373" s="80"/>
      <c r="K373" s="82"/>
      <c r="L373" s="70"/>
    </row>
    <row r="374">
      <c r="A374" s="62" t="s">
        <v>318</v>
      </c>
      <c r="B374" s="67" t="s">
        <v>218</v>
      </c>
      <c r="C374" s="67" t="s">
        <v>233</v>
      </c>
      <c r="D374" s="70">
        <f>43/3.1416</f>
        <v>13.6872931</v>
      </c>
      <c r="E374" s="67">
        <v>2.0</v>
      </c>
      <c r="F374" s="67">
        <v>0.0</v>
      </c>
      <c r="G374" s="67">
        <v>0.0</v>
      </c>
      <c r="H374" s="67">
        <v>0.0</v>
      </c>
      <c r="I374" s="69"/>
      <c r="J374" s="70"/>
      <c r="K374" s="83"/>
      <c r="L374" s="70"/>
    </row>
    <row r="375">
      <c r="A375" s="104" t="s">
        <v>318</v>
      </c>
      <c r="B375" s="92" t="s">
        <v>221</v>
      </c>
      <c r="C375" s="67" t="s">
        <v>233</v>
      </c>
      <c r="D375" s="70">
        <f>84/3.1416</f>
        <v>26.73796791</v>
      </c>
      <c r="E375" s="67">
        <v>2.0</v>
      </c>
      <c r="F375" s="67">
        <v>0.0</v>
      </c>
      <c r="G375" s="67">
        <v>0.0</v>
      </c>
      <c r="H375" s="67">
        <v>0.0</v>
      </c>
      <c r="I375" s="69"/>
      <c r="J375" s="70"/>
      <c r="K375" s="83"/>
      <c r="L375" s="70"/>
    </row>
    <row r="376">
      <c r="A376" s="104" t="s">
        <v>318</v>
      </c>
      <c r="B376" s="92" t="s">
        <v>221</v>
      </c>
      <c r="C376" s="67" t="s">
        <v>222</v>
      </c>
      <c r="D376" s="70">
        <f>48/3.1416</f>
        <v>15.27883881</v>
      </c>
      <c r="E376" s="67">
        <v>2.0</v>
      </c>
      <c r="F376" s="67">
        <v>0.0</v>
      </c>
      <c r="G376" s="67">
        <v>0.0</v>
      </c>
      <c r="H376" s="67">
        <v>0.0</v>
      </c>
      <c r="I376" s="69"/>
      <c r="J376" s="70"/>
      <c r="K376" s="83"/>
      <c r="L376" s="70"/>
    </row>
    <row r="377">
      <c r="A377" s="104" t="s">
        <v>318</v>
      </c>
      <c r="B377" s="92" t="s">
        <v>225</v>
      </c>
      <c r="C377" s="67" t="s">
        <v>233</v>
      </c>
      <c r="D377" s="70">
        <f>70.8/3.1416</f>
        <v>22.53628724</v>
      </c>
      <c r="E377" s="67">
        <v>1.0</v>
      </c>
      <c r="F377" s="67">
        <v>0.0</v>
      </c>
      <c r="G377" s="67">
        <v>0.0</v>
      </c>
      <c r="H377" s="67">
        <v>0.0</v>
      </c>
      <c r="I377" s="69"/>
      <c r="J377" s="70"/>
      <c r="K377" s="83"/>
      <c r="L377" s="70"/>
    </row>
    <row r="378">
      <c r="A378" s="105" t="s">
        <v>318</v>
      </c>
      <c r="B378" s="106" t="s">
        <v>225</v>
      </c>
      <c r="C378" s="67" t="s">
        <v>233</v>
      </c>
      <c r="D378" s="67">
        <v>15.0</v>
      </c>
      <c r="E378" s="67">
        <v>1.0</v>
      </c>
      <c r="F378" s="67">
        <v>0.0</v>
      </c>
      <c r="G378" s="67">
        <v>0.0</v>
      </c>
      <c r="H378" s="67">
        <v>0.0</v>
      </c>
      <c r="I378" s="69"/>
      <c r="J378" s="70"/>
      <c r="K378" s="83"/>
      <c r="L378" s="70"/>
    </row>
    <row r="379">
      <c r="A379" s="107" t="s">
        <v>318</v>
      </c>
      <c r="B379" s="108" t="s">
        <v>225</v>
      </c>
      <c r="C379" s="72" t="s">
        <v>317</v>
      </c>
      <c r="D379" s="72">
        <v>58.0</v>
      </c>
      <c r="E379" s="72">
        <v>1.0</v>
      </c>
      <c r="F379" s="72">
        <v>0.0</v>
      </c>
      <c r="G379" s="72">
        <v>0.0</v>
      </c>
      <c r="H379" s="72">
        <v>0.0</v>
      </c>
      <c r="I379" s="74"/>
      <c r="J379" s="75"/>
      <c r="K379" s="79"/>
      <c r="L379" s="70"/>
    </row>
    <row r="380">
      <c r="A380" s="71" t="s">
        <v>320</v>
      </c>
      <c r="B380" s="67" t="s">
        <v>218</v>
      </c>
      <c r="C380" s="67" t="s">
        <v>233</v>
      </c>
      <c r="D380" s="70">
        <f>43.5/3.1416</f>
        <v>13.84644767</v>
      </c>
      <c r="E380" s="67">
        <v>1.0</v>
      </c>
      <c r="F380" s="67">
        <v>0.0</v>
      </c>
      <c r="G380" s="67">
        <v>0.0</v>
      </c>
      <c r="H380" s="67">
        <v>0.0</v>
      </c>
      <c r="I380" s="61">
        <v>121.0</v>
      </c>
      <c r="J380" s="67">
        <v>135.0</v>
      </c>
      <c r="K380" s="85">
        <v>4.0</v>
      </c>
      <c r="L380" s="67" t="s">
        <v>321</v>
      </c>
    </row>
    <row r="381">
      <c r="A381" s="71" t="s">
        <v>320</v>
      </c>
      <c r="B381" s="67" t="s">
        <v>218</v>
      </c>
      <c r="C381" s="67" t="s">
        <v>233</v>
      </c>
      <c r="D381" s="70">
        <f>53/3.1416</f>
        <v>16.87038452</v>
      </c>
      <c r="E381" s="67">
        <v>1.0</v>
      </c>
      <c r="F381" s="67">
        <v>0.0</v>
      </c>
      <c r="G381" s="67">
        <v>0.0</v>
      </c>
      <c r="H381" s="67">
        <v>0.0</v>
      </c>
      <c r="I381" s="61">
        <v>115.0</v>
      </c>
      <c r="J381" s="67">
        <v>90.0</v>
      </c>
      <c r="K381" s="85">
        <v>3.0</v>
      </c>
      <c r="L381" s="70"/>
    </row>
    <row r="382">
      <c r="A382" s="71" t="s">
        <v>320</v>
      </c>
      <c r="B382" s="67" t="s">
        <v>322</v>
      </c>
      <c r="C382" s="67" t="s">
        <v>233</v>
      </c>
      <c r="D382" s="70">
        <f>53.2/3.1416</f>
        <v>16.93404635</v>
      </c>
      <c r="E382" s="67">
        <v>1.0</v>
      </c>
      <c r="F382" s="67">
        <v>0.0</v>
      </c>
      <c r="G382" s="67">
        <v>0.0</v>
      </c>
      <c r="H382" s="67">
        <v>0.0</v>
      </c>
      <c r="I382" s="61">
        <v>16.0</v>
      </c>
      <c r="J382" s="67">
        <v>100.0</v>
      </c>
      <c r="K382" s="85">
        <v>0.0</v>
      </c>
      <c r="L382" s="70"/>
    </row>
    <row r="383">
      <c r="A383" s="71" t="s">
        <v>320</v>
      </c>
      <c r="B383" s="67" t="s">
        <v>226</v>
      </c>
      <c r="C383" s="67" t="s">
        <v>302</v>
      </c>
      <c r="D383" s="70">
        <f>74</f>
        <v>74</v>
      </c>
      <c r="E383" s="67">
        <v>1.0</v>
      </c>
      <c r="F383" s="67">
        <v>0.0</v>
      </c>
      <c r="G383" s="67">
        <v>2.0</v>
      </c>
      <c r="H383" s="67" t="s">
        <v>223</v>
      </c>
      <c r="I383" s="69"/>
      <c r="J383" s="70"/>
      <c r="K383" s="83"/>
      <c r="L383" s="70"/>
    </row>
    <row r="384">
      <c r="A384" s="71" t="s">
        <v>320</v>
      </c>
      <c r="B384" s="67" t="s">
        <v>226</v>
      </c>
      <c r="C384" s="67" t="s">
        <v>233</v>
      </c>
      <c r="D384" s="70">
        <f>50.4/3.1416</f>
        <v>16.04278075</v>
      </c>
      <c r="E384" s="67">
        <v>2.0</v>
      </c>
      <c r="F384" s="67">
        <v>0.0</v>
      </c>
      <c r="G384" s="67">
        <v>0.0</v>
      </c>
      <c r="H384" s="67">
        <v>0.0</v>
      </c>
      <c r="I384" s="69"/>
      <c r="J384" s="70"/>
      <c r="K384" s="83"/>
      <c r="L384" s="70"/>
    </row>
    <row r="385">
      <c r="A385" s="71" t="s">
        <v>320</v>
      </c>
      <c r="B385" s="67" t="s">
        <v>225</v>
      </c>
      <c r="C385" s="67" t="s">
        <v>233</v>
      </c>
      <c r="D385" s="70">
        <f>57.2/3.1416</f>
        <v>18.20728291</v>
      </c>
      <c r="E385" s="67">
        <v>2.0</v>
      </c>
      <c r="F385" s="67">
        <v>0.0</v>
      </c>
      <c r="G385" s="67">
        <v>0.0</v>
      </c>
      <c r="H385" s="67">
        <v>0.0</v>
      </c>
      <c r="I385" s="69"/>
      <c r="J385" s="70"/>
      <c r="K385" s="83"/>
      <c r="L385" s="70"/>
    </row>
    <row r="386">
      <c r="A386" s="71" t="s">
        <v>320</v>
      </c>
      <c r="B386" s="67" t="s">
        <v>225</v>
      </c>
      <c r="C386" s="67" t="s">
        <v>233</v>
      </c>
      <c r="D386" s="70">
        <f>43/3.1416</f>
        <v>13.6872931</v>
      </c>
      <c r="E386" s="67">
        <v>1.0</v>
      </c>
      <c r="F386" s="67">
        <v>0.0</v>
      </c>
      <c r="G386" s="67">
        <v>0.0</v>
      </c>
      <c r="H386" s="67">
        <v>0.0</v>
      </c>
      <c r="I386" s="69"/>
      <c r="J386" s="70"/>
      <c r="K386" s="83"/>
      <c r="L386" s="70"/>
    </row>
    <row r="387">
      <c r="A387" s="71" t="s">
        <v>320</v>
      </c>
      <c r="B387" s="67" t="s">
        <v>225</v>
      </c>
      <c r="C387" s="67" t="s">
        <v>233</v>
      </c>
      <c r="D387" s="70">
        <f t="shared" ref="D387:D388" si="1">60/3.1416</f>
        <v>19.09854851</v>
      </c>
      <c r="E387" s="67">
        <v>1.0</v>
      </c>
      <c r="F387" s="67">
        <v>0.0</v>
      </c>
      <c r="G387" s="67">
        <v>0.0</v>
      </c>
      <c r="H387" s="67">
        <v>0.0</v>
      </c>
      <c r="I387" s="69"/>
      <c r="J387" s="70"/>
      <c r="K387" s="83"/>
      <c r="L387" s="70"/>
    </row>
    <row r="388">
      <c r="A388" s="71" t="s">
        <v>320</v>
      </c>
      <c r="B388" s="67" t="s">
        <v>221</v>
      </c>
      <c r="C388" s="67" t="s">
        <v>233</v>
      </c>
      <c r="D388" s="70">
        <f t="shared" si="1"/>
        <v>19.09854851</v>
      </c>
      <c r="E388" s="67">
        <v>1.0</v>
      </c>
      <c r="F388" s="67">
        <v>0.0</v>
      </c>
      <c r="G388" s="67">
        <v>0.0</v>
      </c>
      <c r="H388" s="67">
        <v>0.0</v>
      </c>
      <c r="I388" s="69"/>
      <c r="J388" s="70"/>
      <c r="K388" s="83"/>
      <c r="L388" s="70"/>
    </row>
    <row r="389">
      <c r="A389" s="109" t="s">
        <v>323</v>
      </c>
      <c r="B389" s="110" t="s">
        <v>218</v>
      </c>
      <c r="C389" s="110" t="s">
        <v>222</v>
      </c>
      <c r="D389" s="110">
        <v>80.0</v>
      </c>
      <c r="E389" s="110">
        <v>1.0</v>
      </c>
      <c r="F389" s="110">
        <v>1.0</v>
      </c>
      <c r="G389" s="110">
        <v>0.0</v>
      </c>
      <c r="H389" s="110">
        <v>0.0</v>
      </c>
      <c r="I389" s="111"/>
      <c r="J389" s="112"/>
      <c r="K389" s="113"/>
      <c r="L389" s="44"/>
    </row>
    <row r="390">
      <c r="A390" s="114" t="s">
        <v>323</v>
      </c>
      <c r="B390" s="115" t="s">
        <v>221</v>
      </c>
      <c r="C390" s="115" t="s">
        <v>222</v>
      </c>
      <c r="D390" s="115">
        <v>77.0</v>
      </c>
      <c r="E390" s="115">
        <v>1.0</v>
      </c>
      <c r="F390" s="115">
        <v>1.0</v>
      </c>
      <c r="G390" s="115">
        <v>0.0</v>
      </c>
      <c r="H390" s="115">
        <v>0.0</v>
      </c>
      <c r="I390" s="116"/>
      <c r="J390" s="44"/>
      <c r="K390" s="117"/>
      <c r="L390" s="44"/>
    </row>
    <row r="391">
      <c r="A391" s="114" t="s">
        <v>323</v>
      </c>
      <c r="B391" s="115" t="s">
        <v>221</v>
      </c>
      <c r="C391" s="115" t="s">
        <v>222</v>
      </c>
      <c r="D391" s="115">
        <f>60.5/3.1416</f>
        <v>19.25770308</v>
      </c>
      <c r="E391" s="115">
        <v>1.0</v>
      </c>
      <c r="F391" s="115">
        <v>0.0</v>
      </c>
      <c r="G391" s="115">
        <v>0.0</v>
      </c>
      <c r="H391" s="115">
        <v>0.0</v>
      </c>
      <c r="I391" s="116"/>
      <c r="J391" s="44"/>
      <c r="K391" s="117"/>
      <c r="L391" s="44"/>
    </row>
    <row r="392">
      <c r="A392" s="114" t="s">
        <v>323</v>
      </c>
      <c r="B392" s="115" t="s">
        <v>225</v>
      </c>
      <c r="C392" s="115" t="s">
        <v>222</v>
      </c>
      <c r="D392" s="44">
        <f>50.6/3.1416</f>
        <v>16.10644258</v>
      </c>
      <c r="E392" s="115">
        <v>1.0</v>
      </c>
      <c r="F392" s="115">
        <v>1.0</v>
      </c>
      <c r="G392" s="115">
        <v>0.0</v>
      </c>
      <c r="H392" s="115">
        <v>0.0</v>
      </c>
      <c r="I392" s="116"/>
      <c r="J392" s="44"/>
      <c r="K392" s="117"/>
      <c r="L392" s="44"/>
    </row>
    <row r="393">
      <c r="A393" s="118" t="s">
        <v>323</v>
      </c>
      <c r="B393" s="119" t="s">
        <v>225</v>
      </c>
      <c r="C393" s="119" t="s">
        <v>244</v>
      </c>
      <c r="D393" s="120">
        <f>43.5/3.1416</f>
        <v>13.84644767</v>
      </c>
      <c r="E393" s="119">
        <v>1.0</v>
      </c>
      <c r="F393" s="119">
        <v>0.0</v>
      </c>
      <c r="G393" s="119">
        <v>0.0</v>
      </c>
      <c r="H393" s="119">
        <v>0.0</v>
      </c>
      <c r="I393" s="121"/>
      <c r="J393" s="120"/>
      <c r="K393" s="122"/>
      <c r="L393" s="44"/>
    </row>
    <row r="394">
      <c r="A394" s="109" t="s">
        <v>324</v>
      </c>
      <c r="B394" s="110" t="s">
        <v>218</v>
      </c>
      <c r="C394" s="110" t="s">
        <v>222</v>
      </c>
      <c r="D394" s="110">
        <f>42.5/3.1416</f>
        <v>13.52813853</v>
      </c>
      <c r="E394" s="110">
        <v>1.0</v>
      </c>
      <c r="F394" s="110">
        <v>0.0</v>
      </c>
      <c r="G394" s="110">
        <v>0.0</v>
      </c>
      <c r="H394" s="110">
        <v>0.0</v>
      </c>
      <c r="I394" s="111"/>
      <c r="J394" s="112"/>
      <c r="K394" s="113"/>
      <c r="L394" s="44"/>
    </row>
    <row r="395">
      <c r="A395" s="114" t="s">
        <v>324</v>
      </c>
      <c r="B395" s="115" t="s">
        <v>225</v>
      </c>
      <c r="C395" s="115" t="s">
        <v>222</v>
      </c>
      <c r="D395" s="44">
        <f>43.7/3.1416</f>
        <v>13.9101095</v>
      </c>
      <c r="E395" s="115">
        <v>1.0</v>
      </c>
      <c r="F395" s="115">
        <v>1.0</v>
      </c>
      <c r="G395" s="115">
        <v>0.0</v>
      </c>
      <c r="H395" s="115">
        <v>0.0</v>
      </c>
      <c r="I395" s="116"/>
      <c r="J395" s="44"/>
      <c r="K395" s="117"/>
      <c r="L395" s="44"/>
    </row>
    <row r="396">
      <c r="A396" s="114" t="s">
        <v>324</v>
      </c>
      <c r="B396" s="115" t="s">
        <v>225</v>
      </c>
      <c r="C396" s="115" t="s">
        <v>220</v>
      </c>
      <c r="D396" s="44">
        <f>41/3.1416</f>
        <v>13.05067482</v>
      </c>
      <c r="E396" s="115">
        <v>1.0</v>
      </c>
      <c r="F396" s="115">
        <v>1.0</v>
      </c>
      <c r="G396" s="115">
        <v>0.0</v>
      </c>
      <c r="H396" s="115">
        <v>0.0</v>
      </c>
      <c r="I396" s="116"/>
      <c r="J396" s="44"/>
      <c r="K396" s="117"/>
      <c r="L396" s="44"/>
    </row>
    <row r="397">
      <c r="A397" s="118" t="s">
        <v>324</v>
      </c>
      <c r="B397" s="119" t="s">
        <v>226</v>
      </c>
      <c r="C397" s="119" t="s">
        <v>222</v>
      </c>
      <c r="D397" s="120">
        <f>72.5/3.1416</f>
        <v>23.07741278</v>
      </c>
      <c r="E397" s="119">
        <v>1.0</v>
      </c>
      <c r="F397" s="119">
        <v>1.0</v>
      </c>
      <c r="G397" s="119">
        <v>0.0</v>
      </c>
      <c r="H397" s="119">
        <v>0.0</v>
      </c>
      <c r="I397" s="121"/>
      <c r="J397" s="120"/>
      <c r="K397" s="122"/>
      <c r="L397" s="44"/>
    </row>
    <row r="398">
      <c r="A398" s="109" t="s">
        <v>325</v>
      </c>
      <c r="B398" s="110" t="s">
        <v>218</v>
      </c>
      <c r="C398" s="110" t="s">
        <v>222</v>
      </c>
      <c r="D398" s="112">
        <f>52</f>
        <v>52</v>
      </c>
      <c r="E398" s="110">
        <v>1.0</v>
      </c>
      <c r="F398" s="110">
        <v>1.0</v>
      </c>
      <c r="G398" s="110">
        <v>0.0</v>
      </c>
      <c r="H398" s="110">
        <v>0.0</v>
      </c>
      <c r="I398" s="111"/>
      <c r="J398" s="112"/>
      <c r="K398" s="113"/>
      <c r="L398" s="44"/>
    </row>
    <row r="399">
      <c r="A399" s="114" t="s">
        <v>325</v>
      </c>
      <c r="B399" s="115" t="s">
        <v>218</v>
      </c>
      <c r="C399" s="115" t="s">
        <v>222</v>
      </c>
      <c r="D399" s="115">
        <v>27.0</v>
      </c>
      <c r="E399" s="115">
        <v>1.0</v>
      </c>
      <c r="F399" s="115">
        <v>1.0</v>
      </c>
      <c r="G399" s="115">
        <v>0.0</v>
      </c>
      <c r="H399" s="115">
        <v>0.0</v>
      </c>
      <c r="I399" s="116"/>
      <c r="J399" s="44"/>
      <c r="K399" s="117"/>
      <c r="L399" s="44"/>
    </row>
    <row r="400">
      <c r="A400" s="114" t="s">
        <v>325</v>
      </c>
      <c r="B400" s="115" t="s">
        <v>218</v>
      </c>
      <c r="C400" s="115" t="s">
        <v>222</v>
      </c>
      <c r="D400" s="115">
        <v>44.0</v>
      </c>
      <c r="E400" s="115">
        <v>2.0</v>
      </c>
      <c r="F400" s="115">
        <v>1.0</v>
      </c>
      <c r="G400" s="115">
        <v>0.0</v>
      </c>
      <c r="H400" s="115">
        <v>0.0</v>
      </c>
      <c r="I400" s="116"/>
      <c r="J400" s="44"/>
      <c r="K400" s="117"/>
      <c r="L400" s="44"/>
    </row>
    <row r="401">
      <c r="A401" s="114" t="s">
        <v>325</v>
      </c>
      <c r="B401" s="115" t="s">
        <v>225</v>
      </c>
      <c r="C401" s="115" t="s">
        <v>222</v>
      </c>
      <c r="D401" s="115">
        <v>48.0</v>
      </c>
      <c r="E401" s="115">
        <v>1.0</v>
      </c>
      <c r="F401" s="115">
        <v>1.0</v>
      </c>
      <c r="G401" s="115">
        <v>0.0</v>
      </c>
      <c r="H401" s="115">
        <v>0.0</v>
      </c>
      <c r="I401" s="116"/>
      <c r="J401" s="44"/>
      <c r="K401" s="117"/>
      <c r="L401" s="44"/>
    </row>
    <row r="402">
      <c r="A402" s="114" t="s">
        <v>325</v>
      </c>
      <c r="B402" s="115" t="s">
        <v>225</v>
      </c>
      <c r="C402" s="115" t="s">
        <v>222</v>
      </c>
      <c r="D402" s="115">
        <v>25.0</v>
      </c>
      <c r="E402" s="115">
        <v>1.0</v>
      </c>
      <c r="F402" s="115">
        <v>0.0</v>
      </c>
      <c r="G402" s="115">
        <v>0.0</v>
      </c>
      <c r="H402" s="115">
        <v>0.0</v>
      </c>
      <c r="I402" s="116"/>
      <c r="J402" s="44"/>
      <c r="K402" s="117"/>
      <c r="L402" s="44"/>
    </row>
    <row r="403">
      <c r="A403" s="114" t="s">
        <v>325</v>
      </c>
      <c r="B403" s="115" t="s">
        <v>225</v>
      </c>
      <c r="C403" s="115" t="s">
        <v>222</v>
      </c>
      <c r="D403" s="115">
        <v>25.0</v>
      </c>
      <c r="E403" s="115">
        <v>1.0</v>
      </c>
      <c r="F403" s="115">
        <v>0.0</v>
      </c>
      <c r="G403" s="115">
        <v>0.0</v>
      </c>
      <c r="H403" s="115">
        <v>0.0</v>
      </c>
      <c r="I403" s="116"/>
      <c r="J403" s="44"/>
      <c r="K403" s="117"/>
      <c r="L403" s="44"/>
    </row>
    <row r="404">
      <c r="A404" s="114" t="s">
        <v>325</v>
      </c>
      <c r="B404" s="115" t="s">
        <v>226</v>
      </c>
      <c r="C404" s="115" t="s">
        <v>222</v>
      </c>
      <c r="D404" s="44">
        <f>67.5/3.1416</f>
        <v>21.48586707</v>
      </c>
      <c r="E404" s="115">
        <v>1.0</v>
      </c>
      <c r="F404" s="115">
        <v>1.0</v>
      </c>
      <c r="G404" s="115">
        <v>0.0</v>
      </c>
      <c r="H404" s="115">
        <v>0.0</v>
      </c>
      <c r="I404" s="116"/>
      <c r="J404" s="44"/>
      <c r="K404" s="117"/>
      <c r="L404" s="44"/>
    </row>
    <row r="405">
      <c r="A405" s="114" t="s">
        <v>325</v>
      </c>
      <c r="B405" s="115" t="s">
        <v>226</v>
      </c>
      <c r="C405" s="115" t="s">
        <v>222</v>
      </c>
      <c r="D405" s="44">
        <f>40</f>
        <v>40</v>
      </c>
      <c r="E405" s="115">
        <v>2.0</v>
      </c>
      <c r="F405" s="115">
        <v>1.0</v>
      </c>
      <c r="G405" s="115">
        <v>0.0</v>
      </c>
      <c r="H405" s="115">
        <v>0.0</v>
      </c>
      <c r="I405" s="116"/>
      <c r="J405" s="44"/>
      <c r="K405" s="117"/>
      <c r="L405" s="44"/>
    </row>
    <row r="406">
      <c r="A406" s="118" t="s">
        <v>325</v>
      </c>
      <c r="B406" s="119" t="s">
        <v>226</v>
      </c>
      <c r="C406" s="119" t="s">
        <v>222</v>
      </c>
      <c r="D406" s="120">
        <f>51/3.1416</f>
        <v>16.23376623</v>
      </c>
      <c r="E406" s="119">
        <v>2.0</v>
      </c>
      <c r="F406" s="119">
        <v>1.0</v>
      </c>
      <c r="G406" s="119">
        <v>0.0</v>
      </c>
      <c r="H406" s="119">
        <v>0.0</v>
      </c>
      <c r="I406" s="121"/>
      <c r="J406" s="120"/>
      <c r="K406" s="122"/>
      <c r="L406" s="44"/>
    </row>
    <row r="407">
      <c r="A407" s="109" t="s">
        <v>326</v>
      </c>
      <c r="B407" s="110" t="s">
        <v>221</v>
      </c>
      <c r="C407" s="110" t="s">
        <v>233</v>
      </c>
      <c r="D407" s="110">
        <v>25.0</v>
      </c>
      <c r="E407" s="110">
        <v>2.0</v>
      </c>
      <c r="F407" s="110">
        <v>1.0</v>
      </c>
      <c r="G407" s="110">
        <v>1.0</v>
      </c>
      <c r="H407" s="110" t="s">
        <v>270</v>
      </c>
      <c r="I407" s="111"/>
      <c r="J407" s="112"/>
      <c r="K407" s="113"/>
      <c r="L407" s="44"/>
    </row>
    <row r="408">
      <c r="A408" s="114" t="s">
        <v>326</v>
      </c>
      <c r="B408" s="115" t="s">
        <v>221</v>
      </c>
      <c r="C408" s="115" t="s">
        <v>233</v>
      </c>
      <c r="D408" s="115">
        <v>20.0</v>
      </c>
      <c r="E408" s="115">
        <v>2.0</v>
      </c>
      <c r="F408" s="115">
        <v>1.0</v>
      </c>
      <c r="G408" s="115">
        <v>1.0</v>
      </c>
      <c r="H408" s="115" t="s">
        <v>270</v>
      </c>
      <c r="I408" s="116"/>
      <c r="J408" s="44"/>
      <c r="K408" s="117"/>
      <c r="L408" s="44"/>
    </row>
    <row r="409">
      <c r="A409" s="114" t="s">
        <v>326</v>
      </c>
      <c r="B409" s="115" t="s">
        <v>225</v>
      </c>
      <c r="C409" s="115" t="s">
        <v>222</v>
      </c>
      <c r="D409" s="44">
        <f>136.5/3.1416</f>
        <v>43.44919786</v>
      </c>
      <c r="E409" s="115">
        <v>1.0</v>
      </c>
      <c r="F409" s="115">
        <v>1.0</v>
      </c>
      <c r="G409" s="115">
        <v>0.0</v>
      </c>
      <c r="H409" s="115">
        <v>0.0</v>
      </c>
      <c r="I409" s="116"/>
      <c r="J409" s="44"/>
      <c r="K409" s="117"/>
      <c r="L409" s="44"/>
    </row>
    <row r="410">
      <c r="A410" s="114" t="s">
        <v>326</v>
      </c>
      <c r="B410" s="115" t="s">
        <v>225</v>
      </c>
      <c r="C410" s="115" t="s">
        <v>222</v>
      </c>
      <c r="D410" s="44">
        <f>114.5/3.1416</f>
        <v>36.44639674</v>
      </c>
      <c r="E410" s="115">
        <v>1.0</v>
      </c>
      <c r="F410" s="115">
        <v>1.0</v>
      </c>
      <c r="G410" s="115">
        <v>0.0</v>
      </c>
      <c r="H410" s="115">
        <v>0.0</v>
      </c>
      <c r="I410" s="116"/>
      <c r="J410" s="44"/>
      <c r="K410" s="117"/>
      <c r="L410" s="44"/>
    </row>
    <row r="411">
      <c r="A411" s="114" t="s">
        <v>326</v>
      </c>
      <c r="B411" s="115" t="s">
        <v>226</v>
      </c>
      <c r="C411" s="115" t="s">
        <v>222</v>
      </c>
      <c r="D411" s="115">
        <v>45.0</v>
      </c>
      <c r="E411" s="115">
        <v>1.0</v>
      </c>
      <c r="F411" s="115">
        <v>1.0</v>
      </c>
      <c r="G411" s="115">
        <v>0.0</v>
      </c>
      <c r="H411" s="115">
        <v>0.0</v>
      </c>
      <c r="I411" s="116"/>
      <c r="J411" s="44"/>
      <c r="K411" s="117"/>
      <c r="L411" s="44"/>
    </row>
    <row r="412">
      <c r="A412" s="114" t="s">
        <v>326</v>
      </c>
      <c r="B412" s="115" t="s">
        <v>226</v>
      </c>
      <c r="C412" s="115" t="s">
        <v>222</v>
      </c>
      <c r="D412" s="44">
        <f>43/3.1416</f>
        <v>13.6872931</v>
      </c>
      <c r="E412" s="115">
        <v>1.0</v>
      </c>
      <c r="F412" s="115">
        <v>1.0</v>
      </c>
      <c r="G412" s="115">
        <v>0.0</v>
      </c>
      <c r="H412" s="115">
        <v>0.0</v>
      </c>
      <c r="I412" s="116"/>
      <c r="J412" s="44"/>
      <c r="K412" s="117"/>
      <c r="L412" s="44"/>
    </row>
    <row r="413">
      <c r="A413" s="118" t="s">
        <v>326</v>
      </c>
      <c r="B413" s="119" t="s">
        <v>226</v>
      </c>
      <c r="C413" s="119" t="s">
        <v>222</v>
      </c>
      <c r="D413" s="120">
        <f>23/3.1416</f>
        <v>7.321110262</v>
      </c>
      <c r="E413" s="119">
        <v>1.0</v>
      </c>
      <c r="F413" s="119">
        <v>1.0</v>
      </c>
      <c r="G413" s="119">
        <v>0.0</v>
      </c>
      <c r="H413" s="119">
        <v>0.0</v>
      </c>
      <c r="I413" s="121"/>
      <c r="J413" s="120"/>
      <c r="K413" s="122"/>
      <c r="L413" s="44"/>
    </row>
    <row r="414">
      <c r="A414" s="123" t="s">
        <v>327</v>
      </c>
      <c r="B414" s="124" t="s">
        <v>218</v>
      </c>
      <c r="C414" s="124" t="s">
        <v>222</v>
      </c>
      <c r="D414" s="124">
        <v>15.0</v>
      </c>
      <c r="E414" s="124">
        <v>2.0</v>
      </c>
      <c r="F414" s="124">
        <v>1.0</v>
      </c>
      <c r="G414" s="124">
        <v>0.0</v>
      </c>
      <c r="H414" s="124">
        <v>0.0</v>
      </c>
      <c r="I414" s="125"/>
      <c r="J414" s="126"/>
      <c r="K414" s="127"/>
      <c r="L414" s="44"/>
    </row>
    <row r="415">
      <c r="A415" s="109" t="s">
        <v>328</v>
      </c>
      <c r="B415" s="110" t="s">
        <v>218</v>
      </c>
      <c r="C415" s="110" t="s">
        <v>222</v>
      </c>
      <c r="D415" s="110">
        <v>35.0</v>
      </c>
      <c r="E415" s="110">
        <v>1.0</v>
      </c>
      <c r="F415" s="110">
        <v>0.0</v>
      </c>
      <c r="G415" s="110">
        <v>0.0</v>
      </c>
      <c r="H415" s="110">
        <v>0.0</v>
      </c>
      <c r="I415" s="111"/>
      <c r="J415" s="112"/>
      <c r="K415" s="113"/>
      <c r="L415" s="44"/>
    </row>
    <row r="416">
      <c r="A416" s="114" t="s">
        <v>328</v>
      </c>
      <c r="B416" s="115" t="s">
        <v>225</v>
      </c>
      <c r="C416" s="115" t="s">
        <v>222</v>
      </c>
      <c r="D416" s="115">
        <v>69.0</v>
      </c>
      <c r="E416" s="115">
        <v>1.0</v>
      </c>
      <c r="F416" s="115">
        <v>1.0</v>
      </c>
      <c r="G416" s="115">
        <v>0.0</v>
      </c>
      <c r="H416" s="115">
        <v>0.0</v>
      </c>
      <c r="I416" s="116"/>
      <c r="J416" s="44"/>
      <c r="K416" s="117"/>
      <c r="L416" s="44"/>
    </row>
    <row r="417">
      <c r="A417" s="114" t="s">
        <v>328</v>
      </c>
      <c r="B417" s="115" t="s">
        <v>225</v>
      </c>
      <c r="C417" s="115" t="s">
        <v>222</v>
      </c>
      <c r="D417" s="115">
        <v>89.0</v>
      </c>
      <c r="E417" s="115">
        <v>1.0</v>
      </c>
      <c r="F417" s="115">
        <v>1.0</v>
      </c>
      <c r="G417" s="115">
        <v>0.0</v>
      </c>
      <c r="H417" s="115">
        <v>0.0</v>
      </c>
      <c r="I417" s="116"/>
      <c r="J417" s="44"/>
      <c r="K417" s="117"/>
      <c r="L417" s="44"/>
    </row>
    <row r="418">
      <c r="A418" s="114" t="s">
        <v>328</v>
      </c>
      <c r="B418" s="115" t="s">
        <v>226</v>
      </c>
      <c r="C418" s="115" t="s">
        <v>222</v>
      </c>
      <c r="D418" s="44">
        <f>54.28 /3.1416</f>
        <v>17.27782022</v>
      </c>
      <c r="E418" s="115">
        <v>2.0</v>
      </c>
      <c r="F418" s="115">
        <v>1.0</v>
      </c>
      <c r="G418" s="115">
        <v>0.0</v>
      </c>
      <c r="H418" s="115">
        <v>0.0</v>
      </c>
      <c r="I418" s="116"/>
      <c r="J418" s="44"/>
      <c r="K418" s="117"/>
      <c r="L418" s="44"/>
    </row>
    <row r="419">
      <c r="A419" s="114" t="s">
        <v>328</v>
      </c>
      <c r="B419" s="115" t="s">
        <v>226</v>
      </c>
      <c r="C419" s="115" t="s">
        <v>222</v>
      </c>
      <c r="D419" s="44">
        <f>57.2/3.1416</f>
        <v>18.20728291</v>
      </c>
      <c r="E419" s="115">
        <v>2.0</v>
      </c>
      <c r="F419" s="115">
        <v>1.0</v>
      </c>
      <c r="G419" s="115">
        <v>0.0</v>
      </c>
      <c r="H419" s="115">
        <v>0.0</v>
      </c>
      <c r="I419" s="116"/>
      <c r="J419" s="44"/>
      <c r="K419" s="117"/>
      <c r="L419" s="44"/>
    </row>
    <row r="420">
      <c r="A420" s="118" t="s">
        <v>328</v>
      </c>
      <c r="B420" s="119" t="s">
        <v>226</v>
      </c>
      <c r="C420" s="119" t="s">
        <v>222</v>
      </c>
      <c r="D420" s="120">
        <f>59/3.1416</f>
        <v>18.78023937</v>
      </c>
      <c r="E420" s="119">
        <v>2.0</v>
      </c>
      <c r="F420" s="119">
        <v>1.0</v>
      </c>
      <c r="G420" s="119">
        <v>0.0</v>
      </c>
      <c r="H420" s="119">
        <v>0.0</v>
      </c>
      <c r="I420" s="121"/>
      <c r="J420" s="120"/>
      <c r="K420" s="122"/>
      <c r="L420" s="44"/>
    </row>
    <row r="421">
      <c r="A421" s="109" t="s">
        <v>329</v>
      </c>
      <c r="B421" s="110" t="s">
        <v>226</v>
      </c>
      <c r="C421" s="110" t="s">
        <v>222</v>
      </c>
      <c r="D421" s="112">
        <f>122/3.1416</f>
        <v>38.8337153</v>
      </c>
      <c r="E421" s="110">
        <v>1.0</v>
      </c>
      <c r="F421" s="110">
        <v>1.0</v>
      </c>
      <c r="G421" s="110">
        <v>1.0</v>
      </c>
      <c r="H421" s="110">
        <v>1.0</v>
      </c>
      <c r="I421" s="128">
        <v>34.0</v>
      </c>
      <c r="J421" s="110">
        <v>52.0</v>
      </c>
      <c r="K421" s="113"/>
      <c r="L421" s="115" t="s">
        <v>330</v>
      </c>
    </row>
    <row r="422">
      <c r="A422" s="114" t="s">
        <v>329</v>
      </c>
      <c r="B422" s="115" t="s">
        <v>226</v>
      </c>
      <c r="C422" s="115" t="s">
        <v>273</v>
      </c>
      <c r="D422" s="44">
        <f>43/3.1416</f>
        <v>13.6872931</v>
      </c>
      <c r="E422" s="115">
        <v>2.0</v>
      </c>
      <c r="F422" s="115">
        <v>1.0</v>
      </c>
      <c r="G422" s="115">
        <v>0.0</v>
      </c>
      <c r="H422" s="115">
        <v>0.0</v>
      </c>
      <c r="I422" s="116"/>
      <c r="J422" s="44"/>
      <c r="K422" s="117"/>
      <c r="L422" s="44"/>
    </row>
    <row r="423">
      <c r="A423" s="118" t="s">
        <v>329</v>
      </c>
      <c r="B423" s="119" t="s">
        <v>226</v>
      </c>
      <c r="C423" s="119" t="s">
        <v>222</v>
      </c>
      <c r="D423" s="120">
        <f>123.9/3.1416</f>
        <v>39.43850267</v>
      </c>
      <c r="E423" s="119">
        <v>1.0</v>
      </c>
      <c r="F423" s="119">
        <v>1.0</v>
      </c>
      <c r="G423" s="119">
        <v>0.0</v>
      </c>
      <c r="H423" s="119">
        <v>0.0</v>
      </c>
      <c r="I423" s="121"/>
      <c r="J423" s="120"/>
      <c r="K423" s="122"/>
      <c r="L423" s="44"/>
    </row>
    <row r="424">
      <c r="A424" s="109" t="s">
        <v>331</v>
      </c>
      <c r="B424" s="110" t="s">
        <v>221</v>
      </c>
      <c r="C424" s="110" t="s">
        <v>222</v>
      </c>
      <c r="D424" s="112">
        <f>57.9/3.1416</f>
        <v>18.43009931</v>
      </c>
      <c r="E424" s="110">
        <v>2.0</v>
      </c>
      <c r="F424" s="110">
        <v>1.0</v>
      </c>
      <c r="G424" s="110">
        <v>0.0</v>
      </c>
      <c r="H424" s="110">
        <v>0.0</v>
      </c>
      <c r="I424" s="128">
        <v>54.0</v>
      </c>
      <c r="J424" s="110">
        <v>85.0</v>
      </c>
      <c r="K424" s="129">
        <v>3.0</v>
      </c>
      <c r="L424" s="44"/>
    </row>
    <row r="425">
      <c r="A425" s="114" t="s">
        <v>331</v>
      </c>
      <c r="B425" s="115" t="s">
        <v>221</v>
      </c>
      <c r="C425" s="115" t="s">
        <v>222</v>
      </c>
      <c r="D425" s="115">
        <v>60.0</v>
      </c>
      <c r="E425" s="115">
        <v>2.0</v>
      </c>
      <c r="F425" s="115">
        <v>1.0</v>
      </c>
      <c r="G425" s="115">
        <v>1.0</v>
      </c>
      <c r="H425" s="115" t="s">
        <v>270</v>
      </c>
      <c r="I425" s="116"/>
      <c r="J425" s="44"/>
      <c r="K425" s="117"/>
      <c r="L425" s="44"/>
    </row>
    <row r="426">
      <c r="A426" s="114" t="s">
        <v>331</v>
      </c>
      <c r="B426" s="115" t="s">
        <v>226</v>
      </c>
      <c r="C426" s="115" t="s">
        <v>222</v>
      </c>
      <c r="D426" s="115">
        <v>28.0</v>
      </c>
      <c r="E426" s="115">
        <v>1.0</v>
      </c>
      <c r="F426" s="115">
        <v>1.0</v>
      </c>
      <c r="G426" s="115">
        <v>0.0</v>
      </c>
      <c r="H426" s="115">
        <v>0.0</v>
      </c>
      <c r="I426" s="116"/>
      <c r="J426" s="44"/>
      <c r="K426" s="117"/>
      <c r="L426" s="44"/>
    </row>
    <row r="427">
      <c r="A427" s="114" t="s">
        <v>331</v>
      </c>
      <c r="B427" s="115" t="s">
        <v>218</v>
      </c>
      <c r="C427" s="115" t="s">
        <v>222</v>
      </c>
      <c r="D427" s="115">
        <v>48.0</v>
      </c>
      <c r="E427" s="115">
        <v>1.0</v>
      </c>
      <c r="F427" s="115">
        <v>1.0</v>
      </c>
      <c r="G427" s="115">
        <v>0.0</v>
      </c>
      <c r="H427" s="115">
        <v>0.0</v>
      </c>
      <c r="I427" s="116"/>
      <c r="J427" s="44"/>
      <c r="K427" s="117"/>
      <c r="L427" s="44"/>
    </row>
    <row r="428">
      <c r="A428" s="118" t="s">
        <v>331</v>
      </c>
      <c r="B428" s="119" t="s">
        <v>218</v>
      </c>
      <c r="C428" s="119" t="s">
        <v>222</v>
      </c>
      <c r="D428" s="119">
        <v>30.0</v>
      </c>
      <c r="E428" s="119">
        <v>2.0</v>
      </c>
      <c r="F428" s="119">
        <v>1.0</v>
      </c>
      <c r="G428" s="119">
        <v>1.0</v>
      </c>
      <c r="H428" s="119" t="s">
        <v>270</v>
      </c>
      <c r="I428" s="121"/>
      <c r="J428" s="120"/>
      <c r="K428" s="122"/>
      <c r="L428" s="44"/>
    </row>
    <row r="429">
      <c r="A429" s="109" t="s">
        <v>332</v>
      </c>
      <c r="B429" s="110" t="s">
        <v>221</v>
      </c>
      <c r="C429" s="110" t="s">
        <v>222</v>
      </c>
      <c r="D429" s="110">
        <v>24.0</v>
      </c>
      <c r="E429" s="110">
        <v>1.0</v>
      </c>
      <c r="F429" s="110">
        <v>1.0</v>
      </c>
      <c r="G429" s="110">
        <v>0.0</v>
      </c>
      <c r="H429" s="110">
        <v>0.0</v>
      </c>
      <c r="I429" s="111"/>
      <c r="J429" s="112"/>
      <c r="K429" s="113"/>
      <c r="L429" s="44"/>
    </row>
    <row r="430">
      <c r="A430" s="114" t="s">
        <v>332</v>
      </c>
      <c r="B430" s="115" t="s">
        <v>225</v>
      </c>
      <c r="C430" s="115" t="s">
        <v>222</v>
      </c>
      <c r="D430" s="44">
        <f>46/3.1416</f>
        <v>14.64222052</v>
      </c>
      <c r="E430" s="115">
        <v>1.0</v>
      </c>
      <c r="F430" s="115">
        <v>1.0</v>
      </c>
      <c r="G430" s="115">
        <v>0.0</v>
      </c>
      <c r="H430" s="115">
        <v>0.0</v>
      </c>
      <c r="I430" s="116"/>
      <c r="J430" s="44"/>
      <c r="K430" s="117"/>
      <c r="L430" s="44"/>
    </row>
    <row r="431">
      <c r="A431" s="114" t="s">
        <v>332</v>
      </c>
      <c r="B431" s="115" t="s">
        <v>225</v>
      </c>
      <c r="C431" s="115" t="s">
        <v>222</v>
      </c>
      <c r="D431" s="44">
        <f>54/3.1416</f>
        <v>17.18869366</v>
      </c>
      <c r="E431" s="115">
        <v>2.0</v>
      </c>
      <c r="F431" s="115">
        <v>1.0</v>
      </c>
      <c r="G431" s="115">
        <v>0.0</v>
      </c>
      <c r="H431" s="115">
        <v>0.0</v>
      </c>
      <c r="I431" s="116"/>
      <c r="J431" s="44"/>
      <c r="K431" s="117"/>
      <c r="L431" s="44"/>
    </row>
    <row r="432">
      <c r="A432" s="118" t="s">
        <v>332</v>
      </c>
      <c r="B432" s="119" t="s">
        <v>226</v>
      </c>
      <c r="C432" s="119" t="s">
        <v>233</v>
      </c>
      <c r="D432" s="119">
        <v>70.0</v>
      </c>
      <c r="E432" s="119">
        <v>1.0</v>
      </c>
      <c r="F432" s="119">
        <v>1.0</v>
      </c>
      <c r="G432" s="119">
        <v>0.0</v>
      </c>
      <c r="H432" s="119">
        <v>0.0</v>
      </c>
      <c r="I432" s="121"/>
      <c r="J432" s="120"/>
      <c r="K432" s="122"/>
      <c r="L432" s="44"/>
    </row>
    <row r="433">
      <c r="A433" s="109" t="s">
        <v>333</v>
      </c>
      <c r="B433" s="110" t="s">
        <v>218</v>
      </c>
      <c r="C433" s="110" t="s">
        <v>222</v>
      </c>
      <c r="D433" s="110">
        <v>50.0</v>
      </c>
      <c r="E433" s="110">
        <v>2.0</v>
      </c>
      <c r="F433" s="110">
        <v>1.0</v>
      </c>
      <c r="G433" s="110">
        <v>1.0</v>
      </c>
      <c r="H433" s="110" t="s">
        <v>270</v>
      </c>
      <c r="I433" s="111"/>
      <c r="J433" s="112"/>
      <c r="K433" s="113"/>
      <c r="L433" s="44"/>
    </row>
    <row r="434">
      <c r="A434" s="114" t="s">
        <v>333</v>
      </c>
      <c r="B434" s="115" t="s">
        <v>226</v>
      </c>
      <c r="C434" s="115" t="s">
        <v>222</v>
      </c>
      <c r="D434" s="44">
        <f>72.5/3.1416</f>
        <v>23.07741278</v>
      </c>
      <c r="E434" s="115">
        <v>2.0</v>
      </c>
      <c r="F434" s="115">
        <v>1.0</v>
      </c>
      <c r="G434" s="115">
        <v>0.0</v>
      </c>
      <c r="H434" s="115">
        <v>0.0</v>
      </c>
      <c r="I434" s="116"/>
      <c r="J434" s="44"/>
      <c r="K434" s="117"/>
      <c r="L434" s="44"/>
    </row>
    <row r="435">
      <c r="A435" s="114" t="s">
        <v>333</v>
      </c>
      <c r="B435" s="115" t="s">
        <v>226</v>
      </c>
      <c r="C435" s="115" t="s">
        <v>222</v>
      </c>
      <c r="D435" s="115">
        <v>56.0</v>
      </c>
      <c r="E435" s="115">
        <v>2.0</v>
      </c>
      <c r="F435" s="115">
        <v>1.0</v>
      </c>
      <c r="G435" s="115">
        <v>0.0</v>
      </c>
      <c r="H435" s="115">
        <v>0.0</v>
      </c>
      <c r="I435" s="116"/>
      <c r="J435" s="44"/>
      <c r="K435" s="117"/>
      <c r="L435" s="44"/>
    </row>
    <row r="436">
      <c r="A436" s="114" t="s">
        <v>333</v>
      </c>
      <c r="B436" s="115" t="s">
        <v>221</v>
      </c>
      <c r="C436" s="115" t="s">
        <v>222</v>
      </c>
      <c r="D436" s="44">
        <f>56.4/3.1416</f>
        <v>17.9526356</v>
      </c>
      <c r="E436" s="115">
        <v>2.0</v>
      </c>
      <c r="F436" s="115">
        <v>0.0</v>
      </c>
      <c r="G436" s="115">
        <v>0.0</v>
      </c>
      <c r="H436" s="115">
        <v>0.0</v>
      </c>
      <c r="I436" s="116"/>
      <c r="J436" s="44"/>
      <c r="K436" s="117"/>
      <c r="L436" s="44"/>
    </row>
    <row r="437">
      <c r="A437" s="114" t="s">
        <v>333</v>
      </c>
      <c r="B437" s="115" t="s">
        <v>221</v>
      </c>
      <c r="C437" s="115" t="s">
        <v>222</v>
      </c>
      <c r="D437" s="115">
        <v>26.0</v>
      </c>
      <c r="E437" s="115">
        <v>2.0</v>
      </c>
      <c r="F437" s="115">
        <v>1.0</v>
      </c>
      <c r="G437" s="115">
        <v>0.0</v>
      </c>
      <c r="H437" s="115">
        <v>0.0</v>
      </c>
      <c r="I437" s="116"/>
      <c r="J437" s="44"/>
      <c r="K437" s="117"/>
      <c r="L437" s="44"/>
    </row>
    <row r="438">
      <c r="A438" s="118" t="s">
        <v>333</v>
      </c>
      <c r="B438" s="119" t="s">
        <v>225</v>
      </c>
      <c r="C438" s="119" t="s">
        <v>222</v>
      </c>
      <c r="D438" s="119">
        <f>80.7/3.1416</f>
        <v>25.68754775</v>
      </c>
      <c r="E438" s="119">
        <v>1.0</v>
      </c>
      <c r="F438" s="119">
        <v>0.0</v>
      </c>
      <c r="G438" s="119">
        <v>0.0</v>
      </c>
      <c r="H438" s="119">
        <v>0.0</v>
      </c>
      <c r="I438" s="121"/>
      <c r="J438" s="120"/>
      <c r="K438" s="122"/>
      <c r="L438" s="44"/>
    </row>
    <row r="439">
      <c r="A439" s="109" t="s">
        <v>334</v>
      </c>
      <c r="B439" s="110" t="s">
        <v>221</v>
      </c>
      <c r="C439" s="110" t="s">
        <v>222</v>
      </c>
      <c r="D439" s="112">
        <f>54/3.1416</f>
        <v>17.18869366</v>
      </c>
      <c r="E439" s="110">
        <v>1.0</v>
      </c>
      <c r="F439" s="110">
        <v>1.0</v>
      </c>
      <c r="G439" s="110">
        <v>0.0</v>
      </c>
      <c r="H439" s="110">
        <v>0.0</v>
      </c>
      <c r="I439" s="111"/>
      <c r="J439" s="112"/>
      <c r="K439" s="113"/>
      <c r="L439" s="44"/>
    </row>
    <row r="440">
      <c r="A440" s="114" t="s">
        <v>334</v>
      </c>
      <c r="B440" s="115" t="s">
        <v>218</v>
      </c>
      <c r="C440" s="115" t="s">
        <v>222</v>
      </c>
      <c r="D440" s="44">
        <f>47/3.1416</f>
        <v>14.96052967</v>
      </c>
      <c r="E440" s="115">
        <v>1.0</v>
      </c>
      <c r="F440" s="115">
        <v>0.0</v>
      </c>
      <c r="G440" s="115">
        <v>0.0</v>
      </c>
      <c r="H440" s="115">
        <v>0.0</v>
      </c>
      <c r="I440" s="116"/>
      <c r="J440" s="44"/>
      <c r="K440" s="117"/>
      <c r="L440" s="44"/>
    </row>
    <row r="441">
      <c r="A441" s="118" t="s">
        <v>334</v>
      </c>
      <c r="B441" s="119" t="s">
        <v>225</v>
      </c>
      <c r="C441" s="119" t="s">
        <v>222</v>
      </c>
      <c r="D441" s="120">
        <f>45</f>
        <v>45</v>
      </c>
      <c r="E441" s="119">
        <v>1.0</v>
      </c>
      <c r="F441" s="119">
        <v>0.0</v>
      </c>
      <c r="G441" s="119">
        <v>0.0</v>
      </c>
      <c r="H441" s="119">
        <v>0.0</v>
      </c>
      <c r="I441" s="121"/>
      <c r="J441" s="120"/>
      <c r="K441" s="122"/>
      <c r="L441" s="44"/>
    </row>
    <row r="442">
      <c r="A442" s="109" t="s">
        <v>335</v>
      </c>
      <c r="B442" s="110" t="s">
        <v>218</v>
      </c>
      <c r="C442" s="110" t="s">
        <v>222</v>
      </c>
      <c r="D442" s="110">
        <v>92.0</v>
      </c>
      <c r="E442" s="110">
        <v>1.0</v>
      </c>
      <c r="F442" s="110">
        <v>1.0</v>
      </c>
      <c r="G442" s="110">
        <v>0.0</v>
      </c>
      <c r="H442" s="110">
        <v>0.0</v>
      </c>
      <c r="I442" s="111"/>
      <c r="J442" s="112"/>
      <c r="K442" s="113"/>
      <c r="L442" s="44"/>
    </row>
    <row r="443">
      <c r="A443" s="114" t="s">
        <v>335</v>
      </c>
      <c r="B443" s="115" t="s">
        <v>225</v>
      </c>
      <c r="C443" s="115" t="s">
        <v>222</v>
      </c>
      <c r="D443" s="67">
        <f>41/3.1416</f>
        <v>13.05067482</v>
      </c>
      <c r="E443" s="115">
        <v>1.0</v>
      </c>
      <c r="F443" s="115">
        <v>0.0</v>
      </c>
      <c r="G443" s="115">
        <v>0.0</v>
      </c>
      <c r="H443" s="115">
        <v>0.0</v>
      </c>
      <c r="I443" s="116"/>
      <c r="J443" s="44"/>
      <c r="K443" s="117"/>
      <c r="L443" s="44"/>
    </row>
    <row r="444">
      <c r="A444" s="114" t="s">
        <v>335</v>
      </c>
      <c r="B444" s="115" t="s">
        <v>225</v>
      </c>
      <c r="C444" s="115" t="s">
        <v>222</v>
      </c>
      <c r="D444" s="44">
        <f>82.2/3.1416</f>
        <v>26.16501146</v>
      </c>
      <c r="E444" s="115">
        <v>1.0</v>
      </c>
      <c r="F444" s="115">
        <v>0.0</v>
      </c>
      <c r="G444" s="115">
        <v>0.0</v>
      </c>
      <c r="H444" s="115">
        <v>0.0</v>
      </c>
      <c r="I444" s="116"/>
      <c r="J444" s="44"/>
      <c r="K444" s="117"/>
      <c r="L444" s="44"/>
    </row>
    <row r="445">
      <c r="A445" s="118" t="s">
        <v>335</v>
      </c>
      <c r="B445" s="119" t="s">
        <v>226</v>
      </c>
      <c r="C445" s="119" t="s">
        <v>222</v>
      </c>
      <c r="D445" s="120">
        <f>68</f>
        <v>68</v>
      </c>
      <c r="E445" s="119">
        <v>2.0</v>
      </c>
      <c r="F445" s="119">
        <v>1.0</v>
      </c>
      <c r="G445" s="119">
        <v>0.0</v>
      </c>
      <c r="H445" s="119">
        <v>0.0</v>
      </c>
      <c r="I445" s="121"/>
      <c r="J445" s="120"/>
      <c r="K445" s="122"/>
      <c r="L445" s="44"/>
    </row>
    <row r="446">
      <c r="A446" s="109" t="s">
        <v>336</v>
      </c>
      <c r="B446" s="110" t="s">
        <v>218</v>
      </c>
      <c r="C446" s="110" t="s">
        <v>222</v>
      </c>
      <c r="D446" s="110">
        <v>51.0</v>
      </c>
      <c r="E446" s="110">
        <v>1.0</v>
      </c>
      <c r="F446" s="110">
        <v>1.0</v>
      </c>
      <c r="G446" s="110">
        <v>0.0</v>
      </c>
      <c r="H446" s="110">
        <v>0.0</v>
      </c>
      <c r="I446" s="111"/>
      <c r="J446" s="112"/>
      <c r="K446" s="113"/>
      <c r="L446" s="44"/>
    </row>
    <row r="447">
      <c r="A447" s="114" t="s">
        <v>336</v>
      </c>
      <c r="B447" s="115" t="s">
        <v>218</v>
      </c>
      <c r="C447" s="115" t="s">
        <v>222</v>
      </c>
      <c r="D447" s="115">
        <v>43.0</v>
      </c>
      <c r="E447" s="115">
        <v>1.0</v>
      </c>
      <c r="F447" s="115">
        <v>1.0</v>
      </c>
      <c r="G447" s="115">
        <v>0.0</v>
      </c>
      <c r="H447" s="115">
        <v>0.0</v>
      </c>
      <c r="I447" s="116"/>
      <c r="J447" s="44"/>
      <c r="K447" s="117"/>
      <c r="L447" s="44"/>
    </row>
    <row r="448">
      <c r="A448" s="114" t="s">
        <v>336</v>
      </c>
      <c r="B448" s="115" t="s">
        <v>226</v>
      </c>
      <c r="C448" s="115" t="s">
        <v>222</v>
      </c>
      <c r="D448" s="44">
        <f>73.5/3.1416</f>
        <v>23.39572193</v>
      </c>
      <c r="E448" s="115">
        <v>2.0</v>
      </c>
      <c r="F448" s="115">
        <v>1.0</v>
      </c>
      <c r="G448" s="115">
        <v>0.0</v>
      </c>
      <c r="H448" s="115">
        <v>0.0</v>
      </c>
      <c r="I448" s="116"/>
      <c r="J448" s="44"/>
      <c r="K448" s="117"/>
      <c r="L448" s="44"/>
    </row>
    <row r="449">
      <c r="A449" s="114" t="s">
        <v>336</v>
      </c>
      <c r="B449" s="115" t="s">
        <v>225</v>
      </c>
      <c r="C449" s="115" t="s">
        <v>222</v>
      </c>
      <c r="D449" s="44">
        <f>40</f>
        <v>40</v>
      </c>
      <c r="E449" s="115">
        <v>2.0</v>
      </c>
      <c r="F449" s="115">
        <v>0.0</v>
      </c>
      <c r="G449" s="115">
        <v>2.0</v>
      </c>
      <c r="H449" s="115" t="s">
        <v>269</v>
      </c>
      <c r="I449" s="116"/>
      <c r="J449" s="44"/>
      <c r="K449" s="117"/>
      <c r="L449" s="44"/>
    </row>
    <row r="450">
      <c r="A450" s="118" t="s">
        <v>336</v>
      </c>
      <c r="B450" s="119" t="s">
        <v>225</v>
      </c>
      <c r="C450" s="119" t="s">
        <v>222</v>
      </c>
      <c r="D450" s="119">
        <v>54.0</v>
      </c>
      <c r="E450" s="119">
        <v>1.0</v>
      </c>
      <c r="F450" s="119">
        <v>1.0</v>
      </c>
      <c r="G450" s="119">
        <v>0.0</v>
      </c>
      <c r="H450" s="119">
        <v>0.0</v>
      </c>
      <c r="I450" s="121"/>
      <c r="J450" s="120"/>
      <c r="K450" s="122"/>
      <c r="L450" s="44"/>
    </row>
    <row r="451">
      <c r="A451" s="109" t="s">
        <v>337</v>
      </c>
      <c r="B451" s="110" t="s">
        <v>218</v>
      </c>
      <c r="C451" s="110" t="s">
        <v>222</v>
      </c>
      <c r="D451" s="110">
        <v>53.0</v>
      </c>
      <c r="E451" s="110">
        <v>1.0</v>
      </c>
      <c r="F451" s="110">
        <v>0.0</v>
      </c>
      <c r="G451" s="110">
        <v>0.0</v>
      </c>
      <c r="H451" s="110">
        <v>0.0</v>
      </c>
      <c r="I451" s="111"/>
      <c r="J451" s="112"/>
      <c r="K451" s="113"/>
      <c r="L451" s="44"/>
    </row>
    <row r="452">
      <c r="A452" s="114" t="s">
        <v>337</v>
      </c>
      <c r="B452" s="115" t="s">
        <v>218</v>
      </c>
      <c r="C452" s="115" t="s">
        <v>222</v>
      </c>
      <c r="D452" s="115">
        <v>27.3</v>
      </c>
      <c r="E452" s="115">
        <v>1.0</v>
      </c>
      <c r="F452" s="115">
        <v>1.0</v>
      </c>
      <c r="G452" s="115">
        <v>1.0</v>
      </c>
      <c r="H452" s="115" t="s">
        <v>234</v>
      </c>
      <c r="I452" s="116"/>
      <c r="J452" s="44"/>
      <c r="K452" s="117"/>
      <c r="L452" s="44"/>
    </row>
    <row r="453">
      <c r="A453" s="114" t="s">
        <v>337</v>
      </c>
      <c r="B453" s="115" t="s">
        <v>218</v>
      </c>
      <c r="C453" s="115" t="s">
        <v>222</v>
      </c>
      <c r="D453" s="115">
        <v>37.2</v>
      </c>
      <c r="E453" s="115">
        <v>1.0</v>
      </c>
      <c r="F453" s="115">
        <v>1.0</v>
      </c>
      <c r="G453" s="115">
        <v>0.0</v>
      </c>
      <c r="H453" s="115">
        <v>0.0</v>
      </c>
      <c r="I453" s="116"/>
      <c r="J453" s="44"/>
      <c r="K453" s="117"/>
      <c r="L453" s="44"/>
    </row>
    <row r="454">
      <c r="A454" s="114" t="s">
        <v>337</v>
      </c>
      <c r="B454" s="115" t="s">
        <v>225</v>
      </c>
      <c r="C454" s="115" t="s">
        <v>222</v>
      </c>
      <c r="D454" s="44">
        <f>103.3/3.1416</f>
        <v>32.88133435</v>
      </c>
      <c r="E454" s="115">
        <v>1.0</v>
      </c>
      <c r="F454" s="115">
        <v>1.0</v>
      </c>
      <c r="G454" s="115">
        <v>0.0</v>
      </c>
      <c r="H454" s="115">
        <v>0.0</v>
      </c>
      <c r="I454" s="116"/>
      <c r="J454" s="44"/>
      <c r="K454" s="117"/>
      <c r="L454" s="44"/>
    </row>
    <row r="455">
      <c r="A455" s="114" t="s">
        <v>337</v>
      </c>
      <c r="B455" s="115" t="s">
        <v>225</v>
      </c>
      <c r="C455" s="115" t="s">
        <v>222</v>
      </c>
      <c r="D455" s="44">
        <f>101.8/3.1416</f>
        <v>32.40387064</v>
      </c>
      <c r="E455" s="115">
        <v>1.0</v>
      </c>
      <c r="F455" s="115">
        <v>1.0</v>
      </c>
      <c r="G455" s="115">
        <v>0.0</v>
      </c>
      <c r="H455" s="115">
        <v>0.0</v>
      </c>
      <c r="I455" s="116"/>
      <c r="J455" s="44"/>
      <c r="K455" s="117"/>
      <c r="L455" s="44"/>
    </row>
    <row r="456">
      <c r="A456" s="118" t="s">
        <v>337</v>
      </c>
      <c r="B456" s="119" t="s">
        <v>225</v>
      </c>
      <c r="C456" s="119" t="s">
        <v>222</v>
      </c>
      <c r="D456" s="120">
        <f>107.5/3.1416</f>
        <v>34.21823275</v>
      </c>
      <c r="E456" s="119">
        <v>1.0</v>
      </c>
      <c r="F456" s="119">
        <v>1.0</v>
      </c>
      <c r="G456" s="119">
        <v>0.0</v>
      </c>
      <c r="H456" s="119">
        <v>0.0</v>
      </c>
      <c r="I456" s="121"/>
      <c r="J456" s="120"/>
      <c r="K456" s="122"/>
      <c r="L456" s="44"/>
    </row>
    <row r="457">
      <c r="A457" s="109" t="s">
        <v>338</v>
      </c>
      <c r="B457" s="110" t="s">
        <v>218</v>
      </c>
      <c r="C457" s="110" t="s">
        <v>222</v>
      </c>
      <c r="D457" s="112">
        <f>51/3.1416</f>
        <v>16.23376623</v>
      </c>
      <c r="E457" s="110">
        <v>2.0</v>
      </c>
      <c r="F457" s="110">
        <v>0.0</v>
      </c>
      <c r="G457" s="110">
        <v>1.0</v>
      </c>
      <c r="H457" s="110" t="s">
        <v>270</v>
      </c>
      <c r="I457" s="111"/>
      <c r="J457" s="112"/>
      <c r="K457" s="113"/>
      <c r="L457" s="44"/>
    </row>
    <row r="458">
      <c r="A458" s="114" t="s">
        <v>338</v>
      </c>
      <c r="B458" s="115" t="s">
        <v>218</v>
      </c>
      <c r="C458" s="115" t="s">
        <v>222</v>
      </c>
      <c r="D458" s="44">
        <f>102/3.1416</f>
        <v>32.46753247</v>
      </c>
      <c r="E458" s="115">
        <v>1.0</v>
      </c>
      <c r="F458" s="115">
        <v>0.0</v>
      </c>
      <c r="G458" s="115">
        <v>0.0</v>
      </c>
      <c r="H458" s="115">
        <v>0.0</v>
      </c>
      <c r="I458" s="116"/>
      <c r="J458" s="44"/>
      <c r="K458" s="117"/>
      <c r="L458" s="44"/>
    </row>
    <row r="459">
      <c r="A459" s="114" t="s">
        <v>338</v>
      </c>
      <c r="B459" s="115" t="s">
        <v>221</v>
      </c>
      <c r="C459" s="115" t="s">
        <v>222</v>
      </c>
      <c r="D459" s="44">
        <f>72/3.1416</f>
        <v>22.91825821</v>
      </c>
      <c r="E459" s="115">
        <v>1.0</v>
      </c>
      <c r="F459" s="115">
        <v>0.0</v>
      </c>
      <c r="G459" s="115">
        <v>0.0</v>
      </c>
      <c r="H459" s="115">
        <v>0.0</v>
      </c>
      <c r="I459" s="116"/>
      <c r="J459" s="44"/>
      <c r="K459" s="117"/>
      <c r="L459" s="44"/>
    </row>
    <row r="460">
      <c r="A460" s="114" t="s">
        <v>338</v>
      </c>
      <c r="B460" s="115" t="s">
        <v>221</v>
      </c>
      <c r="C460" s="115" t="s">
        <v>224</v>
      </c>
      <c r="D460" s="44">
        <f>138/3.1416</f>
        <v>43.92666157</v>
      </c>
      <c r="E460" s="115">
        <v>1.0</v>
      </c>
      <c r="F460" s="115">
        <v>0.0</v>
      </c>
      <c r="G460" s="115">
        <v>0.0</v>
      </c>
      <c r="H460" s="115">
        <v>0.0</v>
      </c>
      <c r="I460" s="116"/>
      <c r="J460" s="44"/>
      <c r="K460" s="117"/>
      <c r="L460" s="44"/>
    </row>
    <row r="461">
      <c r="A461" s="114" t="s">
        <v>338</v>
      </c>
      <c r="B461" s="115" t="s">
        <v>221</v>
      </c>
      <c r="C461" s="115" t="s">
        <v>222</v>
      </c>
      <c r="D461" s="44">
        <f>105/3.1416</f>
        <v>33.42245989</v>
      </c>
      <c r="E461" s="115">
        <v>1.0</v>
      </c>
      <c r="F461" s="115">
        <v>0.0</v>
      </c>
      <c r="G461" s="115">
        <v>0.0</v>
      </c>
      <c r="H461" s="115">
        <v>0.0</v>
      </c>
      <c r="I461" s="116"/>
      <c r="J461" s="44"/>
      <c r="K461" s="117"/>
      <c r="L461" s="44"/>
    </row>
    <row r="462">
      <c r="A462" s="114" t="s">
        <v>338</v>
      </c>
      <c r="B462" s="115" t="s">
        <v>225</v>
      </c>
      <c r="C462" s="115" t="s">
        <v>222</v>
      </c>
      <c r="D462" s="115">
        <v>47.0</v>
      </c>
      <c r="E462" s="115">
        <v>2.0</v>
      </c>
      <c r="F462" s="115">
        <v>1.0</v>
      </c>
      <c r="G462" s="115">
        <v>0.0</v>
      </c>
      <c r="H462" s="115">
        <v>0.0</v>
      </c>
      <c r="I462" s="116"/>
      <c r="J462" s="44"/>
      <c r="K462" s="117"/>
      <c r="L462" s="44"/>
    </row>
    <row r="463">
      <c r="A463" s="114" t="s">
        <v>338</v>
      </c>
      <c r="B463" s="115" t="s">
        <v>225</v>
      </c>
      <c r="C463" s="115" t="s">
        <v>222</v>
      </c>
      <c r="D463" s="115">
        <v>107.0</v>
      </c>
      <c r="E463" s="115">
        <v>2.0</v>
      </c>
      <c r="F463" s="115">
        <v>0.0</v>
      </c>
      <c r="G463" s="115">
        <v>1.0</v>
      </c>
      <c r="H463" s="115" t="s">
        <v>270</v>
      </c>
      <c r="I463" s="116"/>
      <c r="J463" s="44"/>
      <c r="K463" s="117"/>
      <c r="L463" s="44"/>
    </row>
    <row r="464">
      <c r="A464" s="114" t="s">
        <v>338</v>
      </c>
      <c r="B464" s="115" t="s">
        <v>226</v>
      </c>
      <c r="C464" s="115" t="s">
        <v>222</v>
      </c>
      <c r="D464" s="44">
        <f>60/3.1416</f>
        <v>19.09854851</v>
      </c>
      <c r="E464" s="115">
        <v>2.0</v>
      </c>
      <c r="F464" s="115">
        <v>0.0</v>
      </c>
      <c r="G464" s="115">
        <v>0.0</v>
      </c>
      <c r="H464" s="115">
        <v>0.0</v>
      </c>
      <c r="I464" s="116"/>
      <c r="J464" s="44"/>
      <c r="K464" s="117"/>
      <c r="L464" s="44"/>
    </row>
    <row r="465">
      <c r="A465" s="114" t="s">
        <v>338</v>
      </c>
      <c r="B465" s="115" t="s">
        <v>226</v>
      </c>
      <c r="C465" s="115" t="s">
        <v>222</v>
      </c>
      <c r="D465" s="44">
        <f>65/3.1416</f>
        <v>20.69009422</v>
      </c>
      <c r="E465" s="115">
        <v>2.0</v>
      </c>
      <c r="F465" s="115">
        <v>0.0</v>
      </c>
      <c r="G465" s="115">
        <v>0.0</v>
      </c>
      <c r="H465" s="115">
        <v>0.0</v>
      </c>
      <c r="I465" s="116"/>
      <c r="J465" s="44"/>
      <c r="K465" s="117"/>
      <c r="L465" s="44"/>
    </row>
    <row r="466">
      <c r="A466" s="118" t="s">
        <v>338</v>
      </c>
      <c r="B466" s="119" t="s">
        <v>226</v>
      </c>
      <c r="C466" s="119" t="s">
        <v>224</v>
      </c>
      <c r="D466" s="120">
        <f>54/3.1416</f>
        <v>17.18869366</v>
      </c>
      <c r="E466" s="119">
        <v>1.0</v>
      </c>
      <c r="F466" s="119">
        <v>0.0</v>
      </c>
      <c r="G466" s="119">
        <v>0.0</v>
      </c>
      <c r="H466" s="119">
        <v>0.0</v>
      </c>
      <c r="I466" s="121"/>
      <c r="J466" s="120"/>
      <c r="K466" s="122"/>
      <c r="L466" s="44"/>
    </row>
    <row r="467">
      <c r="A467" s="109" t="s">
        <v>339</v>
      </c>
      <c r="B467" s="110" t="s">
        <v>218</v>
      </c>
      <c r="C467" s="110" t="s">
        <v>222</v>
      </c>
      <c r="D467" s="112">
        <f>57/3.1416</f>
        <v>18.14362108</v>
      </c>
      <c r="E467" s="110">
        <v>2.0</v>
      </c>
      <c r="F467" s="110">
        <v>1.0</v>
      </c>
      <c r="G467" s="110">
        <v>0.0</v>
      </c>
      <c r="H467" s="110">
        <v>0.0</v>
      </c>
      <c r="I467" s="111"/>
      <c r="J467" s="112"/>
      <c r="K467" s="113"/>
      <c r="L467" s="44"/>
    </row>
    <row r="468">
      <c r="A468" s="114" t="s">
        <v>339</v>
      </c>
      <c r="B468" s="115" t="s">
        <v>221</v>
      </c>
      <c r="C468" s="115" t="s">
        <v>244</v>
      </c>
      <c r="D468" s="44">
        <f>44/3.1416</f>
        <v>14.00560224</v>
      </c>
      <c r="E468" s="115">
        <v>1.0</v>
      </c>
      <c r="F468" s="115">
        <v>1.0</v>
      </c>
      <c r="G468" s="115">
        <v>0.0</v>
      </c>
      <c r="H468" s="115">
        <v>0.0</v>
      </c>
      <c r="I468" s="116"/>
      <c r="J468" s="44"/>
      <c r="K468" s="117"/>
      <c r="L468" s="44"/>
    </row>
    <row r="469">
      <c r="A469" s="114" t="s">
        <v>339</v>
      </c>
      <c r="B469" s="115" t="s">
        <v>221</v>
      </c>
      <c r="C469" s="115" t="s">
        <v>222</v>
      </c>
      <c r="D469" s="115">
        <v>54.8</v>
      </c>
      <c r="E469" s="115">
        <v>2.0</v>
      </c>
      <c r="F469" s="115">
        <v>1.0</v>
      </c>
      <c r="G469" s="115">
        <v>0.0</v>
      </c>
      <c r="H469" s="115">
        <v>0.0</v>
      </c>
      <c r="I469" s="116"/>
      <c r="J469" s="44"/>
      <c r="K469" s="117"/>
      <c r="L469" s="44"/>
    </row>
    <row r="470">
      <c r="A470" s="114" t="s">
        <v>339</v>
      </c>
      <c r="B470" s="115" t="s">
        <v>225</v>
      </c>
      <c r="C470" s="115" t="s">
        <v>222</v>
      </c>
      <c r="D470" s="44">
        <f>56/3.1416</f>
        <v>17.82531194</v>
      </c>
      <c r="E470" s="115">
        <v>2.0</v>
      </c>
      <c r="F470" s="115">
        <v>1.0</v>
      </c>
      <c r="G470" s="115">
        <v>0.0</v>
      </c>
      <c r="H470" s="115">
        <v>0.0</v>
      </c>
      <c r="I470" s="116"/>
      <c r="J470" s="44"/>
      <c r="K470" s="117"/>
      <c r="L470" s="44"/>
    </row>
    <row r="471">
      <c r="A471" s="114" t="s">
        <v>339</v>
      </c>
      <c r="B471" s="115" t="s">
        <v>225</v>
      </c>
      <c r="C471" s="115" t="s">
        <v>222</v>
      </c>
      <c r="D471" s="115">
        <f>80/3.1416</f>
        <v>25.46473135</v>
      </c>
      <c r="E471" s="115">
        <v>2.0</v>
      </c>
      <c r="F471" s="115">
        <v>1.0</v>
      </c>
      <c r="G471" s="115">
        <v>0.0</v>
      </c>
      <c r="H471" s="115">
        <v>0.0</v>
      </c>
      <c r="I471" s="116"/>
      <c r="J471" s="44"/>
      <c r="K471" s="117"/>
      <c r="L471" s="44"/>
    </row>
    <row r="472">
      <c r="A472" s="118" t="s">
        <v>339</v>
      </c>
      <c r="B472" s="119" t="s">
        <v>226</v>
      </c>
      <c r="C472" s="119" t="s">
        <v>222</v>
      </c>
      <c r="D472" s="120">
        <f>87/3.1416</f>
        <v>27.69289534</v>
      </c>
      <c r="E472" s="119">
        <v>1.0</v>
      </c>
      <c r="F472" s="119">
        <v>1.0</v>
      </c>
      <c r="G472" s="119">
        <v>0.0</v>
      </c>
      <c r="H472" s="119">
        <v>0.0</v>
      </c>
      <c r="I472" s="121"/>
      <c r="J472" s="120"/>
      <c r="K472" s="122"/>
      <c r="L472" s="44"/>
    </row>
    <row r="473">
      <c r="A473" s="109" t="s">
        <v>340</v>
      </c>
      <c r="B473" s="110" t="s">
        <v>218</v>
      </c>
      <c r="C473" s="110" t="s">
        <v>317</v>
      </c>
      <c r="D473" s="112">
        <f>125.2/3.1416</f>
        <v>39.85230456</v>
      </c>
      <c r="E473" s="110">
        <v>1.0</v>
      </c>
      <c r="F473" s="110">
        <v>0.0</v>
      </c>
      <c r="G473" s="110">
        <v>0.0</v>
      </c>
      <c r="H473" s="110">
        <v>0.0</v>
      </c>
      <c r="I473" s="111"/>
      <c r="J473" s="112"/>
      <c r="K473" s="113"/>
      <c r="L473" s="44"/>
    </row>
    <row r="474">
      <c r="A474" s="114" t="s">
        <v>340</v>
      </c>
      <c r="B474" s="115" t="s">
        <v>218</v>
      </c>
      <c r="C474" s="115" t="s">
        <v>222</v>
      </c>
      <c r="D474" s="44">
        <f>65/3.1416</f>
        <v>20.69009422</v>
      </c>
      <c r="E474" s="115">
        <v>1.0</v>
      </c>
      <c r="F474" s="115">
        <v>0.0</v>
      </c>
      <c r="G474" s="115">
        <v>0.0</v>
      </c>
      <c r="H474" s="115">
        <v>0.0</v>
      </c>
      <c r="I474" s="116"/>
      <c r="J474" s="44"/>
      <c r="K474" s="117"/>
      <c r="L474" s="44"/>
    </row>
    <row r="475">
      <c r="A475" s="114" t="s">
        <v>340</v>
      </c>
      <c r="B475" s="115" t="s">
        <v>226</v>
      </c>
      <c r="C475" s="115" t="s">
        <v>317</v>
      </c>
      <c r="D475" s="44">
        <f>48.5/3.1416</f>
        <v>15.43799338</v>
      </c>
      <c r="E475" s="115">
        <v>1.0</v>
      </c>
      <c r="F475" s="115">
        <v>0.0</v>
      </c>
      <c r="G475" s="115">
        <v>0.0</v>
      </c>
      <c r="H475" s="115">
        <v>0.0</v>
      </c>
      <c r="I475" s="116"/>
      <c r="J475" s="44"/>
      <c r="K475" s="117"/>
      <c r="L475" s="44"/>
    </row>
    <row r="476">
      <c r="A476" s="114" t="s">
        <v>340</v>
      </c>
      <c r="B476" s="115" t="s">
        <v>218</v>
      </c>
      <c r="C476" s="115" t="s">
        <v>222</v>
      </c>
      <c r="D476" s="44">
        <f>70</f>
        <v>70</v>
      </c>
      <c r="E476" s="115">
        <v>1.0</v>
      </c>
      <c r="F476" s="115">
        <v>0.0</v>
      </c>
      <c r="G476" s="115">
        <v>0.0</v>
      </c>
      <c r="H476" s="115">
        <v>0.0</v>
      </c>
      <c r="I476" s="116"/>
      <c r="J476" s="44"/>
      <c r="K476" s="117"/>
      <c r="L476" s="44"/>
    </row>
    <row r="477">
      <c r="A477" s="114" t="s">
        <v>340</v>
      </c>
      <c r="B477" s="115" t="s">
        <v>226</v>
      </c>
      <c r="C477" s="115" t="s">
        <v>317</v>
      </c>
      <c r="D477" s="44">
        <f>64/3.1416</f>
        <v>20.37178508</v>
      </c>
      <c r="E477" s="115">
        <v>1.0</v>
      </c>
      <c r="F477" s="115">
        <v>0.0</v>
      </c>
      <c r="G477" s="115">
        <v>0.0</v>
      </c>
      <c r="H477" s="115">
        <v>0.0</v>
      </c>
      <c r="I477" s="116"/>
      <c r="J477" s="44"/>
      <c r="K477" s="117"/>
      <c r="L477" s="44"/>
    </row>
    <row r="478">
      <c r="A478" s="114" t="s">
        <v>340</v>
      </c>
      <c r="B478" s="115" t="s">
        <v>221</v>
      </c>
      <c r="C478" s="115" t="s">
        <v>222</v>
      </c>
      <c r="D478" s="44">
        <f>108/3.1416</f>
        <v>34.37738732</v>
      </c>
      <c r="E478" s="115">
        <v>1.0</v>
      </c>
      <c r="F478" s="115">
        <v>0.0</v>
      </c>
      <c r="G478" s="115">
        <v>0.0</v>
      </c>
      <c r="H478" s="115">
        <v>0.0</v>
      </c>
      <c r="I478" s="116"/>
      <c r="J478" s="44"/>
      <c r="K478" s="117"/>
      <c r="L478" s="44"/>
    </row>
    <row r="479">
      <c r="A479" s="114" t="s">
        <v>340</v>
      </c>
      <c r="B479" s="115" t="s">
        <v>221</v>
      </c>
      <c r="C479" s="115" t="s">
        <v>222</v>
      </c>
      <c r="D479" s="44">
        <f>51/3.1416</f>
        <v>16.23376623</v>
      </c>
      <c r="E479" s="115">
        <v>1.0</v>
      </c>
      <c r="F479" s="115">
        <v>0.0</v>
      </c>
      <c r="G479" s="115">
        <v>0.0</v>
      </c>
      <c r="H479" s="115">
        <v>0.0</v>
      </c>
      <c r="I479" s="116"/>
      <c r="J479" s="44"/>
      <c r="K479" s="117"/>
      <c r="L479" s="44"/>
    </row>
    <row r="480">
      <c r="A480" s="114" t="s">
        <v>340</v>
      </c>
      <c r="B480" s="115" t="s">
        <v>221</v>
      </c>
      <c r="C480" s="115" t="s">
        <v>222</v>
      </c>
      <c r="D480" s="44">
        <f>26</f>
        <v>26</v>
      </c>
      <c r="E480" s="115">
        <v>1.0</v>
      </c>
      <c r="F480" s="115">
        <v>0.0</v>
      </c>
      <c r="G480" s="115">
        <v>0.0</v>
      </c>
      <c r="H480" s="115">
        <v>0.0</v>
      </c>
      <c r="I480" s="116"/>
      <c r="J480" s="44"/>
      <c r="K480" s="117"/>
      <c r="L480" s="44"/>
    </row>
    <row r="481">
      <c r="A481" s="114" t="s">
        <v>340</v>
      </c>
      <c r="B481" s="115" t="s">
        <v>225</v>
      </c>
      <c r="C481" s="115" t="s">
        <v>317</v>
      </c>
      <c r="D481" s="115">
        <v>19.0</v>
      </c>
      <c r="E481" s="115">
        <v>1.0</v>
      </c>
      <c r="F481" s="115">
        <v>0.0</v>
      </c>
      <c r="G481" s="115">
        <v>0.0</v>
      </c>
      <c r="H481" s="115">
        <v>0.0</v>
      </c>
      <c r="I481" s="116"/>
      <c r="J481" s="44"/>
      <c r="K481" s="117"/>
      <c r="L481" s="44"/>
    </row>
    <row r="482">
      <c r="A482" s="114" t="s">
        <v>340</v>
      </c>
      <c r="B482" s="115" t="s">
        <v>225</v>
      </c>
      <c r="C482" s="115" t="s">
        <v>317</v>
      </c>
      <c r="D482" s="115">
        <v>23.0</v>
      </c>
      <c r="E482" s="115">
        <v>1.0</v>
      </c>
      <c r="F482" s="115">
        <v>0.0</v>
      </c>
      <c r="G482" s="115">
        <v>0.0</v>
      </c>
      <c r="H482" s="115">
        <v>0.0</v>
      </c>
      <c r="I482" s="116"/>
      <c r="J482" s="44"/>
      <c r="K482" s="117"/>
      <c r="L482" s="44"/>
    </row>
    <row r="483">
      <c r="A483" s="118" t="s">
        <v>340</v>
      </c>
      <c r="B483" s="119" t="s">
        <v>225</v>
      </c>
      <c r="C483" s="119" t="s">
        <v>222</v>
      </c>
      <c r="D483" s="119">
        <v>43.0</v>
      </c>
      <c r="E483" s="119">
        <v>2.0</v>
      </c>
      <c r="F483" s="119">
        <v>0.0</v>
      </c>
      <c r="G483" s="119">
        <v>0.0</v>
      </c>
      <c r="H483" s="119">
        <v>0.0</v>
      </c>
      <c r="I483" s="121"/>
      <c r="J483" s="120"/>
      <c r="K483" s="122"/>
      <c r="L483" s="44"/>
    </row>
    <row r="484">
      <c r="A484" s="109" t="s">
        <v>341</v>
      </c>
      <c r="B484" s="110" t="s">
        <v>218</v>
      </c>
      <c r="C484" s="110" t="s">
        <v>317</v>
      </c>
      <c r="D484" s="110">
        <f>84.5/3.1416</f>
        <v>26.89712249</v>
      </c>
      <c r="E484" s="110">
        <v>1.0</v>
      </c>
      <c r="F484" s="110">
        <v>1.0</v>
      </c>
      <c r="G484" s="110">
        <v>0.0</v>
      </c>
      <c r="H484" s="110">
        <v>0.0</v>
      </c>
      <c r="I484" s="111"/>
      <c r="J484" s="112"/>
      <c r="K484" s="113"/>
      <c r="L484" s="44"/>
    </row>
    <row r="485">
      <c r="A485" s="114" t="s">
        <v>341</v>
      </c>
      <c r="B485" s="115" t="s">
        <v>218</v>
      </c>
      <c r="C485" s="115" t="s">
        <v>222</v>
      </c>
      <c r="D485" s="44">
        <f>140/3.1416</f>
        <v>44.56327986</v>
      </c>
      <c r="E485" s="115">
        <v>1.0</v>
      </c>
      <c r="F485" s="115">
        <v>0.0</v>
      </c>
      <c r="G485" s="115">
        <v>0.0</v>
      </c>
      <c r="H485" s="115">
        <v>0.0</v>
      </c>
      <c r="I485" s="116"/>
      <c r="J485" s="44"/>
      <c r="K485" s="117"/>
      <c r="L485" s="44"/>
    </row>
    <row r="486">
      <c r="A486" s="114" t="s">
        <v>341</v>
      </c>
      <c r="B486" s="115" t="s">
        <v>218</v>
      </c>
      <c r="C486" s="115" t="s">
        <v>222</v>
      </c>
      <c r="D486" s="44">
        <f>70/3.1416</f>
        <v>22.28163993</v>
      </c>
      <c r="E486" s="115">
        <v>1.0</v>
      </c>
      <c r="F486" s="115">
        <v>1.0</v>
      </c>
      <c r="G486" s="115">
        <v>0.0</v>
      </c>
      <c r="H486" s="115">
        <v>0.0</v>
      </c>
      <c r="I486" s="116"/>
      <c r="J486" s="44"/>
      <c r="K486" s="117"/>
      <c r="L486" s="44"/>
    </row>
    <row r="487">
      <c r="A487" s="114" t="s">
        <v>341</v>
      </c>
      <c r="B487" s="115" t="s">
        <v>225</v>
      </c>
      <c r="C487" s="115" t="s">
        <v>222</v>
      </c>
      <c r="D487" s="44">
        <f>52/3.1416</f>
        <v>16.55207538</v>
      </c>
      <c r="E487" s="115">
        <v>2.0</v>
      </c>
      <c r="F487" s="115">
        <v>0.0</v>
      </c>
      <c r="G487" s="115">
        <v>1.0</v>
      </c>
      <c r="H487" s="115">
        <v>1.0</v>
      </c>
      <c r="I487" s="116"/>
      <c r="J487" s="44"/>
      <c r="K487" s="117"/>
      <c r="L487" s="44"/>
    </row>
    <row r="488">
      <c r="A488" s="114" t="s">
        <v>341</v>
      </c>
      <c r="B488" s="115" t="s">
        <v>225</v>
      </c>
      <c r="C488" s="115" t="s">
        <v>222</v>
      </c>
      <c r="D488" s="44">
        <f>90</f>
        <v>90</v>
      </c>
      <c r="E488" s="115">
        <v>2.0</v>
      </c>
      <c r="F488" s="115">
        <v>1.0</v>
      </c>
      <c r="G488" s="115">
        <v>2.0</v>
      </c>
      <c r="H488" s="115" t="s">
        <v>342</v>
      </c>
      <c r="I488" s="116"/>
      <c r="J488" s="44"/>
      <c r="K488" s="117"/>
      <c r="L488" s="44"/>
    </row>
    <row r="489">
      <c r="A489" s="114" t="s">
        <v>341</v>
      </c>
      <c r="B489" s="115" t="s">
        <v>225</v>
      </c>
      <c r="C489" s="115" t="s">
        <v>220</v>
      </c>
      <c r="D489" s="44">
        <f>63/3.1416</f>
        <v>20.05347594</v>
      </c>
      <c r="E489" s="115">
        <v>1.0</v>
      </c>
      <c r="F489" s="115">
        <v>0.0</v>
      </c>
      <c r="G489" s="115">
        <v>0.0</v>
      </c>
      <c r="H489" s="115">
        <v>0.0</v>
      </c>
      <c r="I489" s="116"/>
      <c r="J489" s="44"/>
      <c r="K489" s="117"/>
      <c r="L489" s="44"/>
    </row>
    <row r="490">
      <c r="A490" s="114" t="s">
        <v>341</v>
      </c>
      <c r="B490" s="115" t="s">
        <v>226</v>
      </c>
      <c r="C490" s="115" t="s">
        <v>222</v>
      </c>
      <c r="D490" s="44">
        <f>79.4/3.1416</f>
        <v>25.27374586</v>
      </c>
      <c r="E490" s="115">
        <v>1.0</v>
      </c>
      <c r="F490" s="115">
        <v>0.0</v>
      </c>
      <c r="G490" s="115">
        <v>0.0</v>
      </c>
      <c r="H490" s="115">
        <v>0.0</v>
      </c>
      <c r="I490" s="116"/>
      <c r="J490" s="44"/>
      <c r="K490" s="117"/>
      <c r="L490" s="44"/>
    </row>
    <row r="491">
      <c r="A491" s="118" t="s">
        <v>341</v>
      </c>
      <c r="B491" s="119" t="s">
        <v>226</v>
      </c>
      <c r="C491" s="119" t="s">
        <v>222</v>
      </c>
      <c r="D491" s="119">
        <v>46.0</v>
      </c>
      <c r="E491" s="119">
        <v>2.0</v>
      </c>
      <c r="F491" s="119">
        <v>1.0</v>
      </c>
      <c r="G491" s="119">
        <v>3.0</v>
      </c>
      <c r="H491" s="119" t="s">
        <v>343</v>
      </c>
      <c r="I491" s="121"/>
      <c r="J491" s="120"/>
      <c r="K491" s="122"/>
      <c r="L491" s="44"/>
    </row>
    <row r="492">
      <c r="A492" s="109" t="s">
        <v>344</v>
      </c>
      <c r="B492" s="110" t="s">
        <v>221</v>
      </c>
      <c r="C492" s="110" t="s">
        <v>222</v>
      </c>
      <c r="D492" s="112">
        <f>98/3.1416</f>
        <v>31.1942959</v>
      </c>
      <c r="E492" s="110">
        <v>2.0</v>
      </c>
      <c r="F492" s="110">
        <v>1.0</v>
      </c>
      <c r="G492" s="110">
        <v>2.0</v>
      </c>
      <c r="H492" s="110" t="s">
        <v>269</v>
      </c>
      <c r="I492" s="111"/>
      <c r="J492" s="112"/>
      <c r="K492" s="113"/>
      <c r="L492" s="44"/>
    </row>
    <row r="493">
      <c r="A493" s="114" t="s">
        <v>344</v>
      </c>
      <c r="B493" s="115" t="s">
        <v>221</v>
      </c>
      <c r="C493" s="115" t="s">
        <v>222</v>
      </c>
      <c r="D493" s="44">
        <f>86.7/3.1416</f>
        <v>27.5974026</v>
      </c>
      <c r="E493" s="115">
        <v>2.0</v>
      </c>
      <c r="F493" s="115">
        <v>1.0</v>
      </c>
      <c r="G493" s="115">
        <v>1.0</v>
      </c>
      <c r="H493" s="115" t="s">
        <v>270</v>
      </c>
      <c r="I493" s="116"/>
      <c r="J493" s="44"/>
      <c r="K493" s="117"/>
      <c r="L493" s="44"/>
    </row>
    <row r="494">
      <c r="A494" s="114" t="s">
        <v>344</v>
      </c>
      <c r="B494" s="115" t="s">
        <v>221</v>
      </c>
      <c r="C494" s="115" t="s">
        <v>222</v>
      </c>
      <c r="D494" s="44">
        <f>60</f>
        <v>60</v>
      </c>
      <c r="E494" s="115">
        <v>1.0</v>
      </c>
      <c r="F494" s="115">
        <v>1.0</v>
      </c>
      <c r="G494" s="115">
        <v>1.0</v>
      </c>
      <c r="H494" s="115" t="s">
        <v>319</v>
      </c>
      <c r="I494" s="116"/>
      <c r="J494" s="44"/>
      <c r="K494" s="117"/>
      <c r="L494" s="44"/>
    </row>
    <row r="495">
      <c r="A495" s="114" t="s">
        <v>344</v>
      </c>
      <c r="B495" s="115" t="s">
        <v>225</v>
      </c>
      <c r="C495" s="115" t="s">
        <v>222</v>
      </c>
      <c r="D495" s="44">
        <f>50</f>
        <v>50</v>
      </c>
      <c r="E495" s="115">
        <v>2.0</v>
      </c>
      <c r="F495" s="115">
        <v>1.0</v>
      </c>
      <c r="G495" s="115">
        <v>1.0</v>
      </c>
      <c r="H495" s="115" t="s">
        <v>270</v>
      </c>
      <c r="I495" s="116"/>
      <c r="J495" s="44"/>
      <c r="K495" s="117"/>
      <c r="L495" s="44"/>
    </row>
    <row r="496">
      <c r="A496" s="118" t="s">
        <v>344</v>
      </c>
      <c r="B496" s="119" t="s">
        <v>226</v>
      </c>
      <c r="C496" s="119" t="s">
        <v>222</v>
      </c>
      <c r="D496" s="119">
        <v>65.0</v>
      </c>
      <c r="E496" s="119">
        <v>1.0</v>
      </c>
      <c r="F496" s="119">
        <v>1.0</v>
      </c>
      <c r="G496" s="119">
        <v>0.0</v>
      </c>
      <c r="H496" s="119">
        <v>0.0</v>
      </c>
      <c r="I496" s="121"/>
      <c r="J496" s="120"/>
      <c r="K496" s="122"/>
      <c r="L496" s="44"/>
    </row>
    <row r="497">
      <c r="A497" s="109" t="s">
        <v>345</v>
      </c>
      <c r="B497" s="110" t="s">
        <v>226</v>
      </c>
      <c r="C497" s="110" t="s">
        <v>222</v>
      </c>
      <c r="D497" s="112">
        <f>109/3.1416</f>
        <v>34.69569646</v>
      </c>
      <c r="E497" s="110">
        <v>1.0</v>
      </c>
      <c r="F497" s="110">
        <v>1.0</v>
      </c>
      <c r="G497" s="110">
        <v>0.0</v>
      </c>
      <c r="H497" s="110">
        <v>0.0</v>
      </c>
      <c r="I497" s="111"/>
      <c r="J497" s="112"/>
      <c r="K497" s="113"/>
      <c r="L497" s="44"/>
    </row>
    <row r="498">
      <c r="A498" s="114" t="s">
        <v>345</v>
      </c>
      <c r="B498" s="115" t="s">
        <v>218</v>
      </c>
      <c r="C498" s="115" t="s">
        <v>222</v>
      </c>
      <c r="D498" s="44">
        <f>68</f>
        <v>68</v>
      </c>
      <c r="E498" s="115">
        <v>1.0</v>
      </c>
      <c r="F498" s="115">
        <v>1.0</v>
      </c>
      <c r="G498" s="115">
        <v>1.0</v>
      </c>
      <c r="H498" s="115" t="s">
        <v>270</v>
      </c>
      <c r="I498" s="116"/>
      <c r="J498" s="44"/>
      <c r="K498" s="117"/>
      <c r="L498" s="44"/>
    </row>
    <row r="499">
      <c r="A499" s="114" t="s">
        <v>345</v>
      </c>
      <c r="B499" s="115" t="s">
        <v>218</v>
      </c>
      <c r="C499" s="115" t="s">
        <v>222</v>
      </c>
      <c r="D499" s="44">
        <f>72/3.1416</f>
        <v>22.91825821</v>
      </c>
      <c r="E499" s="115">
        <v>1.0</v>
      </c>
      <c r="F499" s="115">
        <v>1.0</v>
      </c>
      <c r="G499" s="115">
        <v>1.0</v>
      </c>
      <c r="H499" s="115" t="s">
        <v>319</v>
      </c>
      <c r="I499" s="116"/>
      <c r="J499" s="44"/>
      <c r="K499" s="117"/>
      <c r="L499" s="44"/>
    </row>
    <row r="500">
      <c r="A500" s="114" t="s">
        <v>345</v>
      </c>
      <c r="B500" s="115" t="s">
        <v>218</v>
      </c>
      <c r="C500" s="115" t="s">
        <v>222</v>
      </c>
      <c r="D500" s="115">
        <v>29.0</v>
      </c>
      <c r="E500" s="115">
        <v>2.0</v>
      </c>
      <c r="F500" s="115">
        <v>1.0</v>
      </c>
      <c r="G500" s="115">
        <v>0.0</v>
      </c>
      <c r="H500" s="115">
        <v>0.0</v>
      </c>
      <c r="I500" s="116"/>
      <c r="J500" s="44"/>
      <c r="K500" s="117"/>
      <c r="L500" s="44"/>
    </row>
    <row r="501">
      <c r="A501" s="114" t="s">
        <v>345</v>
      </c>
      <c r="B501" s="115" t="s">
        <v>221</v>
      </c>
      <c r="C501" s="115" t="s">
        <v>222</v>
      </c>
      <c r="D501" s="115">
        <v>63.0</v>
      </c>
      <c r="E501" s="115">
        <v>2.0</v>
      </c>
      <c r="F501" s="115">
        <v>1.0</v>
      </c>
      <c r="G501" s="115">
        <v>0.0</v>
      </c>
      <c r="H501" s="115">
        <v>0.0</v>
      </c>
      <c r="I501" s="116"/>
      <c r="J501" s="44"/>
      <c r="K501" s="117"/>
      <c r="L501" s="44"/>
    </row>
    <row r="502">
      <c r="A502" s="118" t="s">
        <v>345</v>
      </c>
      <c r="B502" s="119" t="s">
        <v>225</v>
      </c>
      <c r="C502" s="119" t="s">
        <v>222</v>
      </c>
      <c r="D502" s="119">
        <f>129.4/3.1416</f>
        <v>41.18920295</v>
      </c>
      <c r="E502" s="119">
        <v>2.0</v>
      </c>
      <c r="F502" s="119">
        <v>1.0</v>
      </c>
      <c r="G502" s="119">
        <v>0.0</v>
      </c>
      <c r="H502" s="119">
        <v>0.0</v>
      </c>
      <c r="I502" s="121"/>
      <c r="J502" s="120"/>
      <c r="K502" s="122"/>
      <c r="L502" s="44"/>
    </row>
    <row r="503">
      <c r="A503" s="109" t="s">
        <v>346</v>
      </c>
      <c r="B503" s="110" t="s">
        <v>221</v>
      </c>
      <c r="C503" s="110" t="s">
        <v>222</v>
      </c>
      <c r="D503" s="110">
        <v>79.0</v>
      </c>
      <c r="E503" s="110">
        <v>2.0</v>
      </c>
      <c r="F503" s="110">
        <v>1.0</v>
      </c>
      <c r="G503" s="110">
        <v>2.0</v>
      </c>
      <c r="H503" s="110" t="s">
        <v>269</v>
      </c>
      <c r="I503" s="111"/>
      <c r="J503" s="112"/>
      <c r="K503" s="113"/>
      <c r="L503" s="44"/>
    </row>
    <row r="504">
      <c r="A504" s="118" t="s">
        <v>346</v>
      </c>
      <c r="B504" s="119" t="s">
        <v>221</v>
      </c>
      <c r="C504" s="119" t="s">
        <v>222</v>
      </c>
      <c r="D504" s="119">
        <v>76.0</v>
      </c>
      <c r="E504" s="119">
        <v>1.0</v>
      </c>
      <c r="F504" s="119">
        <v>1.0</v>
      </c>
      <c r="G504" s="119">
        <v>0.0</v>
      </c>
      <c r="H504" s="119">
        <v>0.0</v>
      </c>
      <c r="I504" s="121"/>
      <c r="J504" s="120"/>
      <c r="K504" s="122"/>
      <c r="L504" s="44"/>
    </row>
    <row r="505">
      <c r="A505" s="123" t="s">
        <v>347</v>
      </c>
      <c r="B505" s="124" t="s">
        <v>225</v>
      </c>
      <c r="C505" s="124" t="s">
        <v>222</v>
      </c>
      <c r="D505" s="124">
        <v>64.0</v>
      </c>
      <c r="E505" s="124">
        <v>1.0</v>
      </c>
      <c r="F505" s="124">
        <v>0.0</v>
      </c>
      <c r="G505" s="124">
        <v>0.0</v>
      </c>
      <c r="H505" s="124">
        <v>0.0</v>
      </c>
      <c r="I505" s="130">
        <v>8.0</v>
      </c>
      <c r="J505" s="124">
        <v>68.0</v>
      </c>
      <c r="K505" s="131">
        <v>0.0</v>
      </c>
      <c r="L505" s="44"/>
    </row>
    <row r="506">
      <c r="A506" s="109" t="s">
        <v>348</v>
      </c>
      <c r="B506" s="110" t="s">
        <v>218</v>
      </c>
      <c r="C506" s="110" t="s">
        <v>222</v>
      </c>
      <c r="D506" s="112">
        <f>65/3.1416</f>
        <v>20.69009422</v>
      </c>
      <c r="E506" s="110">
        <v>3.0</v>
      </c>
      <c r="F506" s="110">
        <v>1.0</v>
      </c>
      <c r="G506" s="110">
        <v>0.0</v>
      </c>
      <c r="H506" s="110">
        <v>0.0</v>
      </c>
      <c r="I506" s="111"/>
      <c r="J506" s="112"/>
      <c r="K506" s="113"/>
      <c r="L506" s="44"/>
    </row>
    <row r="507">
      <c r="A507" s="114" t="s">
        <v>348</v>
      </c>
      <c r="B507" s="115" t="s">
        <v>218</v>
      </c>
      <c r="C507" s="115" t="s">
        <v>222</v>
      </c>
      <c r="D507" s="44">
        <f>23</f>
        <v>23</v>
      </c>
      <c r="E507" s="115">
        <v>2.0</v>
      </c>
      <c r="F507" s="115">
        <v>1.0</v>
      </c>
      <c r="G507" s="115">
        <v>0.0</v>
      </c>
      <c r="H507" s="115">
        <v>0.0</v>
      </c>
      <c r="I507" s="116"/>
      <c r="J507" s="44"/>
      <c r="K507" s="117"/>
      <c r="L507" s="44"/>
    </row>
    <row r="508">
      <c r="A508" s="114" t="s">
        <v>348</v>
      </c>
      <c r="B508" s="115" t="s">
        <v>218</v>
      </c>
      <c r="C508" s="115" t="s">
        <v>222</v>
      </c>
      <c r="D508" s="44">
        <f>148/3.1416</f>
        <v>47.10975299</v>
      </c>
      <c r="E508" s="115">
        <v>1.0</v>
      </c>
      <c r="F508" s="115">
        <v>1.0</v>
      </c>
      <c r="G508" s="115">
        <v>0.0</v>
      </c>
      <c r="H508" s="115">
        <v>0.0</v>
      </c>
      <c r="I508" s="116"/>
      <c r="J508" s="44"/>
      <c r="K508" s="117"/>
      <c r="L508" s="44"/>
    </row>
    <row r="509">
      <c r="A509" s="114" t="s">
        <v>348</v>
      </c>
      <c r="B509" s="115" t="s">
        <v>221</v>
      </c>
      <c r="C509" s="115" t="s">
        <v>222</v>
      </c>
      <c r="D509" s="44">
        <f>45</f>
        <v>45</v>
      </c>
      <c r="E509" s="115">
        <v>1.0</v>
      </c>
      <c r="F509" s="115">
        <v>1.0</v>
      </c>
      <c r="G509" s="115">
        <v>0.0</v>
      </c>
      <c r="H509" s="115">
        <v>0.0</v>
      </c>
      <c r="I509" s="116"/>
      <c r="J509" s="44"/>
      <c r="K509" s="117"/>
      <c r="L509" s="44"/>
    </row>
    <row r="510">
      <c r="A510" s="114" t="s">
        <v>348</v>
      </c>
      <c r="B510" s="115" t="s">
        <v>221</v>
      </c>
      <c r="C510" s="115" t="s">
        <v>222</v>
      </c>
      <c r="D510" s="44">
        <f>27</f>
        <v>27</v>
      </c>
      <c r="E510" s="115">
        <v>1.0</v>
      </c>
      <c r="F510" s="115">
        <v>1.0</v>
      </c>
      <c r="G510" s="115">
        <v>1.0</v>
      </c>
      <c r="H510" s="115">
        <v>1.0</v>
      </c>
      <c r="I510" s="116"/>
      <c r="J510" s="44"/>
      <c r="K510" s="117"/>
      <c r="L510" s="44"/>
    </row>
    <row r="511">
      <c r="A511" s="114" t="s">
        <v>348</v>
      </c>
      <c r="B511" s="115" t="s">
        <v>221</v>
      </c>
      <c r="C511" s="115" t="s">
        <v>222</v>
      </c>
      <c r="D511" s="44">
        <f>90/3.1416</f>
        <v>28.64782277</v>
      </c>
      <c r="E511" s="115">
        <v>1.0</v>
      </c>
      <c r="F511" s="115">
        <v>0.0</v>
      </c>
      <c r="G511" s="115">
        <v>0.0</v>
      </c>
      <c r="H511" s="115">
        <v>0.0</v>
      </c>
      <c r="I511" s="116"/>
      <c r="J511" s="44"/>
      <c r="K511" s="117"/>
      <c r="L511" s="44"/>
    </row>
    <row r="512">
      <c r="A512" s="114" t="s">
        <v>348</v>
      </c>
      <c r="B512" s="115" t="s">
        <v>225</v>
      </c>
      <c r="C512" s="115" t="s">
        <v>222</v>
      </c>
      <c r="D512" s="44">
        <f>65</f>
        <v>65</v>
      </c>
      <c r="E512" s="115">
        <v>1.0</v>
      </c>
      <c r="F512" s="115">
        <v>1.0</v>
      </c>
      <c r="G512" s="115">
        <v>1.0</v>
      </c>
      <c r="H512" s="115">
        <v>1.0</v>
      </c>
      <c r="I512" s="116"/>
      <c r="J512" s="44"/>
      <c r="K512" s="117"/>
      <c r="L512" s="44"/>
    </row>
    <row r="513">
      <c r="A513" s="114" t="s">
        <v>348</v>
      </c>
      <c r="B513" s="115" t="s">
        <v>225</v>
      </c>
      <c r="C513" s="115" t="s">
        <v>222</v>
      </c>
      <c r="D513" s="115">
        <v>42.0</v>
      </c>
      <c r="E513" s="115">
        <v>2.0</v>
      </c>
      <c r="F513" s="115">
        <v>1.0</v>
      </c>
      <c r="G513" s="115">
        <v>1.0</v>
      </c>
      <c r="H513" s="115">
        <v>1.0</v>
      </c>
      <c r="I513" s="116"/>
      <c r="J513" s="44"/>
      <c r="K513" s="117"/>
      <c r="L513" s="44"/>
    </row>
    <row r="514">
      <c r="A514" s="118" t="s">
        <v>348</v>
      </c>
      <c r="B514" s="119" t="s">
        <v>225</v>
      </c>
      <c r="C514" s="119" t="s">
        <v>222</v>
      </c>
      <c r="D514" s="120">
        <f>56/3.1416</f>
        <v>17.82531194</v>
      </c>
      <c r="E514" s="119">
        <v>1.0</v>
      </c>
      <c r="F514" s="119">
        <v>0.0</v>
      </c>
      <c r="G514" s="119">
        <v>0.0</v>
      </c>
      <c r="H514" s="119">
        <v>0.0</v>
      </c>
      <c r="I514" s="121"/>
      <c r="J514" s="120"/>
      <c r="K514" s="122"/>
      <c r="L514" s="44"/>
    </row>
    <row r="515">
      <c r="A515" s="123" t="s">
        <v>349</v>
      </c>
      <c r="B515" s="124" t="s">
        <v>221</v>
      </c>
      <c r="C515" s="124" t="s">
        <v>222</v>
      </c>
      <c r="D515" s="126">
        <f>148/3.1416</f>
        <v>47.10975299</v>
      </c>
      <c r="E515" s="124">
        <v>1.0</v>
      </c>
      <c r="F515" s="124">
        <v>1.0</v>
      </c>
      <c r="G515" s="124">
        <v>0.0</v>
      </c>
      <c r="H515" s="124">
        <v>0.0</v>
      </c>
      <c r="I515" s="125"/>
      <c r="J515" s="126"/>
      <c r="K515" s="127"/>
      <c r="L515" s="44"/>
    </row>
    <row r="516">
      <c r="A516" s="109" t="s">
        <v>350</v>
      </c>
      <c r="B516" s="110" t="s">
        <v>218</v>
      </c>
      <c r="C516" s="110" t="s">
        <v>222</v>
      </c>
      <c r="D516" s="112">
        <f>49</f>
        <v>49</v>
      </c>
      <c r="E516" s="110">
        <v>2.0</v>
      </c>
      <c r="F516" s="110">
        <v>0.0</v>
      </c>
      <c r="G516" s="110">
        <v>3.0</v>
      </c>
      <c r="H516" s="110" t="s">
        <v>343</v>
      </c>
      <c r="I516" s="128">
        <f>59/3.1416</f>
        <v>18.78023937</v>
      </c>
      <c r="J516" s="110">
        <v>130.0</v>
      </c>
      <c r="K516" s="129">
        <v>1.0</v>
      </c>
      <c r="L516" s="44"/>
    </row>
    <row r="517">
      <c r="A517" s="114" t="s">
        <v>350</v>
      </c>
      <c r="B517" s="115" t="s">
        <v>218</v>
      </c>
      <c r="C517" s="115" t="s">
        <v>222</v>
      </c>
      <c r="D517" s="44">
        <f>54.2/3.1416</f>
        <v>17.25235549</v>
      </c>
      <c r="E517" s="115">
        <v>3.0</v>
      </c>
      <c r="F517" s="115">
        <v>0.0</v>
      </c>
      <c r="G517" s="115">
        <v>5.0</v>
      </c>
      <c r="H517" s="115" t="s">
        <v>351</v>
      </c>
      <c r="I517" s="116"/>
      <c r="J517" s="44"/>
      <c r="K517" s="117"/>
      <c r="L517" s="44"/>
    </row>
    <row r="518">
      <c r="A518" s="114" t="s">
        <v>350</v>
      </c>
      <c r="B518" s="115" t="s">
        <v>221</v>
      </c>
      <c r="C518" s="115" t="s">
        <v>222</v>
      </c>
      <c r="D518" s="44">
        <f>104.4</f>
        <v>104.4</v>
      </c>
      <c r="E518" s="115">
        <v>1.0</v>
      </c>
      <c r="F518" s="115">
        <v>1.0</v>
      </c>
      <c r="G518" s="115">
        <v>0.0</v>
      </c>
      <c r="H518" s="115">
        <v>0.0</v>
      </c>
      <c r="I518" s="116"/>
      <c r="J518" s="44"/>
      <c r="K518" s="117"/>
      <c r="L518" s="44"/>
    </row>
    <row r="519">
      <c r="A519" s="114" t="s">
        <v>350</v>
      </c>
      <c r="B519" s="115" t="s">
        <v>221</v>
      </c>
      <c r="C519" s="115" t="s">
        <v>222</v>
      </c>
      <c r="D519" s="44">
        <f>70</f>
        <v>70</v>
      </c>
      <c r="E519" s="115">
        <v>2.0</v>
      </c>
      <c r="F519" s="115">
        <v>1.0</v>
      </c>
      <c r="G519" s="115">
        <v>0.0</v>
      </c>
      <c r="H519" s="115">
        <v>0.0</v>
      </c>
      <c r="I519" s="116"/>
      <c r="J519" s="44"/>
      <c r="K519" s="117"/>
      <c r="L519" s="44"/>
    </row>
    <row r="520">
      <c r="A520" s="114" t="s">
        <v>350</v>
      </c>
      <c r="B520" s="115" t="s">
        <v>221</v>
      </c>
      <c r="C520" s="115" t="s">
        <v>222</v>
      </c>
      <c r="D520" s="115">
        <v>50.0</v>
      </c>
      <c r="E520" s="115">
        <v>2.0</v>
      </c>
      <c r="F520" s="115">
        <v>1.0</v>
      </c>
      <c r="G520" s="115">
        <v>1.0</v>
      </c>
      <c r="H520" s="115" t="s">
        <v>270</v>
      </c>
      <c r="I520" s="116"/>
      <c r="J520" s="44"/>
      <c r="K520" s="117"/>
      <c r="L520" s="44"/>
    </row>
    <row r="521">
      <c r="A521" s="114" t="s">
        <v>350</v>
      </c>
      <c r="B521" s="115" t="s">
        <v>225</v>
      </c>
      <c r="C521" s="115" t="s">
        <v>222</v>
      </c>
      <c r="D521" s="115">
        <v>71.0</v>
      </c>
      <c r="E521" s="115">
        <v>2.0</v>
      </c>
      <c r="F521" s="115">
        <v>1.0</v>
      </c>
      <c r="G521" s="115">
        <v>1.0</v>
      </c>
      <c r="H521" s="115" t="s">
        <v>270</v>
      </c>
      <c r="I521" s="116"/>
      <c r="J521" s="44"/>
      <c r="K521" s="117"/>
      <c r="L521" s="44"/>
    </row>
    <row r="522">
      <c r="A522" s="114" t="s">
        <v>350</v>
      </c>
      <c r="B522" s="115" t="s">
        <v>226</v>
      </c>
      <c r="C522" s="115" t="s">
        <v>222</v>
      </c>
      <c r="D522" s="44">
        <f>49/3.1416</f>
        <v>15.59714795</v>
      </c>
      <c r="E522" s="115">
        <v>3.0</v>
      </c>
      <c r="F522" s="115">
        <v>0.0</v>
      </c>
      <c r="G522" s="115">
        <v>5.0</v>
      </c>
      <c r="H522" s="115" t="s">
        <v>352</v>
      </c>
      <c r="I522" s="116"/>
      <c r="J522" s="44"/>
      <c r="K522" s="117"/>
      <c r="L522" s="44"/>
    </row>
    <row r="523">
      <c r="A523" s="118" t="s">
        <v>350</v>
      </c>
      <c r="B523" s="119" t="s">
        <v>226</v>
      </c>
      <c r="C523" s="119" t="s">
        <v>220</v>
      </c>
      <c r="D523" s="120">
        <f>73.7/3.1416</f>
        <v>23.45938375</v>
      </c>
      <c r="E523" s="119">
        <v>1.0</v>
      </c>
      <c r="F523" s="119">
        <v>0.0</v>
      </c>
      <c r="G523" s="119">
        <v>0.0</v>
      </c>
      <c r="H523" s="119">
        <v>0.0</v>
      </c>
      <c r="I523" s="121"/>
      <c r="J523" s="120"/>
      <c r="K523" s="122"/>
      <c r="L523" s="44"/>
    </row>
    <row r="524">
      <c r="A524" s="109" t="s">
        <v>353</v>
      </c>
      <c r="B524" s="110" t="s">
        <v>218</v>
      </c>
      <c r="C524" s="110" t="s">
        <v>222</v>
      </c>
      <c r="D524" s="112">
        <f>58/3.1416</f>
        <v>18.46193023</v>
      </c>
      <c r="E524" s="110">
        <v>2.0</v>
      </c>
      <c r="F524" s="110">
        <v>1.0</v>
      </c>
      <c r="G524" s="110">
        <v>0.0</v>
      </c>
      <c r="H524" s="110">
        <v>0.0</v>
      </c>
      <c r="I524" s="111"/>
      <c r="J524" s="112"/>
      <c r="K524" s="113"/>
      <c r="L524" s="44"/>
    </row>
    <row r="525">
      <c r="A525" s="114" t="s">
        <v>353</v>
      </c>
      <c r="B525" s="115" t="s">
        <v>218</v>
      </c>
      <c r="C525" s="115" t="s">
        <v>222</v>
      </c>
      <c r="D525" s="44">
        <f>25</f>
        <v>25</v>
      </c>
      <c r="E525" s="115">
        <v>3.0</v>
      </c>
      <c r="F525" s="115">
        <v>1.0</v>
      </c>
      <c r="G525" s="115">
        <v>2.0</v>
      </c>
      <c r="H525" s="115" t="s">
        <v>269</v>
      </c>
      <c r="I525" s="116"/>
      <c r="J525" s="44"/>
      <c r="K525" s="117"/>
      <c r="L525" s="44"/>
    </row>
    <row r="526">
      <c r="A526" s="114" t="s">
        <v>353</v>
      </c>
      <c r="B526" s="115" t="s">
        <v>218</v>
      </c>
      <c r="C526" s="115" t="s">
        <v>222</v>
      </c>
      <c r="D526" s="115">
        <v>34.0</v>
      </c>
      <c r="E526" s="115">
        <v>2.0</v>
      </c>
      <c r="F526" s="115">
        <v>1.0</v>
      </c>
      <c r="G526" s="115">
        <v>1.0</v>
      </c>
      <c r="H526" s="115" t="s">
        <v>319</v>
      </c>
      <c r="I526" s="116"/>
      <c r="J526" s="44"/>
      <c r="K526" s="117"/>
      <c r="L526" s="44"/>
    </row>
    <row r="527">
      <c r="A527" s="114" t="s">
        <v>353</v>
      </c>
      <c r="B527" s="115" t="s">
        <v>221</v>
      </c>
      <c r="C527" s="115" t="s">
        <v>222</v>
      </c>
      <c r="D527" s="44">
        <f>43/3.1416</f>
        <v>13.6872931</v>
      </c>
      <c r="E527" s="115">
        <v>1.0</v>
      </c>
      <c r="F527" s="115">
        <v>0.0</v>
      </c>
      <c r="G527" s="115">
        <v>0.0</v>
      </c>
      <c r="H527" s="115">
        <v>0.0</v>
      </c>
      <c r="I527" s="116"/>
      <c r="J527" s="44"/>
      <c r="K527" s="117"/>
      <c r="L527" s="44"/>
    </row>
    <row r="528">
      <c r="A528" s="114" t="s">
        <v>353</v>
      </c>
      <c r="B528" s="115" t="s">
        <v>221</v>
      </c>
      <c r="C528" s="115" t="s">
        <v>222</v>
      </c>
      <c r="D528" s="115">
        <v>43.0</v>
      </c>
      <c r="E528" s="115">
        <v>1.0</v>
      </c>
      <c r="F528" s="115">
        <v>0.0</v>
      </c>
      <c r="G528" s="115">
        <v>0.0</v>
      </c>
      <c r="H528" s="115">
        <v>0.0</v>
      </c>
      <c r="I528" s="116"/>
      <c r="J528" s="44"/>
      <c r="K528" s="117"/>
      <c r="L528" s="44"/>
    </row>
    <row r="529">
      <c r="A529" s="114" t="s">
        <v>353</v>
      </c>
      <c r="B529" s="115" t="s">
        <v>225</v>
      </c>
      <c r="C529" s="115" t="s">
        <v>222</v>
      </c>
      <c r="D529" s="115">
        <v>45.0</v>
      </c>
      <c r="E529" s="115">
        <v>1.0</v>
      </c>
      <c r="F529" s="115">
        <v>0.0</v>
      </c>
      <c r="G529" s="115">
        <v>0.0</v>
      </c>
      <c r="H529" s="115">
        <v>0.0</v>
      </c>
      <c r="I529" s="116"/>
      <c r="J529" s="44"/>
      <c r="K529" s="117"/>
      <c r="L529" s="44"/>
    </row>
    <row r="530">
      <c r="A530" s="114" t="s">
        <v>353</v>
      </c>
      <c r="B530" s="115" t="s">
        <v>221</v>
      </c>
      <c r="C530" s="115" t="s">
        <v>222</v>
      </c>
      <c r="D530" s="115">
        <v>49.0</v>
      </c>
      <c r="E530" s="115">
        <v>2.0</v>
      </c>
      <c r="F530" s="115">
        <v>1.0</v>
      </c>
      <c r="G530" s="115">
        <v>3.0</v>
      </c>
      <c r="H530" s="115" t="s">
        <v>354</v>
      </c>
      <c r="I530" s="116"/>
      <c r="J530" s="44"/>
      <c r="K530" s="117"/>
      <c r="L530" s="44"/>
    </row>
    <row r="531">
      <c r="A531" s="114" t="s">
        <v>353</v>
      </c>
      <c r="B531" s="115" t="s">
        <v>225</v>
      </c>
      <c r="C531" s="115" t="s">
        <v>224</v>
      </c>
      <c r="D531" s="44">
        <f>54.4/3.1416</f>
        <v>17.31601732</v>
      </c>
      <c r="E531" s="115">
        <v>1.0</v>
      </c>
      <c r="F531" s="115">
        <v>0.0</v>
      </c>
      <c r="G531" s="115">
        <v>0.0</v>
      </c>
      <c r="H531" s="115">
        <v>0.0</v>
      </c>
      <c r="I531" s="116"/>
      <c r="J531" s="44"/>
      <c r="K531" s="117"/>
      <c r="L531" s="44"/>
    </row>
    <row r="532">
      <c r="A532" s="118" t="s">
        <v>353</v>
      </c>
      <c r="B532" s="119" t="s">
        <v>225</v>
      </c>
      <c r="C532" s="119" t="s">
        <v>224</v>
      </c>
      <c r="D532" s="120">
        <f>52/3.1416</f>
        <v>16.55207538</v>
      </c>
      <c r="E532" s="119">
        <v>1.0</v>
      </c>
      <c r="F532" s="119">
        <v>1.0</v>
      </c>
      <c r="G532" s="119">
        <v>0.0</v>
      </c>
      <c r="H532" s="119">
        <v>0.0</v>
      </c>
      <c r="I532" s="121"/>
      <c r="J532" s="120"/>
      <c r="K532" s="122"/>
      <c r="L532" s="44"/>
    </row>
    <row r="533">
      <c r="A533" s="109" t="s">
        <v>355</v>
      </c>
      <c r="B533" s="110" t="s">
        <v>221</v>
      </c>
      <c r="C533" s="110" t="s">
        <v>222</v>
      </c>
      <c r="D533" s="112">
        <f>42</f>
        <v>42</v>
      </c>
      <c r="E533" s="110">
        <v>1.0</v>
      </c>
      <c r="F533" s="110">
        <v>1.0</v>
      </c>
      <c r="G533" s="110">
        <v>1.0</v>
      </c>
      <c r="H533" s="110" t="s">
        <v>319</v>
      </c>
      <c r="I533" s="128">
        <v>18.0</v>
      </c>
      <c r="J533" s="110">
        <v>81.0</v>
      </c>
      <c r="K533" s="129" t="s">
        <v>319</v>
      </c>
      <c r="L533" s="115" t="s">
        <v>356</v>
      </c>
    </row>
    <row r="534">
      <c r="A534" s="114" t="s">
        <v>355</v>
      </c>
      <c r="B534" s="115" t="s">
        <v>221</v>
      </c>
      <c r="C534" s="115" t="s">
        <v>233</v>
      </c>
      <c r="D534" s="115">
        <v>47.0</v>
      </c>
      <c r="E534" s="115">
        <v>1.0</v>
      </c>
      <c r="F534" s="115">
        <v>1.0</v>
      </c>
      <c r="G534" s="115">
        <v>0.0</v>
      </c>
      <c r="H534" s="115">
        <v>0.0</v>
      </c>
      <c r="I534" s="132">
        <v>20.0</v>
      </c>
      <c r="J534" s="115">
        <v>80.0</v>
      </c>
      <c r="K534" s="133">
        <v>0.0</v>
      </c>
      <c r="L534" s="115" t="s">
        <v>356</v>
      </c>
    </row>
    <row r="535">
      <c r="A535" s="114" t="s">
        <v>355</v>
      </c>
      <c r="B535" s="115" t="s">
        <v>221</v>
      </c>
      <c r="C535" s="115" t="s">
        <v>222</v>
      </c>
      <c r="D535" s="44">
        <f>114/3.1416</f>
        <v>36.28724217</v>
      </c>
      <c r="E535" s="115">
        <v>1.0</v>
      </c>
      <c r="F535" s="115">
        <v>0.0</v>
      </c>
      <c r="G535" s="115">
        <v>0.0</v>
      </c>
      <c r="H535" s="115">
        <v>0.0</v>
      </c>
      <c r="I535" s="116"/>
      <c r="J535" s="44"/>
      <c r="K535" s="117"/>
      <c r="L535" s="44"/>
    </row>
    <row r="536">
      <c r="A536" s="114" t="s">
        <v>355</v>
      </c>
      <c r="B536" s="115" t="s">
        <v>225</v>
      </c>
      <c r="C536" s="115" t="s">
        <v>222</v>
      </c>
      <c r="D536" s="115">
        <v>55.0</v>
      </c>
      <c r="E536" s="115">
        <v>2.0</v>
      </c>
      <c r="F536" s="115">
        <v>1.0</v>
      </c>
      <c r="G536" s="115">
        <v>0.0</v>
      </c>
      <c r="H536" s="115">
        <v>0.0</v>
      </c>
      <c r="I536" s="116"/>
      <c r="J536" s="44"/>
      <c r="K536" s="117"/>
      <c r="L536" s="44"/>
    </row>
    <row r="537">
      <c r="A537" s="114" t="s">
        <v>355</v>
      </c>
      <c r="B537" s="115" t="s">
        <v>225</v>
      </c>
      <c r="C537" s="115" t="s">
        <v>222</v>
      </c>
      <c r="D537" s="115">
        <v>28.0</v>
      </c>
      <c r="E537" s="115">
        <v>2.0</v>
      </c>
      <c r="F537" s="115">
        <v>1.0</v>
      </c>
      <c r="G537" s="115">
        <v>1.0</v>
      </c>
      <c r="H537" s="115" t="s">
        <v>319</v>
      </c>
      <c r="I537" s="116"/>
      <c r="J537" s="44"/>
      <c r="K537" s="117"/>
      <c r="L537" s="44"/>
    </row>
    <row r="538">
      <c r="A538" s="118" t="s">
        <v>355</v>
      </c>
      <c r="B538" s="119" t="s">
        <v>218</v>
      </c>
      <c r="C538" s="119" t="s">
        <v>222</v>
      </c>
      <c r="D538" s="119">
        <v>23.0</v>
      </c>
      <c r="E538" s="119">
        <v>2.0</v>
      </c>
      <c r="F538" s="119">
        <v>1.0</v>
      </c>
      <c r="G538" s="119">
        <v>0.0</v>
      </c>
      <c r="H538" s="119">
        <v>0.0</v>
      </c>
      <c r="I538" s="121"/>
      <c r="J538" s="120"/>
      <c r="K538" s="122"/>
      <c r="L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6" max="6" width="20.25"/>
  </cols>
  <sheetData>
    <row r="1">
      <c r="A1" s="134" t="s">
        <v>2</v>
      </c>
      <c r="B1" s="134" t="s">
        <v>207</v>
      </c>
      <c r="C1" s="134" t="s">
        <v>209</v>
      </c>
      <c r="E1" s="135" t="s">
        <v>357</v>
      </c>
      <c r="F1" s="135" t="s">
        <v>358</v>
      </c>
      <c r="G1" s="136" t="s">
        <v>359</v>
      </c>
      <c r="H1" s="136" t="s">
        <v>360</v>
      </c>
      <c r="I1" s="137"/>
    </row>
    <row r="2">
      <c r="A2" s="138" t="s">
        <v>361</v>
      </c>
      <c r="B2" s="139" t="s">
        <v>217</v>
      </c>
      <c r="C2" s="140" t="s">
        <v>219</v>
      </c>
      <c r="E2" s="141" t="str">
        <f>IFERROR(__xludf.DUMMYFUNCTION("UNIQUE(C2:C845)"),"Laurel")</f>
        <v>Laurel</v>
      </c>
      <c r="F2" s="142" t="s">
        <v>362</v>
      </c>
      <c r="G2" s="143">
        <f>COUNTIF($C$2:$C$845,"Laurel")</f>
        <v>21</v>
      </c>
      <c r="H2" s="144">
        <f t="shared" ref="H2:H22" si="1">G2/$G$23</f>
        <v>0.02488151659</v>
      </c>
      <c r="I2" s="145"/>
    </row>
    <row r="3">
      <c r="A3" s="138" t="s">
        <v>361</v>
      </c>
      <c r="B3" s="138" t="s">
        <v>217</v>
      </c>
      <c r="C3" s="146" t="s">
        <v>236</v>
      </c>
      <c r="E3" s="147" t="str">
        <f>IFERROR(__xludf.DUMMYFUNCTION("""COMPUTED_VALUE"""),"Olivillo")</f>
        <v>Olivillo</v>
      </c>
      <c r="F3" s="148" t="s">
        <v>363</v>
      </c>
      <c r="G3" s="143">
        <f>COUNTIF($C$2:$C$845,"Olivillo")</f>
        <v>9</v>
      </c>
      <c r="H3" s="144">
        <f t="shared" si="1"/>
        <v>0.01066350711</v>
      </c>
      <c r="I3" s="145"/>
    </row>
    <row r="4">
      <c r="A4" s="138" t="s">
        <v>361</v>
      </c>
      <c r="B4" s="139" t="s">
        <v>217</v>
      </c>
      <c r="C4" s="146" t="s">
        <v>231</v>
      </c>
      <c r="E4" s="147" t="str">
        <f>IFERROR(__xludf.DUMMYFUNCTION("""COMPUTED_VALUE"""),"Arrayan")</f>
        <v>Arrayan</v>
      </c>
      <c r="F4" s="142" t="s">
        <v>364</v>
      </c>
      <c r="G4" s="143">
        <f>COUNTIF($C$2:$C$845,"Arrayan")</f>
        <v>63</v>
      </c>
      <c r="H4" s="144">
        <f t="shared" si="1"/>
        <v>0.07464454976</v>
      </c>
      <c r="I4" s="145"/>
    </row>
    <row r="5">
      <c r="A5" s="138" t="s">
        <v>361</v>
      </c>
      <c r="B5" s="138" t="s">
        <v>217</v>
      </c>
      <c r="C5" s="146" t="s">
        <v>231</v>
      </c>
      <c r="E5" s="147" t="str">
        <f>IFERROR(__xludf.DUMMYFUNCTION("""COMPUTED_VALUE"""),"Lingue")</f>
        <v>Lingue</v>
      </c>
      <c r="F5" s="142" t="s">
        <v>365</v>
      </c>
      <c r="G5" s="143">
        <f>COUNTIF($C$2:$C$845,"Lingue")</f>
        <v>96</v>
      </c>
      <c r="H5" s="144">
        <f t="shared" si="1"/>
        <v>0.1137440758</v>
      </c>
      <c r="I5" s="145"/>
    </row>
    <row r="6">
      <c r="A6" s="138" t="s">
        <v>361</v>
      </c>
      <c r="B6" s="138" t="s">
        <v>217</v>
      </c>
      <c r="C6" s="146" t="s">
        <v>231</v>
      </c>
      <c r="E6" s="147" t="str">
        <f>IFERROR(__xludf.DUMMYFUNCTION("""COMPUTED_VALUE"""),"Roble")</f>
        <v>Roble</v>
      </c>
      <c r="F6" s="142" t="s">
        <v>366</v>
      </c>
      <c r="G6" s="143">
        <f>COUNTIF($C$2:$C$845,"Roble")</f>
        <v>240</v>
      </c>
      <c r="H6" s="144">
        <f t="shared" si="1"/>
        <v>0.2843601896</v>
      </c>
      <c r="I6" s="145"/>
    </row>
    <row r="7">
      <c r="A7" s="138" t="s">
        <v>361</v>
      </c>
      <c r="B7" s="139" t="s">
        <v>217</v>
      </c>
      <c r="C7" s="140" t="s">
        <v>220</v>
      </c>
      <c r="E7" s="147" t="str">
        <f>IFERROR(__xludf.DUMMYFUNCTION("""COMPUTED_VALUE"""),"Tepa")</f>
        <v>Tepa</v>
      </c>
      <c r="F7" s="142" t="s">
        <v>367</v>
      </c>
      <c r="G7" s="143">
        <f>COUNTIF($C$2:$C$845,"Tepa")</f>
        <v>25</v>
      </c>
      <c r="H7" s="144">
        <f t="shared" si="1"/>
        <v>0.02962085308</v>
      </c>
      <c r="I7" s="145"/>
    </row>
    <row r="8">
      <c r="A8" s="138" t="s">
        <v>361</v>
      </c>
      <c r="B8" s="139" t="s">
        <v>217</v>
      </c>
      <c r="C8" s="140" t="s">
        <v>220</v>
      </c>
      <c r="E8" s="147" t="str">
        <f>IFERROR(__xludf.DUMMYFUNCTION("""COMPUTED_VALUE"""),"Piñol")</f>
        <v>Piñol</v>
      </c>
      <c r="F8" s="142" t="s">
        <v>368</v>
      </c>
      <c r="G8" s="143">
        <f>COUNTIF($C$2:$C$845,"Piñol")</f>
        <v>11</v>
      </c>
      <c r="H8" s="144">
        <f t="shared" si="1"/>
        <v>0.01303317536</v>
      </c>
      <c r="I8" s="145"/>
    </row>
    <row r="9">
      <c r="A9" s="138" t="s">
        <v>361</v>
      </c>
      <c r="B9" s="139" t="s">
        <v>217</v>
      </c>
      <c r="C9" s="140" t="s">
        <v>222</v>
      </c>
      <c r="E9" s="147" t="str">
        <f>IFERROR(__xludf.DUMMYFUNCTION("""COMPUTED_VALUE"""),"Boldo")</f>
        <v>Boldo</v>
      </c>
      <c r="F9" s="148" t="s">
        <v>369</v>
      </c>
      <c r="G9" s="143">
        <f>COUNTIF($C$2:$C$845,"Boldo")</f>
        <v>1</v>
      </c>
      <c r="H9" s="144">
        <f t="shared" si="1"/>
        <v>0.001184834123</v>
      </c>
      <c r="I9" s="145"/>
    </row>
    <row r="10">
      <c r="A10" s="138" t="s">
        <v>361</v>
      </c>
      <c r="B10" s="139" t="s">
        <v>217</v>
      </c>
      <c r="C10" s="140" t="s">
        <v>220</v>
      </c>
      <c r="E10" s="147" t="str">
        <f>IFERROR(__xludf.DUMMYFUNCTION("""COMPUTED_VALUE"""),"Arrayan_macho")</f>
        <v>Arrayan_macho</v>
      </c>
      <c r="F10" s="148" t="s">
        <v>370</v>
      </c>
      <c r="G10" s="143">
        <f>COUNTIF($C$2:$C$845,"Arrayan_macho")</f>
        <v>10</v>
      </c>
      <c r="H10" s="144">
        <f t="shared" si="1"/>
        <v>0.01184834123</v>
      </c>
      <c r="I10" s="145"/>
    </row>
    <row r="11">
      <c r="A11" s="138" t="s">
        <v>361</v>
      </c>
      <c r="B11" s="139" t="s">
        <v>217</v>
      </c>
      <c r="C11" s="140" t="s">
        <v>224</v>
      </c>
      <c r="E11" s="147" t="str">
        <f>IFERROR(__xludf.DUMMYFUNCTION("""COMPUTED_VALUE"""),"Avellano")</f>
        <v>Avellano</v>
      </c>
      <c r="F11" s="142" t="s">
        <v>371</v>
      </c>
      <c r="G11" s="143">
        <f>COUNTIF($C$2:$C$845,"Avellano")</f>
        <v>26</v>
      </c>
      <c r="H11" s="144">
        <f t="shared" si="1"/>
        <v>0.0308056872</v>
      </c>
      <c r="I11" s="145"/>
    </row>
    <row r="12">
      <c r="A12" s="138" t="s">
        <v>361</v>
      </c>
      <c r="B12" s="139" t="s">
        <v>217</v>
      </c>
      <c r="C12" s="140" t="s">
        <v>222</v>
      </c>
      <c r="E12" s="147" t="str">
        <f>IFERROR(__xludf.DUMMYFUNCTION("""COMPUTED_VALUE"""),"Canelo")</f>
        <v>Canelo</v>
      </c>
      <c r="F12" s="142" t="s">
        <v>372</v>
      </c>
      <c r="G12" s="143">
        <f>COUNTIF($C$2:$C$845,"Canelo")</f>
        <v>8</v>
      </c>
      <c r="H12" s="144">
        <f t="shared" si="1"/>
        <v>0.009478672986</v>
      </c>
      <c r="I12" s="145"/>
    </row>
    <row r="13">
      <c r="A13" s="138" t="s">
        <v>361</v>
      </c>
      <c r="B13" s="139" t="s">
        <v>217</v>
      </c>
      <c r="C13" s="140" t="s">
        <v>222</v>
      </c>
      <c r="E13" s="147" t="str">
        <f>IFERROR(__xludf.DUMMYFUNCTION("""COMPUTED_VALUE"""),"Coigue")</f>
        <v>Coigue</v>
      </c>
      <c r="F13" s="142" t="s">
        <v>373</v>
      </c>
      <c r="G13" s="143">
        <f>COUNTIF($C$2:$C$845,"Coigue")</f>
        <v>265</v>
      </c>
      <c r="H13" s="144">
        <f t="shared" si="1"/>
        <v>0.3139810427</v>
      </c>
      <c r="I13" s="145"/>
    </row>
    <row r="14">
      <c r="A14" s="138" t="s">
        <v>361</v>
      </c>
      <c r="B14" s="139" t="s">
        <v>217</v>
      </c>
      <c r="C14" s="140" t="s">
        <v>227</v>
      </c>
      <c r="E14" s="147" t="str">
        <f>IFERROR(__xludf.DUMMYFUNCTION("""COMPUTED_VALUE"""),"Peumo")</f>
        <v>Peumo</v>
      </c>
      <c r="F14" s="142" t="s">
        <v>374</v>
      </c>
      <c r="G14" s="143">
        <f>COUNTIF($C$2:$C$845,"Peumo")</f>
        <v>1</v>
      </c>
      <c r="H14" s="144">
        <f t="shared" si="1"/>
        <v>0.001184834123</v>
      </c>
      <c r="I14" s="145"/>
    </row>
    <row r="15">
      <c r="A15" s="138" t="s">
        <v>361</v>
      </c>
      <c r="B15" s="139" t="s">
        <v>228</v>
      </c>
      <c r="C15" s="140" t="s">
        <v>220</v>
      </c>
      <c r="E15" s="147" t="str">
        <f>IFERROR(__xludf.DUMMYFUNCTION("""COMPUTED_VALUE"""),"Trevo")</f>
        <v>Trevo</v>
      </c>
      <c r="F15" s="142" t="s">
        <v>375</v>
      </c>
      <c r="G15" s="143">
        <f>COUNTIF($C$2:$C$845,"Trevo")</f>
        <v>9</v>
      </c>
      <c r="H15" s="144">
        <f t="shared" si="1"/>
        <v>0.01066350711</v>
      </c>
      <c r="I15" s="145"/>
    </row>
    <row r="16">
      <c r="A16" s="138" t="s">
        <v>361</v>
      </c>
      <c r="B16" s="138" t="s">
        <v>228</v>
      </c>
      <c r="C16" s="146" t="s">
        <v>376</v>
      </c>
      <c r="E16" s="147" t="str">
        <f>IFERROR(__xludf.DUMMYFUNCTION("""COMPUTED_VALUE"""),"Radal")</f>
        <v>Radal</v>
      </c>
      <c r="F16" s="142" t="s">
        <v>377</v>
      </c>
      <c r="G16" s="143">
        <f>COUNTIF($C$2:$C$845,"Radal")</f>
        <v>31</v>
      </c>
      <c r="H16" s="144">
        <f t="shared" si="1"/>
        <v>0.03672985782</v>
      </c>
      <c r="I16" s="145"/>
    </row>
    <row r="17">
      <c r="A17" s="138" t="s">
        <v>361</v>
      </c>
      <c r="B17" s="139" t="s">
        <v>228</v>
      </c>
      <c r="C17" s="146" t="s">
        <v>231</v>
      </c>
      <c r="E17" s="147" t="str">
        <f>IFERROR(__xludf.DUMMYFUNCTION("""COMPUTED_VALUE"""),"Temu")</f>
        <v>Temu</v>
      </c>
      <c r="F17" s="142" t="s">
        <v>378</v>
      </c>
      <c r="G17" s="143">
        <f>COUNTIF($C$2:$C$845,"Temu")</f>
        <v>2</v>
      </c>
      <c r="H17" s="144">
        <f t="shared" si="1"/>
        <v>0.002369668246</v>
      </c>
      <c r="I17" s="145"/>
    </row>
    <row r="18">
      <c r="A18" s="138" t="s">
        <v>361</v>
      </c>
      <c r="B18" s="138" t="s">
        <v>228</v>
      </c>
      <c r="C18" s="146" t="s">
        <v>379</v>
      </c>
      <c r="E18" s="147" t="str">
        <f>IFERROR(__xludf.DUMMYFUNCTION("""COMPUTED_VALUE"""),"Maqui")</f>
        <v>Maqui</v>
      </c>
      <c r="F18" s="142" t="s">
        <v>380</v>
      </c>
      <c r="G18" s="143">
        <f>COUNTIF($C$2:$C$845,"Maqui")</f>
        <v>15</v>
      </c>
      <c r="H18" s="144">
        <f t="shared" si="1"/>
        <v>0.01777251185</v>
      </c>
      <c r="I18" s="145"/>
    </row>
    <row r="19">
      <c r="A19" s="138" t="s">
        <v>361</v>
      </c>
      <c r="B19" s="139" t="s">
        <v>228</v>
      </c>
      <c r="C19" s="146" t="s">
        <v>379</v>
      </c>
      <c r="E19" s="147" t="str">
        <f>IFERROR(__xludf.DUMMYFUNCTION("""COMPUTED_VALUE"""),"Maiten")</f>
        <v>Maiten</v>
      </c>
      <c r="F19" s="148" t="s">
        <v>381</v>
      </c>
      <c r="G19" s="143">
        <f>COUNTIF($C$2:$C$845,"Maiten")</f>
        <v>1</v>
      </c>
      <c r="H19" s="144">
        <f t="shared" si="1"/>
        <v>0.001184834123</v>
      </c>
      <c r="I19" s="145"/>
    </row>
    <row r="20">
      <c r="A20" s="138" t="s">
        <v>361</v>
      </c>
      <c r="B20" s="138" t="s">
        <v>228</v>
      </c>
      <c r="C20" s="146" t="s">
        <v>231</v>
      </c>
      <c r="E20" s="147" t="str">
        <f>IFERROR(__xludf.DUMMYFUNCTION("""COMPUTED_VALUE"""),"Mañio")</f>
        <v>Mañio</v>
      </c>
      <c r="F20" s="142" t="s">
        <v>382</v>
      </c>
      <c r="G20" s="143">
        <f>COUNTIF($C$2:$C$845,"Mañio")</f>
        <v>4</v>
      </c>
      <c r="H20" s="144">
        <f t="shared" si="1"/>
        <v>0.004739336493</v>
      </c>
      <c r="I20" s="145"/>
    </row>
    <row r="21">
      <c r="A21" s="138" t="s">
        <v>361</v>
      </c>
      <c r="B21" s="138" t="s">
        <v>228</v>
      </c>
      <c r="C21" s="146" t="s">
        <v>231</v>
      </c>
      <c r="E21" s="147" t="str">
        <f>IFERROR(__xludf.DUMMYFUNCTION("""COMPUTED_VALUE"""),"Acer")</f>
        <v>Acer</v>
      </c>
      <c r="F21" s="149" t="s">
        <v>383</v>
      </c>
      <c r="G21" s="143">
        <f>COUNTIF($C$2:$C$845,"Acer")</f>
        <v>2</v>
      </c>
      <c r="H21" s="144">
        <f t="shared" si="1"/>
        <v>0.002369668246</v>
      </c>
      <c r="I21" s="145"/>
    </row>
    <row r="22">
      <c r="A22" s="138" t="s">
        <v>361</v>
      </c>
      <c r="B22" s="139" t="s">
        <v>228</v>
      </c>
      <c r="C22" s="140" t="s">
        <v>224</v>
      </c>
      <c r="E22" s="147" t="str">
        <f>IFERROR(__xludf.DUMMYFUNCTION("""COMPUTED_VALUE"""),"Pitao")</f>
        <v>Pitao</v>
      </c>
      <c r="F22" s="148" t="s">
        <v>384</v>
      </c>
      <c r="G22" s="143">
        <f>COUNTIF($C$2:$C$845,"Pitao")</f>
        <v>4</v>
      </c>
      <c r="H22" s="144">
        <f t="shared" si="1"/>
        <v>0.004739336493</v>
      </c>
      <c r="I22" s="145"/>
    </row>
    <row r="23">
      <c r="A23" s="138" t="s">
        <v>361</v>
      </c>
      <c r="B23" s="139" t="s">
        <v>230</v>
      </c>
      <c r="C23" s="140" t="s">
        <v>220</v>
      </c>
      <c r="E23" s="150"/>
      <c r="F23" s="151" t="s">
        <v>385</v>
      </c>
      <c r="G23" s="143">
        <f>SUM(G2:G22)</f>
        <v>844</v>
      </c>
      <c r="H23" s="152"/>
      <c r="I23" s="153"/>
    </row>
    <row r="24">
      <c r="A24" s="138" t="s">
        <v>361</v>
      </c>
      <c r="B24" s="139" t="s">
        <v>230</v>
      </c>
      <c r="C24" s="140" t="s">
        <v>231</v>
      </c>
      <c r="E24" s="150"/>
      <c r="F24" s="154"/>
      <c r="H24" s="152"/>
      <c r="I24" s="153"/>
    </row>
    <row r="25">
      <c r="A25" s="138" t="s">
        <v>361</v>
      </c>
      <c r="B25" s="138" t="s">
        <v>230</v>
      </c>
      <c r="C25" s="146" t="s">
        <v>251</v>
      </c>
      <c r="E25" s="150"/>
      <c r="F25" s="155"/>
      <c r="H25" s="152"/>
      <c r="I25" s="156"/>
    </row>
    <row r="26">
      <c r="A26" s="138" t="s">
        <v>361</v>
      </c>
      <c r="B26" s="139" t="s">
        <v>230</v>
      </c>
      <c r="C26" s="146" t="s">
        <v>220</v>
      </c>
      <c r="E26" s="150"/>
      <c r="F26" s="145"/>
      <c r="H26" s="152"/>
      <c r="I26" s="157"/>
    </row>
    <row r="27">
      <c r="A27" s="138" t="s">
        <v>361</v>
      </c>
      <c r="B27" s="139" t="s">
        <v>230</v>
      </c>
      <c r="C27" s="146" t="s">
        <v>220</v>
      </c>
      <c r="E27" s="150"/>
      <c r="F27" s="145"/>
      <c r="H27" s="152"/>
      <c r="I27" s="157"/>
    </row>
    <row r="28">
      <c r="A28" s="138" t="s">
        <v>361</v>
      </c>
      <c r="B28" s="138" t="s">
        <v>230</v>
      </c>
      <c r="C28" s="146" t="s">
        <v>220</v>
      </c>
      <c r="E28" s="150"/>
      <c r="F28" s="145"/>
      <c r="H28" s="152"/>
      <c r="I28" s="157"/>
    </row>
    <row r="29">
      <c r="A29" s="138" t="s">
        <v>361</v>
      </c>
      <c r="B29" s="139" t="s">
        <v>230</v>
      </c>
      <c r="C29" s="146" t="s">
        <v>220</v>
      </c>
      <c r="E29" s="150"/>
      <c r="F29" s="145"/>
      <c r="H29" s="152"/>
      <c r="I29" s="157"/>
    </row>
    <row r="30">
      <c r="A30" s="138" t="s">
        <v>361</v>
      </c>
      <c r="B30" s="139" t="s">
        <v>230</v>
      </c>
      <c r="C30" s="146" t="s">
        <v>231</v>
      </c>
      <c r="E30" s="150"/>
      <c r="F30" s="145"/>
      <c r="H30" s="152"/>
      <c r="I30" s="157"/>
    </row>
    <row r="31">
      <c r="A31" s="138" t="s">
        <v>361</v>
      </c>
      <c r="B31" s="138" t="s">
        <v>230</v>
      </c>
      <c r="C31" s="146" t="s">
        <v>220</v>
      </c>
      <c r="E31" s="150"/>
      <c r="F31" s="145"/>
      <c r="H31" s="152"/>
      <c r="I31" s="157"/>
    </row>
    <row r="32">
      <c r="A32" s="138" t="s">
        <v>361</v>
      </c>
      <c r="B32" s="139" t="s">
        <v>230</v>
      </c>
      <c r="C32" s="146" t="s">
        <v>231</v>
      </c>
      <c r="E32" s="150"/>
      <c r="F32" s="145"/>
      <c r="H32" s="152"/>
      <c r="I32" s="157"/>
    </row>
    <row r="33">
      <c r="A33" s="138" t="s">
        <v>361</v>
      </c>
      <c r="B33" s="139" t="s">
        <v>230</v>
      </c>
      <c r="C33" s="146" t="s">
        <v>231</v>
      </c>
      <c r="E33" s="150"/>
      <c r="F33" s="145"/>
      <c r="H33" s="152"/>
      <c r="I33" s="157"/>
    </row>
    <row r="34">
      <c r="A34" s="138" t="s">
        <v>361</v>
      </c>
      <c r="B34" s="138" t="s">
        <v>230</v>
      </c>
      <c r="C34" s="146" t="s">
        <v>231</v>
      </c>
      <c r="E34" s="150"/>
      <c r="F34" s="145"/>
      <c r="H34" s="152"/>
      <c r="I34" s="157"/>
    </row>
    <row r="35">
      <c r="A35" s="138" t="s">
        <v>361</v>
      </c>
      <c r="B35" s="139" t="s">
        <v>230</v>
      </c>
      <c r="C35" s="146" t="s">
        <v>236</v>
      </c>
      <c r="E35" s="150"/>
      <c r="F35" s="145"/>
      <c r="H35" s="152"/>
      <c r="I35" s="157"/>
    </row>
    <row r="36">
      <c r="A36" s="138" t="s">
        <v>361</v>
      </c>
      <c r="B36" s="139" t="s">
        <v>230</v>
      </c>
      <c r="C36" s="146" t="s">
        <v>235</v>
      </c>
      <c r="E36" s="150"/>
      <c r="F36" s="145"/>
      <c r="H36" s="152"/>
      <c r="I36" s="157"/>
    </row>
    <row r="37">
      <c r="A37" s="138" t="s">
        <v>361</v>
      </c>
      <c r="B37" s="139" t="s">
        <v>230</v>
      </c>
      <c r="C37" s="140" t="s">
        <v>222</v>
      </c>
      <c r="E37" s="150"/>
      <c r="F37" s="145"/>
      <c r="H37" s="152"/>
      <c r="I37" s="157"/>
    </row>
    <row r="38">
      <c r="A38" s="138" t="s">
        <v>361</v>
      </c>
      <c r="B38" s="139" t="s">
        <v>232</v>
      </c>
      <c r="C38" s="140" t="s">
        <v>233</v>
      </c>
      <c r="E38" s="150"/>
      <c r="F38" s="155"/>
      <c r="H38" s="152"/>
      <c r="I38" s="156"/>
    </row>
    <row r="39">
      <c r="A39" s="138" t="s">
        <v>361</v>
      </c>
      <c r="B39" s="139" t="s">
        <v>232</v>
      </c>
      <c r="C39" s="140" t="s">
        <v>222</v>
      </c>
      <c r="E39" s="150"/>
      <c r="F39" s="150"/>
      <c r="H39" s="152"/>
      <c r="I39" s="153"/>
    </row>
    <row r="40">
      <c r="A40" s="138" t="s">
        <v>361</v>
      </c>
      <c r="B40" s="139" t="s">
        <v>232</v>
      </c>
      <c r="C40" s="140" t="s">
        <v>222</v>
      </c>
      <c r="E40" s="150"/>
      <c r="F40" s="150"/>
      <c r="H40" s="152"/>
      <c r="I40" s="153"/>
    </row>
    <row r="41">
      <c r="A41" s="138" t="s">
        <v>361</v>
      </c>
      <c r="B41" s="139" t="s">
        <v>232</v>
      </c>
      <c r="C41" s="140" t="s">
        <v>235</v>
      </c>
      <c r="E41" s="150"/>
      <c r="F41" s="150"/>
      <c r="H41" s="152"/>
      <c r="I41" s="158"/>
    </row>
    <row r="42">
      <c r="A42" s="138" t="s">
        <v>361</v>
      </c>
      <c r="B42" s="139" t="s">
        <v>232</v>
      </c>
      <c r="C42" s="140" t="s">
        <v>235</v>
      </c>
      <c r="E42" s="150"/>
      <c r="F42" s="150"/>
      <c r="H42" s="152"/>
      <c r="I42" s="145"/>
    </row>
    <row r="43">
      <c r="A43" s="138" t="s">
        <v>361</v>
      </c>
      <c r="B43" s="139" t="s">
        <v>232</v>
      </c>
      <c r="C43" s="140" t="s">
        <v>236</v>
      </c>
      <c r="E43" s="150"/>
      <c r="F43" s="150"/>
      <c r="H43" s="152"/>
      <c r="I43" s="153"/>
    </row>
    <row r="44">
      <c r="A44" s="138" t="s">
        <v>361</v>
      </c>
      <c r="B44" s="139" t="s">
        <v>232</v>
      </c>
      <c r="C44" s="140" t="s">
        <v>220</v>
      </c>
      <c r="F44" s="45"/>
      <c r="H44" s="152"/>
    </row>
    <row r="45">
      <c r="A45" s="138" t="s">
        <v>361</v>
      </c>
      <c r="B45" s="139" t="s">
        <v>232</v>
      </c>
      <c r="C45" s="146" t="s">
        <v>233</v>
      </c>
    </row>
    <row r="46">
      <c r="A46" s="138" t="s">
        <v>361</v>
      </c>
      <c r="B46" s="139" t="s">
        <v>232</v>
      </c>
      <c r="C46" s="146" t="s">
        <v>379</v>
      </c>
    </row>
    <row r="47">
      <c r="A47" s="138" t="s">
        <v>361</v>
      </c>
      <c r="B47" s="139" t="s">
        <v>232</v>
      </c>
      <c r="C47" s="146" t="s">
        <v>231</v>
      </c>
    </row>
    <row r="48">
      <c r="A48" s="138" t="s">
        <v>361</v>
      </c>
      <c r="B48" s="139" t="s">
        <v>232</v>
      </c>
      <c r="C48" s="146" t="s">
        <v>231</v>
      </c>
    </row>
    <row r="49">
      <c r="A49" s="138" t="s">
        <v>361</v>
      </c>
      <c r="B49" s="139" t="s">
        <v>232</v>
      </c>
      <c r="C49" s="146" t="s">
        <v>222</v>
      </c>
    </row>
    <row r="50">
      <c r="A50" s="138" t="s">
        <v>361</v>
      </c>
      <c r="B50" s="139" t="s">
        <v>232</v>
      </c>
      <c r="C50" s="140" t="s">
        <v>220</v>
      </c>
    </row>
    <row r="51">
      <c r="A51" s="138" t="s">
        <v>361</v>
      </c>
      <c r="B51" s="139" t="s">
        <v>237</v>
      </c>
      <c r="C51" s="140" t="s">
        <v>222</v>
      </c>
      <c r="E51" s="159"/>
    </row>
    <row r="52">
      <c r="A52" s="138" t="s">
        <v>361</v>
      </c>
      <c r="B52" s="139" t="s">
        <v>237</v>
      </c>
      <c r="C52" s="140" t="s">
        <v>220</v>
      </c>
      <c r="E52" s="159"/>
    </row>
    <row r="53">
      <c r="A53" s="138" t="s">
        <v>361</v>
      </c>
      <c r="B53" s="139" t="s">
        <v>237</v>
      </c>
      <c r="C53" s="146" t="s">
        <v>231</v>
      </c>
      <c r="E53" s="159"/>
    </row>
    <row r="54">
      <c r="A54" s="138" t="s">
        <v>361</v>
      </c>
      <c r="B54" s="139" t="s">
        <v>237</v>
      </c>
      <c r="C54" s="146" t="s">
        <v>222</v>
      </c>
      <c r="E54" s="159"/>
    </row>
    <row r="55">
      <c r="A55" s="138" t="s">
        <v>361</v>
      </c>
      <c r="B55" s="139" t="s">
        <v>237</v>
      </c>
      <c r="C55" s="146" t="s">
        <v>220</v>
      </c>
      <c r="E55" s="159"/>
    </row>
    <row r="56">
      <c r="A56" s="138" t="s">
        <v>361</v>
      </c>
      <c r="B56" s="139" t="s">
        <v>237</v>
      </c>
      <c r="C56" s="146" t="s">
        <v>224</v>
      </c>
      <c r="E56" s="159"/>
    </row>
    <row r="57">
      <c r="A57" s="138" t="s">
        <v>361</v>
      </c>
      <c r="B57" s="139" t="s">
        <v>237</v>
      </c>
      <c r="C57" s="146" t="s">
        <v>379</v>
      </c>
      <c r="E57" s="159"/>
    </row>
    <row r="58">
      <c r="A58" s="138" t="s">
        <v>361</v>
      </c>
      <c r="B58" s="139" t="s">
        <v>237</v>
      </c>
      <c r="C58" s="140" t="s">
        <v>220</v>
      </c>
      <c r="E58" s="159"/>
    </row>
    <row r="59">
      <c r="A59" s="138" t="s">
        <v>361</v>
      </c>
      <c r="B59" s="139" t="s">
        <v>237</v>
      </c>
      <c r="C59" s="140" t="s">
        <v>220</v>
      </c>
      <c r="E59" s="159"/>
    </row>
    <row r="60">
      <c r="A60" s="138" t="s">
        <v>361</v>
      </c>
      <c r="B60" s="139" t="s">
        <v>237</v>
      </c>
      <c r="C60" s="140" t="s">
        <v>220</v>
      </c>
      <c r="E60" s="159"/>
    </row>
    <row r="61">
      <c r="A61" s="138" t="s">
        <v>361</v>
      </c>
      <c r="B61" s="138" t="s">
        <v>237</v>
      </c>
      <c r="C61" s="146" t="s">
        <v>224</v>
      </c>
      <c r="E61" s="159"/>
    </row>
    <row r="62">
      <c r="A62" s="138" t="s">
        <v>361</v>
      </c>
      <c r="B62" s="139" t="s">
        <v>237</v>
      </c>
      <c r="C62" s="140" t="s">
        <v>220</v>
      </c>
      <c r="E62" s="159"/>
    </row>
    <row r="63">
      <c r="A63" s="138" t="s">
        <v>361</v>
      </c>
      <c r="B63" s="139" t="s">
        <v>237</v>
      </c>
      <c r="C63" s="140" t="s">
        <v>222</v>
      </c>
      <c r="E63" s="159"/>
    </row>
    <row r="64">
      <c r="A64" s="138" t="s">
        <v>361</v>
      </c>
      <c r="B64" s="139" t="s">
        <v>238</v>
      </c>
      <c r="C64" s="140" t="s">
        <v>222</v>
      </c>
      <c r="E64" s="159"/>
    </row>
    <row r="65">
      <c r="A65" s="138" t="s">
        <v>361</v>
      </c>
      <c r="B65" s="139" t="s">
        <v>238</v>
      </c>
      <c r="C65" s="140" t="s">
        <v>222</v>
      </c>
      <c r="E65" s="159"/>
    </row>
    <row r="66">
      <c r="A66" s="138" t="s">
        <v>361</v>
      </c>
      <c r="B66" s="139" t="s">
        <v>238</v>
      </c>
      <c r="C66" s="140" t="s">
        <v>227</v>
      </c>
      <c r="E66" s="159"/>
    </row>
    <row r="67">
      <c r="A67" s="138" t="s">
        <v>361</v>
      </c>
      <c r="B67" s="139" t="s">
        <v>238</v>
      </c>
      <c r="C67" s="140" t="s">
        <v>239</v>
      </c>
      <c r="E67" s="159"/>
    </row>
    <row r="68">
      <c r="A68" s="138" t="s">
        <v>361</v>
      </c>
      <c r="B68" s="139" t="s">
        <v>238</v>
      </c>
      <c r="C68" s="146" t="s">
        <v>251</v>
      </c>
      <c r="E68" s="159"/>
    </row>
    <row r="69">
      <c r="A69" s="138" t="s">
        <v>361</v>
      </c>
      <c r="B69" s="139" t="s">
        <v>238</v>
      </c>
      <c r="C69" s="146" t="s">
        <v>220</v>
      </c>
      <c r="E69" s="159"/>
    </row>
    <row r="70">
      <c r="A70" s="138" t="s">
        <v>361</v>
      </c>
      <c r="B70" s="139" t="s">
        <v>238</v>
      </c>
      <c r="C70" s="146" t="s">
        <v>220</v>
      </c>
      <c r="E70" s="159"/>
    </row>
    <row r="71">
      <c r="A71" s="138" t="s">
        <v>361</v>
      </c>
      <c r="B71" s="139" t="s">
        <v>238</v>
      </c>
      <c r="C71" s="146" t="s">
        <v>222</v>
      </c>
      <c r="E71" s="159"/>
    </row>
    <row r="72">
      <c r="A72" s="138" t="s">
        <v>361</v>
      </c>
      <c r="B72" s="139" t="s">
        <v>238</v>
      </c>
      <c r="C72" s="146" t="s">
        <v>227</v>
      </c>
      <c r="E72" s="159"/>
    </row>
    <row r="73">
      <c r="A73" s="138" t="s">
        <v>361</v>
      </c>
      <c r="B73" s="139" t="s">
        <v>238</v>
      </c>
      <c r="C73" s="140" t="s">
        <v>227</v>
      </c>
      <c r="E73" s="159"/>
    </row>
    <row r="74">
      <c r="A74" s="138" t="s">
        <v>361</v>
      </c>
      <c r="B74" s="139" t="s">
        <v>240</v>
      </c>
      <c r="C74" s="140" t="s">
        <v>241</v>
      </c>
      <c r="E74" s="159"/>
    </row>
    <row r="75">
      <c r="A75" s="138" t="s">
        <v>361</v>
      </c>
      <c r="B75" s="139" t="s">
        <v>240</v>
      </c>
      <c r="C75" s="140" t="s">
        <v>241</v>
      </c>
      <c r="E75" s="159"/>
    </row>
    <row r="76">
      <c r="A76" s="138" t="s">
        <v>361</v>
      </c>
      <c r="B76" s="139" t="s">
        <v>240</v>
      </c>
      <c r="C76" s="140" t="s">
        <v>241</v>
      </c>
      <c r="E76" s="159"/>
    </row>
    <row r="77">
      <c r="A77" s="138" t="s">
        <v>361</v>
      </c>
      <c r="B77" s="139" t="s">
        <v>240</v>
      </c>
      <c r="C77" s="140" t="s">
        <v>235</v>
      </c>
      <c r="E77" s="159"/>
    </row>
    <row r="78">
      <c r="A78" s="138" t="s">
        <v>361</v>
      </c>
      <c r="B78" s="139" t="s">
        <v>240</v>
      </c>
      <c r="C78" s="140" t="s">
        <v>235</v>
      </c>
      <c r="E78" s="160"/>
    </row>
    <row r="79">
      <c r="A79" s="138" t="s">
        <v>361</v>
      </c>
      <c r="B79" s="139" t="s">
        <v>240</v>
      </c>
      <c r="C79" s="140" t="s">
        <v>220</v>
      </c>
      <c r="E79" s="159"/>
    </row>
    <row r="80">
      <c r="A80" s="138" t="s">
        <v>361</v>
      </c>
      <c r="B80" s="139" t="s">
        <v>240</v>
      </c>
      <c r="C80" s="140" t="s">
        <v>222</v>
      </c>
      <c r="E80" s="159"/>
    </row>
    <row r="81">
      <c r="A81" s="138" t="s">
        <v>361</v>
      </c>
      <c r="B81" s="139" t="s">
        <v>240</v>
      </c>
      <c r="C81" s="140" t="s">
        <v>220</v>
      </c>
      <c r="E81" s="159"/>
    </row>
    <row r="82">
      <c r="A82" s="138" t="s">
        <v>361</v>
      </c>
      <c r="B82" s="139" t="s">
        <v>240</v>
      </c>
      <c r="C82" s="146" t="s">
        <v>251</v>
      </c>
    </row>
    <row r="83">
      <c r="A83" s="138" t="s">
        <v>361</v>
      </c>
      <c r="B83" s="139" t="s">
        <v>240</v>
      </c>
      <c r="C83" s="146" t="s">
        <v>224</v>
      </c>
    </row>
    <row r="84">
      <c r="A84" s="138" t="s">
        <v>361</v>
      </c>
      <c r="B84" s="139" t="s">
        <v>240</v>
      </c>
      <c r="C84" s="140" t="s">
        <v>220</v>
      </c>
    </row>
    <row r="85">
      <c r="A85" s="138" t="s">
        <v>361</v>
      </c>
      <c r="B85" s="139" t="s">
        <v>240</v>
      </c>
      <c r="C85" s="140" t="s">
        <v>220</v>
      </c>
    </row>
    <row r="86">
      <c r="A86" s="138" t="s">
        <v>361</v>
      </c>
      <c r="B86" s="161" t="s">
        <v>243</v>
      </c>
      <c r="C86" s="140" t="s">
        <v>244</v>
      </c>
      <c r="E86" s="156"/>
    </row>
    <row r="87">
      <c r="A87" s="138" t="s">
        <v>361</v>
      </c>
      <c r="B87" s="161" t="s">
        <v>243</v>
      </c>
      <c r="C87" s="140" t="s">
        <v>244</v>
      </c>
      <c r="E87" s="156"/>
    </row>
    <row r="88">
      <c r="A88" s="138" t="s">
        <v>361</v>
      </c>
      <c r="B88" s="161" t="s">
        <v>243</v>
      </c>
      <c r="C88" s="140" t="s">
        <v>220</v>
      </c>
      <c r="E88" s="156"/>
    </row>
    <row r="89">
      <c r="A89" s="138" t="s">
        <v>361</v>
      </c>
      <c r="B89" s="161" t="s">
        <v>243</v>
      </c>
      <c r="C89" s="140" t="s">
        <v>244</v>
      </c>
      <c r="E89" s="156"/>
    </row>
    <row r="90">
      <c r="A90" s="138" t="s">
        <v>361</v>
      </c>
      <c r="B90" s="161" t="s">
        <v>243</v>
      </c>
      <c r="C90" s="140" t="s">
        <v>244</v>
      </c>
      <c r="E90" s="156"/>
    </row>
    <row r="91">
      <c r="A91" s="138" t="s">
        <v>361</v>
      </c>
      <c r="B91" s="161" t="s">
        <v>243</v>
      </c>
      <c r="C91" s="140" t="s">
        <v>244</v>
      </c>
      <c r="E91" s="156"/>
    </row>
    <row r="92">
      <c r="A92" s="138" t="s">
        <v>361</v>
      </c>
      <c r="B92" s="161" t="s">
        <v>243</v>
      </c>
      <c r="C92" s="140" t="s">
        <v>244</v>
      </c>
      <c r="E92" s="153"/>
    </row>
    <row r="93">
      <c r="A93" s="138" t="s">
        <v>361</v>
      </c>
      <c r="B93" s="162" t="s">
        <v>243</v>
      </c>
      <c r="C93" s="146" t="s">
        <v>231</v>
      </c>
      <c r="E93" s="156"/>
    </row>
    <row r="94">
      <c r="A94" s="138" t="s">
        <v>361</v>
      </c>
      <c r="B94" s="161" t="s">
        <v>243</v>
      </c>
      <c r="C94" s="146" t="s">
        <v>231</v>
      </c>
      <c r="E94" s="156"/>
    </row>
    <row r="95">
      <c r="A95" s="138" t="s">
        <v>361</v>
      </c>
      <c r="B95" s="162" t="s">
        <v>243</v>
      </c>
      <c r="C95" s="146" t="s">
        <v>231</v>
      </c>
      <c r="E95" s="156"/>
    </row>
    <row r="96">
      <c r="A96" s="138" t="s">
        <v>361</v>
      </c>
      <c r="B96" s="162" t="s">
        <v>243</v>
      </c>
      <c r="C96" s="146" t="s">
        <v>220</v>
      </c>
      <c r="E96" s="156"/>
    </row>
    <row r="97">
      <c r="A97" s="138" t="s">
        <v>361</v>
      </c>
      <c r="B97" s="161" t="s">
        <v>243</v>
      </c>
      <c r="C97" s="146" t="s">
        <v>220</v>
      </c>
      <c r="E97" s="156"/>
    </row>
    <row r="98">
      <c r="A98" s="138" t="s">
        <v>361</v>
      </c>
      <c r="B98" s="162" t="s">
        <v>243</v>
      </c>
      <c r="C98" s="146" t="s">
        <v>379</v>
      </c>
      <c r="E98" s="156"/>
    </row>
    <row r="99">
      <c r="A99" s="138" t="s">
        <v>361</v>
      </c>
      <c r="B99" s="161" t="s">
        <v>243</v>
      </c>
      <c r="C99" s="140" t="s">
        <v>220</v>
      </c>
      <c r="E99" s="156"/>
    </row>
    <row r="100">
      <c r="A100" s="138" t="s">
        <v>361</v>
      </c>
      <c r="B100" s="161" t="s">
        <v>243</v>
      </c>
      <c r="C100" s="140" t="s">
        <v>244</v>
      </c>
      <c r="E100" s="156"/>
    </row>
    <row r="101">
      <c r="A101" s="138" t="s">
        <v>361</v>
      </c>
      <c r="B101" s="161" t="s">
        <v>243</v>
      </c>
      <c r="C101" s="140" t="s">
        <v>244</v>
      </c>
      <c r="E101" s="156"/>
    </row>
    <row r="102">
      <c r="A102" s="138" t="s">
        <v>361</v>
      </c>
      <c r="B102" s="139" t="s">
        <v>245</v>
      </c>
      <c r="C102" s="140" t="s">
        <v>222</v>
      </c>
      <c r="E102" s="156"/>
    </row>
    <row r="103">
      <c r="A103" s="138" t="s">
        <v>361</v>
      </c>
      <c r="B103" s="139" t="s">
        <v>245</v>
      </c>
      <c r="C103" s="140" t="s">
        <v>222</v>
      </c>
      <c r="E103" s="159"/>
    </row>
    <row r="104">
      <c r="A104" s="138" t="s">
        <v>361</v>
      </c>
      <c r="B104" s="139" t="s">
        <v>245</v>
      </c>
      <c r="C104" s="140" t="s">
        <v>222</v>
      </c>
      <c r="E104" s="163"/>
    </row>
    <row r="105">
      <c r="A105" s="138" t="s">
        <v>361</v>
      </c>
      <c r="B105" s="139" t="s">
        <v>245</v>
      </c>
      <c r="C105" s="146" t="s">
        <v>233</v>
      </c>
      <c r="E105" s="153"/>
    </row>
    <row r="106">
      <c r="A106" s="138" t="s">
        <v>361</v>
      </c>
      <c r="B106" s="139" t="s">
        <v>245</v>
      </c>
      <c r="C106" s="146" t="s">
        <v>379</v>
      </c>
      <c r="E106" s="153"/>
    </row>
    <row r="107">
      <c r="A107" s="138" t="s">
        <v>361</v>
      </c>
      <c r="B107" s="139" t="s">
        <v>245</v>
      </c>
      <c r="C107" s="146" t="s">
        <v>220</v>
      </c>
      <c r="E107" s="153"/>
    </row>
    <row r="108">
      <c r="A108" s="138" t="s">
        <v>361</v>
      </c>
      <c r="B108" s="139" t="s">
        <v>245</v>
      </c>
      <c r="C108" s="146" t="s">
        <v>231</v>
      </c>
      <c r="E108" s="153"/>
    </row>
    <row r="109">
      <c r="A109" s="138" t="s">
        <v>361</v>
      </c>
      <c r="B109" s="139" t="s">
        <v>245</v>
      </c>
      <c r="C109" s="146" t="s">
        <v>231</v>
      </c>
      <c r="E109" s="153"/>
    </row>
    <row r="110">
      <c r="A110" s="138" t="s">
        <v>361</v>
      </c>
      <c r="B110" s="138" t="s">
        <v>245</v>
      </c>
      <c r="C110" s="146" t="s">
        <v>231</v>
      </c>
      <c r="E110" s="153"/>
    </row>
    <row r="111">
      <c r="A111" s="138" t="s">
        <v>361</v>
      </c>
      <c r="B111" s="139" t="s">
        <v>245</v>
      </c>
      <c r="C111" s="140" t="s">
        <v>220</v>
      </c>
      <c r="E111" s="153"/>
    </row>
    <row r="112">
      <c r="A112" s="138" t="s">
        <v>361</v>
      </c>
      <c r="B112" s="139" t="s">
        <v>245</v>
      </c>
      <c r="C112" s="140" t="s">
        <v>220</v>
      </c>
      <c r="E112" s="156"/>
    </row>
    <row r="113">
      <c r="A113" s="138" t="s">
        <v>361</v>
      </c>
      <c r="B113" s="139" t="s">
        <v>245</v>
      </c>
      <c r="C113" s="140" t="s">
        <v>246</v>
      </c>
      <c r="E113" s="164"/>
    </row>
    <row r="114">
      <c r="A114" s="138" t="s">
        <v>361</v>
      </c>
      <c r="B114" s="139" t="s">
        <v>245</v>
      </c>
      <c r="C114" s="140" t="s">
        <v>246</v>
      </c>
      <c r="E114" s="156"/>
    </row>
    <row r="115">
      <c r="A115" s="138" t="s">
        <v>361</v>
      </c>
      <c r="B115" s="139" t="s">
        <v>247</v>
      </c>
      <c r="C115" s="140" t="s">
        <v>220</v>
      </c>
      <c r="E115" s="153"/>
    </row>
    <row r="116">
      <c r="A116" s="138" t="s">
        <v>361</v>
      </c>
      <c r="B116" s="139" t="s">
        <v>247</v>
      </c>
      <c r="C116" s="140" t="s">
        <v>220</v>
      </c>
      <c r="E116" s="153"/>
    </row>
    <row r="117">
      <c r="A117" s="138" t="s">
        <v>361</v>
      </c>
      <c r="B117" s="139" t="s">
        <v>247</v>
      </c>
      <c r="C117" s="140" t="s">
        <v>244</v>
      </c>
      <c r="E117" s="159"/>
    </row>
    <row r="118">
      <c r="A118" s="138" t="s">
        <v>361</v>
      </c>
      <c r="B118" s="139" t="s">
        <v>247</v>
      </c>
      <c r="C118" s="140" t="s">
        <v>222</v>
      </c>
      <c r="E118" s="156"/>
    </row>
    <row r="119">
      <c r="A119" s="138" t="s">
        <v>361</v>
      </c>
      <c r="B119" s="139" t="s">
        <v>247</v>
      </c>
      <c r="C119" s="140" t="s">
        <v>244</v>
      </c>
    </row>
    <row r="120">
      <c r="A120" s="138" t="s">
        <v>361</v>
      </c>
      <c r="B120" s="139" t="s">
        <v>247</v>
      </c>
      <c r="C120" s="140" t="s">
        <v>220</v>
      </c>
    </row>
    <row r="121">
      <c r="A121" s="138" t="s">
        <v>361</v>
      </c>
      <c r="B121" s="139" t="s">
        <v>247</v>
      </c>
      <c r="C121" s="140" t="s">
        <v>244</v>
      </c>
    </row>
    <row r="122">
      <c r="A122" s="138" t="s">
        <v>361</v>
      </c>
      <c r="B122" s="139" t="s">
        <v>247</v>
      </c>
      <c r="C122" s="146" t="s">
        <v>231</v>
      </c>
    </row>
    <row r="123">
      <c r="A123" s="138" t="s">
        <v>361</v>
      </c>
      <c r="B123" s="139" t="s">
        <v>247</v>
      </c>
      <c r="C123" s="140" t="s">
        <v>244</v>
      </c>
    </row>
    <row r="124">
      <c r="A124" s="138" t="s">
        <v>361</v>
      </c>
      <c r="B124" s="138" t="s">
        <v>248</v>
      </c>
      <c r="C124" s="140" t="s">
        <v>219</v>
      </c>
    </row>
    <row r="125">
      <c r="A125" s="138" t="s">
        <v>361</v>
      </c>
      <c r="B125" s="138" t="s">
        <v>248</v>
      </c>
      <c r="C125" s="140" t="s">
        <v>220</v>
      </c>
    </row>
    <row r="126">
      <c r="A126" s="138" t="s">
        <v>361</v>
      </c>
      <c r="B126" s="138" t="s">
        <v>248</v>
      </c>
      <c r="C126" s="140" t="s">
        <v>219</v>
      </c>
    </row>
    <row r="127">
      <c r="A127" s="138" t="s">
        <v>361</v>
      </c>
      <c r="B127" s="138" t="s">
        <v>248</v>
      </c>
      <c r="C127" s="140" t="s">
        <v>220</v>
      </c>
    </row>
    <row r="128">
      <c r="A128" s="138" t="s">
        <v>361</v>
      </c>
      <c r="B128" s="138" t="s">
        <v>248</v>
      </c>
      <c r="C128" s="140" t="s">
        <v>219</v>
      </c>
    </row>
    <row r="129">
      <c r="A129" s="138" t="s">
        <v>361</v>
      </c>
      <c r="B129" s="138" t="s">
        <v>248</v>
      </c>
      <c r="C129" s="146" t="s">
        <v>231</v>
      </c>
    </row>
    <row r="130">
      <c r="A130" s="138" t="s">
        <v>361</v>
      </c>
      <c r="B130" s="138" t="s">
        <v>248</v>
      </c>
      <c r="C130" s="146" t="s">
        <v>231</v>
      </c>
    </row>
    <row r="131">
      <c r="A131" s="138" t="s">
        <v>361</v>
      </c>
      <c r="B131" s="138" t="s">
        <v>248</v>
      </c>
      <c r="C131" s="146" t="s">
        <v>231</v>
      </c>
    </row>
    <row r="132">
      <c r="A132" s="138" t="s">
        <v>361</v>
      </c>
      <c r="B132" s="138" t="s">
        <v>248</v>
      </c>
      <c r="C132" s="146" t="s">
        <v>231</v>
      </c>
    </row>
    <row r="133">
      <c r="A133" s="138" t="s">
        <v>361</v>
      </c>
      <c r="B133" s="138" t="s">
        <v>248</v>
      </c>
      <c r="C133" s="146" t="s">
        <v>231</v>
      </c>
    </row>
    <row r="134">
      <c r="A134" s="138" t="s">
        <v>361</v>
      </c>
      <c r="B134" s="138" t="s">
        <v>248</v>
      </c>
      <c r="C134" s="146" t="s">
        <v>251</v>
      </c>
    </row>
    <row r="135">
      <c r="A135" s="138" t="s">
        <v>361</v>
      </c>
      <c r="B135" s="138" t="s">
        <v>248</v>
      </c>
      <c r="C135" s="140" t="s">
        <v>222</v>
      </c>
    </row>
    <row r="136">
      <c r="A136" s="138" t="s">
        <v>361</v>
      </c>
      <c r="B136" s="138" t="s">
        <v>248</v>
      </c>
      <c r="C136" s="140" t="s">
        <v>222</v>
      </c>
    </row>
    <row r="137">
      <c r="A137" s="138" t="s">
        <v>361</v>
      </c>
      <c r="B137" s="138" t="s">
        <v>248</v>
      </c>
      <c r="C137" s="140" t="s">
        <v>222</v>
      </c>
    </row>
    <row r="138">
      <c r="A138" s="138" t="s">
        <v>361</v>
      </c>
      <c r="B138" s="139" t="s">
        <v>249</v>
      </c>
      <c r="C138" s="140" t="s">
        <v>222</v>
      </c>
    </row>
    <row r="139">
      <c r="A139" s="138" t="s">
        <v>361</v>
      </c>
      <c r="B139" s="139" t="s">
        <v>249</v>
      </c>
      <c r="C139" s="140" t="s">
        <v>222</v>
      </c>
    </row>
    <row r="140">
      <c r="A140" s="138" t="s">
        <v>361</v>
      </c>
      <c r="B140" s="139" t="s">
        <v>249</v>
      </c>
      <c r="C140" s="146" t="s">
        <v>222</v>
      </c>
    </row>
    <row r="141">
      <c r="A141" s="138" t="s">
        <v>361</v>
      </c>
      <c r="B141" s="139" t="s">
        <v>249</v>
      </c>
      <c r="C141" s="146" t="s">
        <v>222</v>
      </c>
    </row>
    <row r="142">
      <c r="A142" s="138" t="s">
        <v>361</v>
      </c>
      <c r="B142" s="139" t="s">
        <v>249</v>
      </c>
      <c r="C142" s="146" t="s">
        <v>222</v>
      </c>
    </row>
    <row r="143">
      <c r="A143" s="138" t="s">
        <v>361</v>
      </c>
      <c r="B143" s="139" t="s">
        <v>249</v>
      </c>
      <c r="C143" s="146" t="s">
        <v>222</v>
      </c>
    </row>
    <row r="144">
      <c r="A144" s="138" t="s">
        <v>361</v>
      </c>
      <c r="B144" s="139" t="s">
        <v>249</v>
      </c>
      <c r="C144" s="140" t="s">
        <v>220</v>
      </c>
    </row>
    <row r="145">
      <c r="A145" s="138" t="s">
        <v>361</v>
      </c>
      <c r="B145" s="139" t="s">
        <v>249</v>
      </c>
      <c r="C145" s="140" t="s">
        <v>222</v>
      </c>
    </row>
    <row r="146">
      <c r="A146" s="138" t="s">
        <v>361</v>
      </c>
      <c r="B146" s="139" t="s">
        <v>249</v>
      </c>
      <c r="C146" s="140" t="s">
        <v>222</v>
      </c>
    </row>
    <row r="147">
      <c r="A147" s="138" t="s">
        <v>361</v>
      </c>
      <c r="B147" s="139" t="s">
        <v>249</v>
      </c>
      <c r="C147" s="140" t="s">
        <v>251</v>
      </c>
    </row>
    <row r="148">
      <c r="A148" s="138" t="s">
        <v>361</v>
      </c>
      <c r="B148" s="139" t="s">
        <v>249</v>
      </c>
      <c r="C148" s="140" t="s">
        <v>233</v>
      </c>
    </row>
    <row r="149">
      <c r="A149" s="138" t="s">
        <v>361</v>
      </c>
      <c r="B149" s="139" t="s">
        <v>249</v>
      </c>
      <c r="C149" s="140" t="s">
        <v>233</v>
      </c>
    </row>
    <row r="150">
      <c r="A150" s="138" t="s">
        <v>361</v>
      </c>
      <c r="B150" s="139" t="s">
        <v>253</v>
      </c>
      <c r="C150" s="140" t="s">
        <v>222</v>
      </c>
    </row>
    <row r="151">
      <c r="A151" s="138" t="s">
        <v>361</v>
      </c>
      <c r="B151" s="139" t="s">
        <v>253</v>
      </c>
      <c r="C151" s="140" t="s">
        <v>222</v>
      </c>
    </row>
    <row r="152">
      <c r="A152" s="138" t="s">
        <v>361</v>
      </c>
      <c r="B152" s="139" t="s">
        <v>253</v>
      </c>
      <c r="C152" s="140" t="s">
        <v>222</v>
      </c>
    </row>
    <row r="153">
      <c r="A153" s="138" t="s">
        <v>361</v>
      </c>
      <c r="B153" s="139" t="s">
        <v>253</v>
      </c>
      <c r="C153" s="140" t="s">
        <v>231</v>
      </c>
    </row>
    <row r="154">
      <c r="A154" s="138" t="s">
        <v>361</v>
      </c>
      <c r="B154" s="139" t="s">
        <v>253</v>
      </c>
      <c r="C154" s="140" t="s">
        <v>231</v>
      </c>
    </row>
    <row r="155">
      <c r="A155" s="138" t="s">
        <v>361</v>
      </c>
      <c r="B155" s="139" t="s">
        <v>253</v>
      </c>
      <c r="C155" s="140" t="s">
        <v>220</v>
      </c>
    </row>
    <row r="156">
      <c r="A156" s="138" t="s">
        <v>361</v>
      </c>
      <c r="B156" s="139" t="s">
        <v>253</v>
      </c>
      <c r="C156" s="140" t="s">
        <v>220</v>
      </c>
    </row>
    <row r="157">
      <c r="A157" s="138" t="s">
        <v>361</v>
      </c>
      <c r="B157" s="139" t="s">
        <v>253</v>
      </c>
      <c r="C157" s="140" t="s">
        <v>235</v>
      </c>
    </row>
    <row r="158">
      <c r="A158" s="138" t="s">
        <v>361</v>
      </c>
      <c r="B158" s="139" t="s">
        <v>253</v>
      </c>
      <c r="C158" s="146" t="s">
        <v>251</v>
      </c>
    </row>
    <row r="159">
      <c r="A159" s="138" t="s">
        <v>361</v>
      </c>
      <c r="B159" s="139" t="s">
        <v>253</v>
      </c>
      <c r="C159" s="146" t="s">
        <v>231</v>
      </c>
    </row>
    <row r="160">
      <c r="A160" s="138" t="s">
        <v>361</v>
      </c>
      <c r="B160" s="139" t="s">
        <v>253</v>
      </c>
      <c r="C160" s="146" t="s">
        <v>231</v>
      </c>
    </row>
    <row r="161">
      <c r="A161" s="138" t="s">
        <v>361</v>
      </c>
      <c r="B161" s="139" t="s">
        <v>253</v>
      </c>
      <c r="C161" s="146" t="s">
        <v>244</v>
      </c>
    </row>
    <row r="162">
      <c r="A162" s="138" t="s">
        <v>361</v>
      </c>
      <c r="B162" s="139" t="s">
        <v>253</v>
      </c>
      <c r="C162" s="140" t="s">
        <v>235</v>
      </c>
    </row>
    <row r="163">
      <c r="A163" s="138" t="s">
        <v>361</v>
      </c>
      <c r="B163" s="139" t="s">
        <v>255</v>
      </c>
      <c r="C163" s="140" t="s">
        <v>236</v>
      </c>
    </row>
    <row r="164">
      <c r="A164" s="138" t="s">
        <v>361</v>
      </c>
      <c r="B164" s="139" t="s">
        <v>255</v>
      </c>
      <c r="C164" s="140" t="s">
        <v>233</v>
      </c>
    </row>
    <row r="165">
      <c r="A165" s="138" t="s">
        <v>361</v>
      </c>
      <c r="B165" s="139" t="s">
        <v>255</v>
      </c>
      <c r="C165" s="140" t="s">
        <v>233</v>
      </c>
    </row>
    <row r="166">
      <c r="A166" s="138" t="s">
        <v>361</v>
      </c>
      <c r="B166" s="139" t="s">
        <v>255</v>
      </c>
      <c r="C166" s="140" t="s">
        <v>222</v>
      </c>
    </row>
    <row r="167">
      <c r="A167" s="138" t="s">
        <v>361</v>
      </c>
      <c r="B167" s="139" t="s">
        <v>255</v>
      </c>
      <c r="C167" s="140" t="s">
        <v>222</v>
      </c>
    </row>
    <row r="168">
      <c r="A168" s="138" t="s">
        <v>361</v>
      </c>
      <c r="B168" s="139" t="s">
        <v>255</v>
      </c>
      <c r="C168" s="146" t="s">
        <v>231</v>
      </c>
    </row>
    <row r="169">
      <c r="A169" s="138" t="s">
        <v>361</v>
      </c>
      <c r="B169" s="139" t="s">
        <v>255</v>
      </c>
      <c r="C169" s="146" t="s">
        <v>231</v>
      </c>
    </row>
    <row r="170">
      <c r="A170" s="138" t="s">
        <v>361</v>
      </c>
      <c r="B170" s="139" t="s">
        <v>255</v>
      </c>
      <c r="C170" s="146" t="s">
        <v>231</v>
      </c>
    </row>
    <row r="171">
      <c r="A171" s="138" t="s">
        <v>361</v>
      </c>
      <c r="B171" s="139" t="s">
        <v>255</v>
      </c>
      <c r="C171" s="146" t="s">
        <v>231</v>
      </c>
    </row>
    <row r="172">
      <c r="A172" s="138" t="s">
        <v>361</v>
      </c>
      <c r="B172" s="139" t="s">
        <v>255</v>
      </c>
      <c r="C172" s="140" t="s">
        <v>222</v>
      </c>
    </row>
    <row r="173">
      <c r="A173" s="138" t="s">
        <v>361</v>
      </c>
      <c r="B173" s="139" t="s">
        <v>255</v>
      </c>
      <c r="C173" s="140" t="s">
        <v>220</v>
      </c>
    </row>
    <row r="174">
      <c r="A174" s="138" t="s">
        <v>361</v>
      </c>
      <c r="B174" s="139" t="s">
        <v>258</v>
      </c>
      <c r="C174" s="140" t="s">
        <v>220</v>
      </c>
    </row>
    <row r="175">
      <c r="A175" s="138" t="s">
        <v>361</v>
      </c>
      <c r="B175" s="139" t="s">
        <v>258</v>
      </c>
      <c r="C175" s="140" t="s">
        <v>220</v>
      </c>
    </row>
    <row r="176">
      <c r="A176" s="138" t="s">
        <v>361</v>
      </c>
      <c r="B176" s="139" t="s">
        <v>258</v>
      </c>
      <c r="C176" s="140" t="s">
        <v>220</v>
      </c>
    </row>
    <row r="177">
      <c r="A177" s="138" t="s">
        <v>361</v>
      </c>
      <c r="B177" s="139" t="s">
        <v>258</v>
      </c>
      <c r="C177" s="140" t="s">
        <v>241</v>
      </c>
    </row>
    <row r="178">
      <c r="A178" s="138" t="s">
        <v>361</v>
      </c>
      <c r="B178" s="139" t="s">
        <v>258</v>
      </c>
      <c r="C178" s="140" t="s">
        <v>220</v>
      </c>
    </row>
    <row r="179">
      <c r="A179" s="138" t="s">
        <v>361</v>
      </c>
      <c r="B179" s="139" t="s">
        <v>258</v>
      </c>
      <c r="C179" s="140" t="s">
        <v>244</v>
      </c>
    </row>
    <row r="180">
      <c r="A180" s="138" t="s">
        <v>361</v>
      </c>
      <c r="B180" s="139" t="s">
        <v>258</v>
      </c>
      <c r="C180" s="140" t="s">
        <v>244</v>
      </c>
    </row>
    <row r="181">
      <c r="A181" s="138" t="s">
        <v>361</v>
      </c>
      <c r="B181" s="139" t="s">
        <v>258</v>
      </c>
      <c r="C181" s="140" t="s">
        <v>220</v>
      </c>
    </row>
    <row r="182">
      <c r="A182" s="138" t="s">
        <v>361</v>
      </c>
      <c r="B182" s="139" t="s">
        <v>258</v>
      </c>
      <c r="C182" s="146" t="s">
        <v>222</v>
      </c>
    </row>
    <row r="183">
      <c r="A183" s="138" t="s">
        <v>361</v>
      </c>
      <c r="B183" s="139" t="s">
        <v>258</v>
      </c>
      <c r="C183" s="146" t="s">
        <v>233</v>
      </c>
    </row>
    <row r="184">
      <c r="A184" s="138" t="s">
        <v>361</v>
      </c>
      <c r="B184" s="139" t="s">
        <v>258</v>
      </c>
      <c r="C184" s="146" t="s">
        <v>222</v>
      </c>
    </row>
    <row r="185">
      <c r="A185" s="138" t="s">
        <v>361</v>
      </c>
      <c r="B185" s="139" t="s">
        <v>258</v>
      </c>
      <c r="C185" s="140" t="s">
        <v>220</v>
      </c>
    </row>
    <row r="186">
      <c r="A186" s="138" t="s">
        <v>361</v>
      </c>
      <c r="B186" s="139" t="s">
        <v>259</v>
      </c>
      <c r="C186" s="140" t="s">
        <v>222</v>
      </c>
    </row>
    <row r="187">
      <c r="A187" s="138" t="s">
        <v>361</v>
      </c>
      <c r="B187" s="139" t="s">
        <v>259</v>
      </c>
      <c r="C187" s="140" t="s">
        <v>233</v>
      </c>
    </row>
    <row r="188">
      <c r="A188" s="138" t="s">
        <v>361</v>
      </c>
      <c r="B188" s="139" t="s">
        <v>259</v>
      </c>
      <c r="C188" s="140" t="s">
        <v>222</v>
      </c>
    </row>
    <row r="189">
      <c r="A189" s="138" t="s">
        <v>361</v>
      </c>
      <c r="B189" s="139" t="s">
        <v>259</v>
      </c>
      <c r="C189" s="140" t="s">
        <v>222</v>
      </c>
    </row>
    <row r="190">
      <c r="A190" s="138" t="s">
        <v>361</v>
      </c>
      <c r="B190" s="139" t="s">
        <v>259</v>
      </c>
      <c r="C190" s="146" t="s">
        <v>251</v>
      </c>
    </row>
    <row r="191">
      <c r="A191" s="138" t="s">
        <v>361</v>
      </c>
      <c r="B191" s="139" t="s">
        <v>259</v>
      </c>
      <c r="C191" s="146" t="s">
        <v>227</v>
      </c>
    </row>
    <row r="192">
      <c r="A192" s="138" t="s">
        <v>361</v>
      </c>
      <c r="B192" s="139" t="s">
        <v>259</v>
      </c>
      <c r="C192" s="146" t="s">
        <v>224</v>
      </c>
    </row>
    <row r="193">
      <c r="A193" s="138" t="s">
        <v>361</v>
      </c>
      <c r="B193" s="139" t="s">
        <v>259</v>
      </c>
      <c r="C193" s="146" t="s">
        <v>233</v>
      </c>
    </row>
    <row r="194">
      <c r="A194" s="138" t="s">
        <v>361</v>
      </c>
      <c r="B194" s="139" t="s">
        <v>259</v>
      </c>
      <c r="C194" s="146" t="s">
        <v>231</v>
      </c>
    </row>
    <row r="195">
      <c r="A195" s="138" t="s">
        <v>361</v>
      </c>
      <c r="B195" s="139" t="s">
        <v>259</v>
      </c>
      <c r="C195" s="140" t="s">
        <v>222</v>
      </c>
    </row>
    <row r="196">
      <c r="A196" s="138" t="s">
        <v>361</v>
      </c>
      <c r="B196" s="139" t="s">
        <v>264</v>
      </c>
      <c r="C196" s="140" t="s">
        <v>220</v>
      </c>
    </row>
    <row r="197">
      <c r="A197" s="138" t="s">
        <v>361</v>
      </c>
      <c r="B197" s="139" t="s">
        <v>264</v>
      </c>
      <c r="C197" s="140" t="s">
        <v>220</v>
      </c>
    </row>
    <row r="198">
      <c r="A198" s="138" t="s">
        <v>361</v>
      </c>
      <c r="B198" s="139" t="s">
        <v>264</v>
      </c>
      <c r="C198" s="140" t="s">
        <v>222</v>
      </c>
    </row>
    <row r="199">
      <c r="A199" s="138" t="s">
        <v>361</v>
      </c>
      <c r="B199" s="139" t="s">
        <v>264</v>
      </c>
      <c r="C199" s="140" t="s">
        <v>251</v>
      </c>
    </row>
    <row r="200">
      <c r="A200" s="138" t="s">
        <v>361</v>
      </c>
      <c r="B200" s="139" t="s">
        <v>264</v>
      </c>
      <c r="C200" s="146" t="s">
        <v>227</v>
      </c>
    </row>
    <row r="201">
      <c r="A201" s="138" t="s">
        <v>361</v>
      </c>
      <c r="B201" s="139" t="s">
        <v>264</v>
      </c>
      <c r="C201" s="146" t="s">
        <v>220</v>
      </c>
    </row>
    <row r="202">
      <c r="A202" s="138" t="s">
        <v>361</v>
      </c>
      <c r="B202" s="139" t="s">
        <v>264</v>
      </c>
      <c r="C202" s="146" t="s">
        <v>220</v>
      </c>
    </row>
    <row r="203">
      <c r="A203" s="138" t="s">
        <v>361</v>
      </c>
      <c r="B203" s="139" t="s">
        <v>264</v>
      </c>
      <c r="C203" s="146" t="s">
        <v>231</v>
      </c>
    </row>
    <row r="204">
      <c r="A204" s="138" t="s">
        <v>361</v>
      </c>
      <c r="B204" s="138" t="s">
        <v>264</v>
      </c>
      <c r="C204" s="146" t="s">
        <v>231</v>
      </c>
    </row>
    <row r="205">
      <c r="A205" s="138" t="s">
        <v>361</v>
      </c>
      <c r="B205" s="139" t="s">
        <v>264</v>
      </c>
      <c r="C205" s="146" t="s">
        <v>231</v>
      </c>
    </row>
    <row r="206">
      <c r="A206" s="138" t="s">
        <v>361</v>
      </c>
      <c r="B206" s="139" t="s">
        <v>264</v>
      </c>
      <c r="C206" s="140" t="s">
        <v>251</v>
      </c>
    </row>
    <row r="207">
      <c r="A207" s="138" t="s">
        <v>361</v>
      </c>
      <c r="B207" s="139" t="s">
        <v>264</v>
      </c>
      <c r="C207" s="140" t="s">
        <v>233</v>
      </c>
    </row>
    <row r="208">
      <c r="A208" s="138" t="s">
        <v>361</v>
      </c>
      <c r="B208" s="139" t="s">
        <v>265</v>
      </c>
      <c r="C208" s="140" t="s">
        <v>220</v>
      </c>
    </row>
    <row r="209">
      <c r="A209" s="138" t="s">
        <v>361</v>
      </c>
      <c r="B209" s="139" t="s">
        <v>265</v>
      </c>
      <c r="C209" s="140" t="s">
        <v>220</v>
      </c>
    </row>
    <row r="210">
      <c r="A210" s="138" t="s">
        <v>361</v>
      </c>
      <c r="B210" s="139" t="s">
        <v>265</v>
      </c>
      <c r="C210" s="140" t="s">
        <v>220</v>
      </c>
    </row>
    <row r="211">
      <c r="A211" s="138" t="s">
        <v>361</v>
      </c>
      <c r="B211" s="139" t="s">
        <v>265</v>
      </c>
      <c r="C211" s="140" t="s">
        <v>219</v>
      </c>
    </row>
    <row r="212">
      <c r="A212" s="138" t="s">
        <v>361</v>
      </c>
      <c r="B212" s="139" t="s">
        <v>265</v>
      </c>
      <c r="C212" s="140" t="s">
        <v>220</v>
      </c>
    </row>
    <row r="213">
      <c r="A213" s="138" t="s">
        <v>361</v>
      </c>
      <c r="B213" s="139" t="s">
        <v>265</v>
      </c>
      <c r="C213" s="140" t="s">
        <v>220</v>
      </c>
    </row>
    <row r="214">
      <c r="A214" s="138" t="s">
        <v>361</v>
      </c>
      <c r="B214" s="139" t="s">
        <v>265</v>
      </c>
      <c r="C214" s="140" t="s">
        <v>251</v>
      </c>
    </row>
    <row r="215">
      <c r="A215" s="138" t="s">
        <v>361</v>
      </c>
      <c r="B215" s="139" t="s">
        <v>265</v>
      </c>
      <c r="C215" s="140" t="s">
        <v>251</v>
      </c>
    </row>
    <row r="216">
      <c r="A216" s="138" t="s">
        <v>361</v>
      </c>
      <c r="B216" s="139" t="s">
        <v>265</v>
      </c>
      <c r="C216" s="146" t="s">
        <v>224</v>
      </c>
    </row>
    <row r="217">
      <c r="A217" s="138" t="s">
        <v>361</v>
      </c>
      <c r="B217" s="139" t="s">
        <v>265</v>
      </c>
      <c r="C217" s="146" t="s">
        <v>227</v>
      </c>
    </row>
    <row r="218">
      <c r="A218" s="138" t="s">
        <v>361</v>
      </c>
      <c r="B218" s="139" t="s">
        <v>265</v>
      </c>
      <c r="C218" s="146" t="s">
        <v>224</v>
      </c>
    </row>
    <row r="219">
      <c r="A219" s="138" t="s">
        <v>361</v>
      </c>
      <c r="B219" s="139" t="s">
        <v>265</v>
      </c>
      <c r="C219" s="146" t="s">
        <v>220</v>
      </c>
    </row>
    <row r="220">
      <c r="A220" s="138" t="s">
        <v>361</v>
      </c>
      <c r="B220" s="139" t="s">
        <v>265</v>
      </c>
      <c r="C220" s="146" t="s">
        <v>224</v>
      </c>
    </row>
    <row r="221">
      <c r="A221" s="138" t="s">
        <v>361</v>
      </c>
      <c r="B221" s="139" t="s">
        <v>265</v>
      </c>
      <c r="C221" s="140" t="s">
        <v>220</v>
      </c>
    </row>
    <row r="222">
      <c r="A222" s="138" t="s">
        <v>361</v>
      </c>
      <c r="B222" s="139" t="s">
        <v>265</v>
      </c>
      <c r="C222" s="140" t="s">
        <v>220</v>
      </c>
    </row>
    <row r="223">
      <c r="A223" s="138" t="s">
        <v>361</v>
      </c>
      <c r="B223" s="139" t="s">
        <v>266</v>
      </c>
      <c r="C223" s="140" t="s">
        <v>220</v>
      </c>
    </row>
    <row r="224">
      <c r="A224" s="138" t="s">
        <v>361</v>
      </c>
      <c r="B224" s="139" t="s">
        <v>266</v>
      </c>
      <c r="C224" s="140" t="s">
        <v>220</v>
      </c>
    </row>
    <row r="225">
      <c r="A225" s="138" t="s">
        <v>361</v>
      </c>
      <c r="B225" s="139" t="s">
        <v>266</v>
      </c>
      <c r="C225" s="146" t="s">
        <v>220</v>
      </c>
    </row>
    <row r="226">
      <c r="A226" s="138" t="s">
        <v>361</v>
      </c>
      <c r="B226" s="139" t="s">
        <v>266</v>
      </c>
      <c r="C226" s="146" t="s">
        <v>251</v>
      </c>
    </row>
    <row r="227">
      <c r="A227" s="138" t="s">
        <v>361</v>
      </c>
      <c r="B227" s="139" t="s">
        <v>266</v>
      </c>
      <c r="C227" s="146" t="s">
        <v>251</v>
      </c>
    </row>
    <row r="228">
      <c r="A228" s="138" t="s">
        <v>361</v>
      </c>
      <c r="B228" s="139" t="s">
        <v>266</v>
      </c>
      <c r="C228" s="146" t="s">
        <v>236</v>
      </c>
    </row>
    <row r="229">
      <c r="A229" s="138" t="s">
        <v>361</v>
      </c>
      <c r="B229" s="139" t="s">
        <v>266</v>
      </c>
      <c r="C229" s="140" t="s">
        <v>251</v>
      </c>
    </row>
    <row r="230">
      <c r="A230" s="138" t="s">
        <v>361</v>
      </c>
      <c r="B230" s="139" t="s">
        <v>266</v>
      </c>
      <c r="C230" s="140" t="s">
        <v>233</v>
      </c>
    </row>
    <row r="231">
      <c r="A231" s="138" t="s">
        <v>361</v>
      </c>
      <c r="B231" s="139" t="s">
        <v>266</v>
      </c>
      <c r="C231" s="140" t="s">
        <v>233</v>
      </c>
    </row>
    <row r="232">
      <c r="A232" s="138" t="s">
        <v>361</v>
      </c>
      <c r="B232" s="139" t="s">
        <v>266</v>
      </c>
      <c r="C232" s="140" t="s">
        <v>251</v>
      </c>
    </row>
    <row r="233">
      <c r="A233" s="138" t="s">
        <v>361</v>
      </c>
      <c r="B233" s="139" t="s">
        <v>266</v>
      </c>
      <c r="C233" s="140" t="s">
        <v>251</v>
      </c>
    </row>
    <row r="234">
      <c r="A234" s="138" t="s">
        <v>361</v>
      </c>
      <c r="B234" s="139" t="s">
        <v>267</v>
      </c>
      <c r="C234" s="140" t="s">
        <v>220</v>
      </c>
    </row>
    <row r="235">
      <c r="A235" s="138" t="s">
        <v>361</v>
      </c>
      <c r="B235" s="139" t="s">
        <v>267</v>
      </c>
      <c r="C235" s="140" t="s">
        <v>251</v>
      </c>
    </row>
    <row r="236">
      <c r="A236" s="138" t="s">
        <v>361</v>
      </c>
      <c r="B236" s="139" t="s">
        <v>267</v>
      </c>
      <c r="C236" s="140" t="s">
        <v>244</v>
      </c>
    </row>
    <row r="237">
      <c r="A237" s="138" t="s">
        <v>361</v>
      </c>
      <c r="B237" s="139" t="s">
        <v>267</v>
      </c>
      <c r="C237" s="140" t="s">
        <v>251</v>
      </c>
    </row>
    <row r="238">
      <c r="A238" s="138" t="s">
        <v>361</v>
      </c>
      <c r="B238" s="139" t="s">
        <v>267</v>
      </c>
      <c r="C238" s="140" t="s">
        <v>251</v>
      </c>
    </row>
    <row r="239">
      <c r="A239" s="138" t="s">
        <v>361</v>
      </c>
      <c r="B239" s="139" t="s">
        <v>267</v>
      </c>
      <c r="C239" s="140" t="s">
        <v>220</v>
      </c>
    </row>
    <row r="240">
      <c r="A240" s="138" t="s">
        <v>361</v>
      </c>
      <c r="B240" s="139" t="s">
        <v>267</v>
      </c>
      <c r="C240" s="146" t="s">
        <v>251</v>
      </c>
    </row>
    <row r="241">
      <c r="A241" s="138" t="s">
        <v>361</v>
      </c>
      <c r="B241" s="139" t="s">
        <v>267</v>
      </c>
      <c r="C241" s="146" t="s">
        <v>251</v>
      </c>
    </row>
    <row r="242">
      <c r="A242" s="138" t="s">
        <v>361</v>
      </c>
      <c r="B242" s="139" t="s">
        <v>267</v>
      </c>
      <c r="C242" s="146" t="s">
        <v>251</v>
      </c>
    </row>
    <row r="243">
      <c r="A243" s="138" t="s">
        <v>361</v>
      </c>
      <c r="B243" s="139" t="s">
        <v>267</v>
      </c>
      <c r="C243" s="146" t="s">
        <v>251</v>
      </c>
    </row>
    <row r="244">
      <c r="A244" s="138" t="s">
        <v>361</v>
      </c>
      <c r="B244" s="139" t="s">
        <v>267</v>
      </c>
      <c r="C244" s="146" t="s">
        <v>251</v>
      </c>
    </row>
    <row r="245">
      <c r="A245" s="138" t="s">
        <v>361</v>
      </c>
      <c r="B245" s="139" t="s">
        <v>267</v>
      </c>
      <c r="C245" s="140" t="s">
        <v>244</v>
      </c>
    </row>
    <row r="246">
      <c r="A246" s="138" t="s">
        <v>361</v>
      </c>
      <c r="B246" s="139" t="s">
        <v>267</v>
      </c>
      <c r="C246" s="140" t="s">
        <v>220</v>
      </c>
    </row>
    <row r="247">
      <c r="A247" s="138" t="s">
        <v>361</v>
      </c>
      <c r="B247" s="139" t="s">
        <v>267</v>
      </c>
      <c r="C247" s="140" t="s">
        <v>220</v>
      </c>
    </row>
    <row r="248">
      <c r="A248" s="138" t="s">
        <v>361</v>
      </c>
      <c r="B248" s="139" t="s">
        <v>267</v>
      </c>
      <c r="C248" s="140" t="s">
        <v>251</v>
      </c>
    </row>
    <row r="249">
      <c r="A249" s="138" t="s">
        <v>361</v>
      </c>
      <c r="B249" s="139" t="s">
        <v>267</v>
      </c>
      <c r="C249" s="140" t="s">
        <v>251</v>
      </c>
    </row>
    <row r="250">
      <c r="A250" s="138" t="s">
        <v>361</v>
      </c>
      <c r="B250" s="139" t="s">
        <v>268</v>
      </c>
      <c r="C250" s="140" t="s">
        <v>220</v>
      </c>
    </row>
    <row r="251">
      <c r="A251" s="138" t="s">
        <v>361</v>
      </c>
      <c r="B251" s="139" t="s">
        <v>268</v>
      </c>
      <c r="C251" s="140" t="s">
        <v>222</v>
      </c>
    </row>
    <row r="252">
      <c r="A252" s="138" t="s">
        <v>361</v>
      </c>
      <c r="B252" s="139" t="s">
        <v>268</v>
      </c>
      <c r="C252" s="146" t="s">
        <v>236</v>
      </c>
    </row>
    <row r="253">
      <c r="A253" s="138" t="s">
        <v>361</v>
      </c>
      <c r="B253" s="139" t="s">
        <v>268</v>
      </c>
      <c r="C253" s="146" t="s">
        <v>236</v>
      </c>
    </row>
    <row r="254">
      <c r="A254" s="138" t="s">
        <v>361</v>
      </c>
      <c r="B254" s="139" t="s">
        <v>268</v>
      </c>
      <c r="C254" s="146" t="s">
        <v>220</v>
      </c>
    </row>
    <row r="255">
      <c r="A255" s="138" t="s">
        <v>361</v>
      </c>
      <c r="B255" s="139" t="s">
        <v>268</v>
      </c>
      <c r="C255" s="140" t="s">
        <v>222</v>
      </c>
    </row>
    <row r="256">
      <c r="A256" s="138" t="s">
        <v>361</v>
      </c>
      <c r="B256" s="139" t="s">
        <v>268</v>
      </c>
      <c r="C256" s="140" t="s">
        <v>222</v>
      </c>
    </row>
    <row r="257">
      <c r="A257" s="138" t="s">
        <v>361</v>
      </c>
      <c r="B257" s="139" t="s">
        <v>268</v>
      </c>
      <c r="C257" s="140" t="s">
        <v>236</v>
      </c>
    </row>
    <row r="258">
      <c r="A258" s="138" t="s">
        <v>361</v>
      </c>
      <c r="B258" s="139" t="s">
        <v>268</v>
      </c>
      <c r="C258" s="140" t="s">
        <v>222</v>
      </c>
    </row>
    <row r="259">
      <c r="A259" s="138" t="s">
        <v>361</v>
      </c>
      <c r="B259" s="139" t="s">
        <v>268</v>
      </c>
      <c r="C259" s="140" t="s">
        <v>222</v>
      </c>
    </row>
    <row r="260">
      <c r="A260" s="138" t="s">
        <v>361</v>
      </c>
      <c r="B260" s="139" t="s">
        <v>271</v>
      </c>
      <c r="C260" s="140" t="s">
        <v>222</v>
      </c>
    </row>
    <row r="261">
      <c r="A261" s="138" t="s">
        <v>361</v>
      </c>
      <c r="B261" s="138" t="s">
        <v>271</v>
      </c>
      <c r="C261" s="146" t="s">
        <v>222</v>
      </c>
    </row>
    <row r="262">
      <c r="A262" s="138" t="s">
        <v>361</v>
      </c>
      <c r="B262" s="139" t="s">
        <v>271</v>
      </c>
      <c r="C262" s="146" t="s">
        <v>222</v>
      </c>
    </row>
    <row r="263">
      <c r="A263" s="138" t="s">
        <v>361</v>
      </c>
      <c r="B263" s="138" t="s">
        <v>271</v>
      </c>
      <c r="C263" s="146" t="s">
        <v>222</v>
      </c>
    </row>
    <row r="264">
      <c r="A264" s="138" t="s">
        <v>361</v>
      </c>
      <c r="B264" s="139" t="s">
        <v>271</v>
      </c>
      <c r="C264" s="140" t="s">
        <v>222</v>
      </c>
    </row>
    <row r="265">
      <c r="A265" s="138" t="s">
        <v>361</v>
      </c>
      <c r="B265" s="139" t="s">
        <v>271</v>
      </c>
      <c r="C265" s="140" t="s">
        <v>222</v>
      </c>
    </row>
    <row r="266">
      <c r="A266" s="138" t="s">
        <v>361</v>
      </c>
      <c r="B266" s="139" t="s">
        <v>271</v>
      </c>
      <c r="C266" s="140" t="s">
        <v>222</v>
      </c>
    </row>
    <row r="267">
      <c r="A267" s="138" t="s">
        <v>361</v>
      </c>
      <c r="B267" s="139" t="s">
        <v>271</v>
      </c>
      <c r="C267" s="140" t="s">
        <v>273</v>
      </c>
    </row>
    <row r="268">
      <c r="A268" s="138" t="s">
        <v>361</v>
      </c>
      <c r="B268" s="139" t="s">
        <v>271</v>
      </c>
      <c r="C268" s="140" t="s">
        <v>219</v>
      </c>
    </row>
    <row r="269">
      <c r="A269" s="138" t="s">
        <v>361</v>
      </c>
      <c r="B269" s="139" t="s">
        <v>271</v>
      </c>
      <c r="C269" s="140" t="s">
        <v>272</v>
      </c>
    </row>
    <row r="270">
      <c r="A270" s="138" t="s">
        <v>361</v>
      </c>
      <c r="B270" s="139" t="s">
        <v>271</v>
      </c>
      <c r="C270" s="140" t="s">
        <v>222</v>
      </c>
    </row>
    <row r="271">
      <c r="A271" s="138" t="s">
        <v>361</v>
      </c>
      <c r="B271" s="139" t="s">
        <v>271</v>
      </c>
      <c r="C271" s="140" t="s">
        <v>222</v>
      </c>
    </row>
    <row r="272">
      <c r="A272" s="138" t="s">
        <v>361</v>
      </c>
      <c r="B272" s="139" t="s">
        <v>271</v>
      </c>
      <c r="C272" s="140" t="s">
        <v>222</v>
      </c>
    </row>
    <row r="273">
      <c r="A273" s="138" t="s">
        <v>361</v>
      </c>
      <c r="B273" s="139" t="s">
        <v>274</v>
      </c>
      <c r="C273" s="140" t="s">
        <v>222</v>
      </c>
    </row>
    <row r="274">
      <c r="A274" s="138" t="s">
        <v>361</v>
      </c>
      <c r="B274" s="139" t="s">
        <v>274</v>
      </c>
      <c r="C274" s="140" t="s">
        <v>220</v>
      </c>
    </row>
    <row r="275">
      <c r="A275" s="138" t="s">
        <v>361</v>
      </c>
      <c r="B275" s="139" t="s">
        <v>274</v>
      </c>
      <c r="C275" s="140" t="s">
        <v>220</v>
      </c>
    </row>
    <row r="276">
      <c r="A276" s="138" t="s">
        <v>361</v>
      </c>
      <c r="B276" s="139" t="s">
        <v>274</v>
      </c>
      <c r="C276" s="146" t="s">
        <v>231</v>
      </c>
    </row>
    <row r="277">
      <c r="A277" s="138" t="s">
        <v>361</v>
      </c>
      <c r="B277" s="139" t="s">
        <v>274</v>
      </c>
      <c r="C277" s="146" t="s">
        <v>231</v>
      </c>
    </row>
    <row r="278">
      <c r="A278" s="138" t="s">
        <v>361</v>
      </c>
      <c r="B278" s="139" t="s">
        <v>274</v>
      </c>
      <c r="C278" s="146" t="s">
        <v>222</v>
      </c>
    </row>
    <row r="279">
      <c r="A279" s="138" t="s">
        <v>361</v>
      </c>
      <c r="B279" s="139" t="s">
        <v>274</v>
      </c>
      <c r="C279" s="146" t="s">
        <v>220</v>
      </c>
    </row>
    <row r="280">
      <c r="A280" s="138" t="s">
        <v>361</v>
      </c>
      <c r="B280" s="139" t="s">
        <v>274</v>
      </c>
      <c r="C280" s="140" t="s">
        <v>220</v>
      </c>
    </row>
    <row r="281">
      <c r="A281" s="138" t="s">
        <v>361</v>
      </c>
      <c r="B281" s="139" t="s">
        <v>275</v>
      </c>
      <c r="C281" s="140" t="s">
        <v>244</v>
      </c>
    </row>
    <row r="282">
      <c r="A282" s="138" t="s">
        <v>361</v>
      </c>
      <c r="B282" s="139" t="s">
        <v>275</v>
      </c>
      <c r="C282" s="140" t="s">
        <v>222</v>
      </c>
    </row>
    <row r="283">
      <c r="A283" s="138" t="s">
        <v>361</v>
      </c>
      <c r="B283" s="139" t="s">
        <v>275</v>
      </c>
      <c r="C283" s="140" t="s">
        <v>222</v>
      </c>
    </row>
    <row r="284">
      <c r="A284" s="138" t="s">
        <v>361</v>
      </c>
      <c r="B284" s="139" t="s">
        <v>275</v>
      </c>
      <c r="C284" s="140" t="s">
        <v>222</v>
      </c>
    </row>
    <row r="285">
      <c r="A285" s="138" t="s">
        <v>361</v>
      </c>
      <c r="B285" s="139" t="s">
        <v>275</v>
      </c>
      <c r="C285" s="140" t="s">
        <v>222</v>
      </c>
    </row>
    <row r="286">
      <c r="A286" s="138" t="s">
        <v>361</v>
      </c>
      <c r="B286" s="139" t="s">
        <v>276</v>
      </c>
      <c r="C286" s="140" t="s">
        <v>220</v>
      </c>
    </row>
    <row r="287">
      <c r="A287" s="138" t="s">
        <v>361</v>
      </c>
      <c r="B287" s="138" t="s">
        <v>276</v>
      </c>
      <c r="C287" s="140" t="s">
        <v>220</v>
      </c>
    </row>
    <row r="288">
      <c r="A288" s="138" t="s">
        <v>361</v>
      </c>
      <c r="B288" s="139" t="s">
        <v>276</v>
      </c>
      <c r="C288" s="146" t="s">
        <v>220</v>
      </c>
    </row>
    <row r="289">
      <c r="A289" s="138" t="s">
        <v>361</v>
      </c>
      <c r="B289" s="138" t="s">
        <v>276</v>
      </c>
      <c r="C289" s="146" t="s">
        <v>222</v>
      </c>
    </row>
    <row r="290">
      <c r="A290" s="138" t="s">
        <v>361</v>
      </c>
      <c r="B290" s="139" t="s">
        <v>276</v>
      </c>
      <c r="C290" s="146" t="s">
        <v>227</v>
      </c>
    </row>
    <row r="291">
      <c r="A291" s="138" t="s">
        <v>361</v>
      </c>
      <c r="B291" s="139" t="s">
        <v>276</v>
      </c>
      <c r="C291" s="140" t="s">
        <v>220</v>
      </c>
    </row>
    <row r="292">
      <c r="A292" s="138" t="s">
        <v>361</v>
      </c>
      <c r="B292" s="139" t="s">
        <v>276</v>
      </c>
      <c r="C292" s="140" t="s">
        <v>220</v>
      </c>
    </row>
    <row r="293">
      <c r="A293" s="138" t="s">
        <v>361</v>
      </c>
      <c r="B293" s="139" t="s">
        <v>278</v>
      </c>
      <c r="C293" s="140" t="s">
        <v>222</v>
      </c>
    </row>
    <row r="294">
      <c r="A294" s="138" t="s">
        <v>361</v>
      </c>
      <c r="B294" s="139" t="s">
        <v>278</v>
      </c>
      <c r="C294" s="140" t="s">
        <v>220</v>
      </c>
    </row>
    <row r="295">
      <c r="A295" s="138" t="s">
        <v>361</v>
      </c>
      <c r="B295" s="139" t="s">
        <v>278</v>
      </c>
      <c r="C295" s="140" t="s">
        <v>244</v>
      </c>
    </row>
    <row r="296">
      <c r="A296" s="138" t="s">
        <v>361</v>
      </c>
      <c r="B296" s="139" t="s">
        <v>278</v>
      </c>
      <c r="C296" s="140" t="s">
        <v>222</v>
      </c>
    </row>
    <row r="297">
      <c r="A297" s="138" t="s">
        <v>361</v>
      </c>
      <c r="B297" s="139" t="s">
        <v>278</v>
      </c>
      <c r="C297" s="146" t="s">
        <v>231</v>
      </c>
    </row>
    <row r="298">
      <c r="A298" s="138" t="s">
        <v>361</v>
      </c>
      <c r="B298" s="139" t="s">
        <v>278</v>
      </c>
      <c r="C298" s="146" t="s">
        <v>244</v>
      </c>
    </row>
    <row r="299">
      <c r="A299" s="138" t="s">
        <v>361</v>
      </c>
      <c r="B299" s="139" t="s">
        <v>278</v>
      </c>
      <c r="C299" s="146" t="s">
        <v>244</v>
      </c>
    </row>
    <row r="300">
      <c r="A300" s="138" t="s">
        <v>361</v>
      </c>
      <c r="B300" s="139" t="s">
        <v>278</v>
      </c>
      <c r="C300" s="146" t="s">
        <v>222</v>
      </c>
    </row>
    <row r="301">
      <c r="A301" s="138" t="s">
        <v>361</v>
      </c>
      <c r="B301" s="139" t="s">
        <v>278</v>
      </c>
      <c r="C301" s="140" t="s">
        <v>222</v>
      </c>
    </row>
    <row r="302">
      <c r="A302" s="138" t="s">
        <v>361</v>
      </c>
      <c r="B302" s="139" t="s">
        <v>278</v>
      </c>
      <c r="C302" s="140" t="s">
        <v>222</v>
      </c>
    </row>
    <row r="303">
      <c r="A303" s="138" t="s">
        <v>386</v>
      </c>
      <c r="B303" s="139" t="s">
        <v>279</v>
      </c>
      <c r="C303" s="140" t="s">
        <v>233</v>
      </c>
    </row>
    <row r="304">
      <c r="A304" s="138" t="s">
        <v>386</v>
      </c>
      <c r="B304" s="139" t="s">
        <v>279</v>
      </c>
      <c r="C304" s="140" t="s">
        <v>233</v>
      </c>
    </row>
    <row r="305">
      <c r="A305" s="138" t="s">
        <v>386</v>
      </c>
      <c r="B305" s="139" t="s">
        <v>279</v>
      </c>
      <c r="C305" s="140" t="s">
        <v>220</v>
      </c>
    </row>
    <row r="306">
      <c r="A306" s="138" t="s">
        <v>386</v>
      </c>
      <c r="B306" s="139" t="s">
        <v>279</v>
      </c>
      <c r="C306" s="140" t="s">
        <v>219</v>
      </c>
    </row>
    <row r="307">
      <c r="A307" s="138" t="s">
        <v>386</v>
      </c>
      <c r="B307" s="139" t="s">
        <v>279</v>
      </c>
      <c r="C307" s="140" t="s">
        <v>233</v>
      </c>
    </row>
    <row r="308">
      <c r="A308" s="138" t="s">
        <v>386</v>
      </c>
      <c r="B308" s="139" t="s">
        <v>279</v>
      </c>
      <c r="C308" s="146" t="s">
        <v>231</v>
      </c>
    </row>
    <row r="309">
      <c r="A309" s="138" t="s">
        <v>386</v>
      </c>
      <c r="B309" s="139" t="s">
        <v>279</v>
      </c>
      <c r="C309" s="146" t="s">
        <v>222</v>
      </c>
    </row>
    <row r="310">
      <c r="A310" s="138" t="s">
        <v>386</v>
      </c>
      <c r="B310" s="139" t="s">
        <v>279</v>
      </c>
      <c r="C310" s="146" t="s">
        <v>220</v>
      </c>
    </row>
    <row r="311">
      <c r="A311" s="138" t="s">
        <v>386</v>
      </c>
      <c r="B311" s="139" t="s">
        <v>279</v>
      </c>
      <c r="C311" s="146" t="s">
        <v>222</v>
      </c>
    </row>
    <row r="312">
      <c r="A312" s="138" t="s">
        <v>386</v>
      </c>
      <c r="B312" s="139" t="s">
        <v>279</v>
      </c>
      <c r="C312" s="140" t="s">
        <v>222</v>
      </c>
    </row>
    <row r="313">
      <c r="A313" s="138" t="s">
        <v>386</v>
      </c>
      <c r="B313" s="139" t="s">
        <v>280</v>
      </c>
      <c r="C313" s="140" t="s">
        <v>233</v>
      </c>
    </row>
    <row r="314">
      <c r="A314" s="138" t="s">
        <v>386</v>
      </c>
      <c r="B314" s="138" t="s">
        <v>280</v>
      </c>
      <c r="C314" s="146" t="s">
        <v>231</v>
      </c>
    </row>
    <row r="315">
      <c r="A315" s="138" t="s">
        <v>386</v>
      </c>
      <c r="B315" s="139" t="s">
        <v>280</v>
      </c>
      <c r="C315" s="146" t="s">
        <v>222</v>
      </c>
    </row>
    <row r="316">
      <c r="A316" s="138" t="s">
        <v>386</v>
      </c>
      <c r="B316" s="138" t="s">
        <v>280</v>
      </c>
      <c r="C316" s="146" t="s">
        <v>224</v>
      </c>
    </row>
    <row r="317">
      <c r="A317" s="138" t="s">
        <v>386</v>
      </c>
      <c r="B317" s="139" t="s">
        <v>280</v>
      </c>
      <c r="C317" s="146" t="s">
        <v>222</v>
      </c>
    </row>
    <row r="318">
      <c r="A318" s="138" t="s">
        <v>386</v>
      </c>
      <c r="B318" s="139" t="s">
        <v>280</v>
      </c>
      <c r="C318" s="140" t="s">
        <v>233</v>
      </c>
    </row>
    <row r="319">
      <c r="A319" s="138" t="s">
        <v>386</v>
      </c>
      <c r="B319" s="139" t="s">
        <v>280</v>
      </c>
      <c r="C319" s="140" t="s">
        <v>233</v>
      </c>
    </row>
    <row r="320">
      <c r="A320" s="138" t="s">
        <v>386</v>
      </c>
      <c r="B320" s="139" t="s">
        <v>280</v>
      </c>
      <c r="C320" s="140" t="s">
        <v>222</v>
      </c>
    </row>
    <row r="321">
      <c r="A321" s="138" t="s">
        <v>386</v>
      </c>
      <c r="B321" s="139" t="s">
        <v>280</v>
      </c>
      <c r="C321" s="140" t="s">
        <v>222</v>
      </c>
    </row>
    <row r="322">
      <c r="A322" s="138" t="s">
        <v>386</v>
      </c>
      <c r="B322" s="139" t="s">
        <v>280</v>
      </c>
      <c r="C322" s="140" t="s">
        <v>220</v>
      </c>
    </row>
    <row r="323">
      <c r="A323" s="138" t="s">
        <v>386</v>
      </c>
      <c r="B323" s="139" t="s">
        <v>281</v>
      </c>
      <c r="C323" s="140" t="s">
        <v>222</v>
      </c>
    </row>
    <row r="324">
      <c r="A324" s="138" t="s">
        <v>386</v>
      </c>
      <c r="B324" s="139" t="s">
        <v>281</v>
      </c>
      <c r="C324" s="140" t="s">
        <v>222</v>
      </c>
    </row>
    <row r="325">
      <c r="A325" s="138" t="s">
        <v>386</v>
      </c>
      <c r="B325" s="139" t="s">
        <v>281</v>
      </c>
      <c r="C325" s="140" t="s">
        <v>233</v>
      </c>
    </row>
    <row r="326">
      <c r="A326" s="138" t="s">
        <v>386</v>
      </c>
      <c r="B326" s="139" t="s">
        <v>281</v>
      </c>
      <c r="C326" s="140" t="s">
        <v>233</v>
      </c>
    </row>
    <row r="327">
      <c r="A327" s="138" t="s">
        <v>386</v>
      </c>
      <c r="B327" s="139" t="s">
        <v>281</v>
      </c>
      <c r="C327" s="140" t="s">
        <v>233</v>
      </c>
    </row>
    <row r="328">
      <c r="A328" s="138" t="s">
        <v>387</v>
      </c>
      <c r="B328" s="139" t="s">
        <v>282</v>
      </c>
      <c r="C328" s="140" t="s">
        <v>233</v>
      </c>
    </row>
    <row r="329">
      <c r="A329" s="138" t="s">
        <v>387</v>
      </c>
      <c r="B329" s="139" t="s">
        <v>282</v>
      </c>
      <c r="C329" s="140" t="s">
        <v>233</v>
      </c>
    </row>
    <row r="330">
      <c r="A330" s="138" t="s">
        <v>387</v>
      </c>
      <c r="B330" s="139" t="s">
        <v>282</v>
      </c>
      <c r="C330" s="146" t="s">
        <v>233</v>
      </c>
    </row>
    <row r="331">
      <c r="A331" s="138" t="s">
        <v>387</v>
      </c>
      <c r="B331" s="139" t="s">
        <v>282</v>
      </c>
      <c r="C331" s="146" t="s">
        <v>233</v>
      </c>
    </row>
    <row r="332">
      <c r="A332" s="138" t="s">
        <v>387</v>
      </c>
      <c r="B332" s="139" t="s">
        <v>282</v>
      </c>
      <c r="C332" s="146" t="s">
        <v>233</v>
      </c>
    </row>
    <row r="333">
      <c r="A333" s="138" t="s">
        <v>387</v>
      </c>
      <c r="B333" s="139" t="s">
        <v>282</v>
      </c>
      <c r="C333" s="140" t="s">
        <v>233</v>
      </c>
    </row>
    <row r="334">
      <c r="A334" s="138" t="s">
        <v>387</v>
      </c>
      <c r="B334" s="139" t="s">
        <v>283</v>
      </c>
      <c r="C334" s="140" t="s">
        <v>233</v>
      </c>
    </row>
    <row r="335">
      <c r="A335" s="138" t="s">
        <v>387</v>
      </c>
      <c r="B335" s="138" t="s">
        <v>283</v>
      </c>
      <c r="C335" s="146" t="s">
        <v>233</v>
      </c>
    </row>
    <row r="336">
      <c r="A336" s="138" t="s">
        <v>387</v>
      </c>
      <c r="B336" s="139" t="s">
        <v>283</v>
      </c>
      <c r="C336" s="140" t="s">
        <v>233</v>
      </c>
    </row>
    <row r="337">
      <c r="A337" s="138" t="s">
        <v>387</v>
      </c>
      <c r="B337" s="139" t="s">
        <v>283</v>
      </c>
      <c r="C337" s="140" t="s">
        <v>233</v>
      </c>
    </row>
    <row r="338">
      <c r="A338" s="138" t="s">
        <v>387</v>
      </c>
      <c r="B338" s="139" t="s">
        <v>283</v>
      </c>
      <c r="C338" s="140" t="s">
        <v>233</v>
      </c>
    </row>
    <row r="339">
      <c r="A339" s="138" t="s">
        <v>387</v>
      </c>
      <c r="B339" s="139" t="s">
        <v>283</v>
      </c>
      <c r="C339" s="140" t="s">
        <v>233</v>
      </c>
    </row>
    <row r="340">
      <c r="A340" s="138" t="s">
        <v>387</v>
      </c>
      <c r="B340" s="139" t="s">
        <v>283</v>
      </c>
      <c r="C340" s="140" t="s">
        <v>233</v>
      </c>
    </row>
    <row r="341">
      <c r="A341" s="138" t="s">
        <v>387</v>
      </c>
      <c r="B341" s="139" t="s">
        <v>283</v>
      </c>
      <c r="C341" s="140" t="s">
        <v>233</v>
      </c>
    </row>
    <row r="342">
      <c r="A342" s="138" t="s">
        <v>387</v>
      </c>
      <c r="B342" s="139" t="s">
        <v>284</v>
      </c>
      <c r="C342" s="140" t="s">
        <v>219</v>
      </c>
    </row>
    <row r="343">
      <c r="A343" s="138" t="s">
        <v>387</v>
      </c>
      <c r="B343" s="138" t="s">
        <v>284</v>
      </c>
      <c r="C343" s="146" t="s">
        <v>233</v>
      </c>
    </row>
    <row r="344">
      <c r="A344" s="138" t="s">
        <v>387</v>
      </c>
      <c r="B344" s="138" t="s">
        <v>284</v>
      </c>
      <c r="C344" s="146" t="s">
        <v>233</v>
      </c>
    </row>
    <row r="345">
      <c r="A345" s="138" t="s">
        <v>387</v>
      </c>
      <c r="B345" s="139" t="s">
        <v>284</v>
      </c>
      <c r="C345" s="140" t="s">
        <v>233</v>
      </c>
    </row>
    <row r="346">
      <c r="A346" s="138" t="s">
        <v>387</v>
      </c>
      <c r="B346" s="139" t="s">
        <v>284</v>
      </c>
      <c r="C346" s="140" t="s">
        <v>233</v>
      </c>
    </row>
    <row r="347">
      <c r="A347" s="138" t="s">
        <v>387</v>
      </c>
      <c r="B347" s="139" t="s">
        <v>284</v>
      </c>
      <c r="C347" s="140" t="s">
        <v>233</v>
      </c>
    </row>
    <row r="348">
      <c r="A348" s="138" t="s">
        <v>387</v>
      </c>
      <c r="B348" s="139" t="s">
        <v>284</v>
      </c>
      <c r="C348" s="140" t="s">
        <v>233</v>
      </c>
    </row>
    <row r="349">
      <c r="A349" s="138" t="s">
        <v>387</v>
      </c>
      <c r="B349" s="139" t="s">
        <v>285</v>
      </c>
      <c r="C349" s="140" t="s">
        <v>233</v>
      </c>
    </row>
    <row r="350">
      <c r="A350" s="138" t="s">
        <v>387</v>
      </c>
      <c r="B350" s="138" t="s">
        <v>285</v>
      </c>
      <c r="C350" s="146" t="s">
        <v>233</v>
      </c>
    </row>
    <row r="351">
      <c r="A351" s="138" t="s">
        <v>387</v>
      </c>
      <c r="B351" s="139" t="s">
        <v>285</v>
      </c>
      <c r="C351" s="146" t="s">
        <v>233</v>
      </c>
    </row>
    <row r="352">
      <c r="A352" s="138" t="s">
        <v>387</v>
      </c>
      <c r="B352" s="138" t="s">
        <v>285</v>
      </c>
      <c r="C352" s="146" t="s">
        <v>233</v>
      </c>
    </row>
    <row r="353">
      <c r="A353" s="138" t="s">
        <v>387</v>
      </c>
      <c r="B353" s="139" t="s">
        <v>285</v>
      </c>
      <c r="C353" s="140" t="s">
        <v>233</v>
      </c>
    </row>
    <row r="354">
      <c r="A354" s="138" t="s">
        <v>387</v>
      </c>
      <c r="B354" s="139" t="s">
        <v>285</v>
      </c>
      <c r="C354" s="140" t="s">
        <v>233</v>
      </c>
    </row>
    <row r="355">
      <c r="A355" s="138" t="s">
        <v>387</v>
      </c>
      <c r="B355" s="139" t="s">
        <v>285</v>
      </c>
      <c r="C355" s="140" t="s">
        <v>233</v>
      </c>
    </row>
    <row r="356">
      <c r="A356" s="138" t="s">
        <v>387</v>
      </c>
      <c r="B356" s="139" t="s">
        <v>285</v>
      </c>
      <c r="C356" s="140" t="s">
        <v>233</v>
      </c>
    </row>
    <row r="357">
      <c r="A357" s="138" t="s">
        <v>387</v>
      </c>
      <c r="B357" s="139" t="s">
        <v>285</v>
      </c>
      <c r="C357" s="140" t="s">
        <v>233</v>
      </c>
    </row>
    <row r="358">
      <c r="A358" s="138" t="s">
        <v>387</v>
      </c>
      <c r="B358" s="139" t="s">
        <v>285</v>
      </c>
      <c r="C358" s="140" t="s">
        <v>233</v>
      </c>
    </row>
    <row r="359">
      <c r="A359" s="138" t="s">
        <v>387</v>
      </c>
      <c r="B359" s="139" t="s">
        <v>287</v>
      </c>
      <c r="C359" s="140" t="s">
        <v>233</v>
      </c>
    </row>
    <row r="360">
      <c r="A360" s="138" t="s">
        <v>387</v>
      </c>
      <c r="B360" s="138" t="s">
        <v>287</v>
      </c>
      <c r="C360" s="146" t="s">
        <v>233</v>
      </c>
    </row>
    <row r="361">
      <c r="A361" s="138" t="s">
        <v>387</v>
      </c>
      <c r="B361" s="139" t="s">
        <v>287</v>
      </c>
      <c r="C361" s="146" t="s">
        <v>233</v>
      </c>
    </row>
    <row r="362">
      <c r="A362" s="138" t="s">
        <v>387</v>
      </c>
      <c r="B362" s="138" t="s">
        <v>287</v>
      </c>
      <c r="C362" s="146" t="s">
        <v>233</v>
      </c>
    </row>
    <row r="363">
      <c r="A363" s="138" t="s">
        <v>387</v>
      </c>
      <c r="B363" s="139" t="s">
        <v>287</v>
      </c>
      <c r="C363" s="140" t="s">
        <v>233</v>
      </c>
    </row>
    <row r="364">
      <c r="A364" s="138" t="s">
        <v>387</v>
      </c>
      <c r="B364" s="139" t="s">
        <v>287</v>
      </c>
      <c r="C364" s="140" t="s">
        <v>233</v>
      </c>
    </row>
    <row r="365">
      <c r="A365" s="138" t="s">
        <v>387</v>
      </c>
      <c r="B365" s="139" t="s">
        <v>287</v>
      </c>
      <c r="C365" s="140" t="s">
        <v>233</v>
      </c>
    </row>
    <row r="366">
      <c r="A366" s="138" t="s">
        <v>387</v>
      </c>
      <c r="B366" s="139" t="s">
        <v>287</v>
      </c>
      <c r="C366" s="140" t="s">
        <v>233</v>
      </c>
    </row>
    <row r="367">
      <c r="A367" s="138" t="s">
        <v>387</v>
      </c>
      <c r="B367" s="139" t="s">
        <v>287</v>
      </c>
      <c r="C367" s="140" t="s">
        <v>233</v>
      </c>
    </row>
    <row r="368">
      <c r="A368" s="138" t="s">
        <v>387</v>
      </c>
      <c r="B368" s="139" t="s">
        <v>287</v>
      </c>
      <c r="C368" s="140" t="s">
        <v>233</v>
      </c>
    </row>
    <row r="369">
      <c r="A369" s="138" t="s">
        <v>387</v>
      </c>
      <c r="B369" s="139" t="s">
        <v>287</v>
      </c>
      <c r="C369" s="140" t="s">
        <v>233</v>
      </c>
    </row>
    <row r="370">
      <c r="A370" s="138" t="s">
        <v>387</v>
      </c>
      <c r="B370" s="139" t="s">
        <v>287</v>
      </c>
      <c r="C370" s="140" t="s">
        <v>233</v>
      </c>
    </row>
    <row r="371">
      <c r="A371" s="138" t="s">
        <v>387</v>
      </c>
      <c r="B371" s="139" t="s">
        <v>288</v>
      </c>
      <c r="C371" s="140" t="s">
        <v>233</v>
      </c>
    </row>
    <row r="372">
      <c r="A372" s="138" t="s">
        <v>387</v>
      </c>
      <c r="B372" s="139" t="s">
        <v>288</v>
      </c>
      <c r="C372" s="140" t="s">
        <v>233</v>
      </c>
    </row>
    <row r="373">
      <c r="A373" s="138" t="s">
        <v>387</v>
      </c>
      <c r="B373" s="139" t="s">
        <v>288</v>
      </c>
      <c r="C373" s="146" t="s">
        <v>233</v>
      </c>
    </row>
    <row r="374">
      <c r="A374" s="138" t="s">
        <v>387</v>
      </c>
      <c r="B374" s="139" t="s">
        <v>288</v>
      </c>
      <c r="C374" s="146" t="s">
        <v>233</v>
      </c>
    </row>
    <row r="375">
      <c r="A375" s="138" t="s">
        <v>387</v>
      </c>
      <c r="B375" s="139" t="s">
        <v>288</v>
      </c>
      <c r="C375" s="146" t="s">
        <v>233</v>
      </c>
    </row>
    <row r="376">
      <c r="A376" s="138" t="s">
        <v>387</v>
      </c>
      <c r="B376" s="139" t="s">
        <v>288</v>
      </c>
      <c r="C376" s="146" t="s">
        <v>233</v>
      </c>
    </row>
    <row r="377">
      <c r="A377" s="138" t="s">
        <v>387</v>
      </c>
      <c r="B377" s="139" t="s">
        <v>288</v>
      </c>
      <c r="C377" s="140" t="s">
        <v>233</v>
      </c>
    </row>
    <row r="378">
      <c r="A378" s="138" t="s">
        <v>387</v>
      </c>
      <c r="B378" s="139" t="s">
        <v>288</v>
      </c>
      <c r="C378" s="140" t="s">
        <v>233</v>
      </c>
    </row>
    <row r="379">
      <c r="A379" s="138" t="s">
        <v>387</v>
      </c>
      <c r="B379" s="139" t="s">
        <v>288</v>
      </c>
      <c r="C379" s="140" t="s">
        <v>233</v>
      </c>
    </row>
    <row r="380">
      <c r="A380" s="138" t="s">
        <v>387</v>
      </c>
      <c r="B380" s="139" t="s">
        <v>288</v>
      </c>
      <c r="C380" s="140" t="s">
        <v>233</v>
      </c>
    </row>
    <row r="381">
      <c r="A381" s="138" t="s">
        <v>387</v>
      </c>
      <c r="B381" s="139" t="s">
        <v>288</v>
      </c>
      <c r="C381" s="140" t="s">
        <v>233</v>
      </c>
    </row>
    <row r="382">
      <c r="A382" s="138" t="s">
        <v>387</v>
      </c>
      <c r="B382" s="139" t="s">
        <v>288</v>
      </c>
      <c r="C382" s="140" t="s">
        <v>233</v>
      </c>
    </row>
    <row r="383">
      <c r="A383" s="138" t="s">
        <v>387</v>
      </c>
      <c r="B383" s="139" t="s">
        <v>288</v>
      </c>
      <c r="C383" s="140" t="s">
        <v>233</v>
      </c>
    </row>
    <row r="384">
      <c r="A384" s="138" t="s">
        <v>387</v>
      </c>
      <c r="B384" s="139" t="s">
        <v>288</v>
      </c>
      <c r="C384" s="140" t="s">
        <v>233</v>
      </c>
    </row>
    <row r="385">
      <c r="A385" s="138" t="s">
        <v>387</v>
      </c>
      <c r="B385" s="139" t="s">
        <v>289</v>
      </c>
      <c r="C385" s="140" t="s">
        <v>233</v>
      </c>
    </row>
    <row r="386">
      <c r="A386" s="138" t="s">
        <v>387</v>
      </c>
      <c r="B386" s="139" t="s">
        <v>289</v>
      </c>
      <c r="C386" s="140" t="s">
        <v>233</v>
      </c>
    </row>
    <row r="387">
      <c r="A387" s="138" t="s">
        <v>387</v>
      </c>
      <c r="B387" s="139" t="s">
        <v>289</v>
      </c>
      <c r="C387" s="140" t="s">
        <v>233</v>
      </c>
    </row>
    <row r="388">
      <c r="A388" s="138" t="s">
        <v>387</v>
      </c>
      <c r="B388" s="139" t="s">
        <v>289</v>
      </c>
      <c r="C388" s="140" t="s">
        <v>233</v>
      </c>
    </row>
    <row r="389">
      <c r="A389" s="138" t="s">
        <v>387</v>
      </c>
      <c r="B389" s="139" t="s">
        <v>289</v>
      </c>
      <c r="C389" s="140" t="s">
        <v>233</v>
      </c>
    </row>
    <row r="390">
      <c r="A390" s="138" t="s">
        <v>387</v>
      </c>
      <c r="B390" s="139" t="s">
        <v>289</v>
      </c>
      <c r="C390" s="140" t="s">
        <v>233</v>
      </c>
    </row>
    <row r="391">
      <c r="A391" s="138" t="s">
        <v>387</v>
      </c>
      <c r="B391" s="139" t="s">
        <v>289</v>
      </c>
      <c r="C391" s="140" t="s">
        <v>233</v>
      </c>
    </row>
    <row r="392">
      <c r="A392" s="138" t="s">
        <v>387</v>
      </c>
      <c r="B392" s="139" t="s">
        <v>289</v>
      </c>
      <c r="C392" s="146" t="s">
        <v>233</v>
      </c>
    </row>
    <row r="393">
      <c r="A393" s="138" t="s">
        <v>387</v>
      </c>
      <c r="B393" s="139" t="s">
        <v>289</v>
      </c>
      <c r="C393" s="146" t="s">
        <v>233</v>
      </c>
    </row>
    <row r="394">
      <c r="A394" s="138" t="s">
        <v>387</v>
      </c>
      <c r="B394" s="139" t="s">
        <v>289</v>
      </c>
      <c r="C394" s="140" t="s">
        <v>233</v>
      </c>
    </row>
    <row r="395">
      <c r="A395" s="138" t="s">
        <v>387</v>
      </c>
      <c r="B395" s="139" t="s">
        <v>289</v>
      </c>
      <c r="C395" s="140" t="s">
        <v>233</v>
      </c>
    </row>
    <row r="396">
      <c r="A396" s="138" t="s">
        <v>387</v>
      </c>
      <c r="B396" s="139" t="s">
        <v>289</v>
      </c>
      <c r="C396" s="140" t="s">
        <v>233</v>
      </c>
    </row>
    <row r="397">
      <c r="A397" s="138" t="s">
        <v>387</v>
      </c>
      <c r="B397" s="139" t="s">
        <v>289</v>
      </c>
      <c r="C397" s="140" t="s">
        <v>233</v>
      </c>
    </row>
    <row r="398">
      <c r="A398" s="138" t="s">
        <v>387</v>
      </c>
      <c r="B398" s="139" t="s">
        <v>291</v>
      </c>
      <c r="C398" s="140" t="s">
        <v>233</v>
      </c>
    </row>
    <row r="399">
      <c r="A399" s="138" t="s">
        <v>387</v>
      </c>
      <c r="B399" s="139" t="s">
        <v>291</v>
      </c>
      <c r="C399" s="140" t="s">
        <v>233</v>
      </c>
    </row>
    <row r="400">
      <c r="A400" s="138" t="s">
        <v>387</v>
      </c>
      <c r="B400" s="139" t="s">
        <v>291</v>
      </c>
      <c r="C400" s="146" t="s">
        <v>233</v>
      </c>
    </row>
    <row r="401">
      <c r="A401" s="138" t="s">
        <v>387</v>
      </c>
      <c r="B401" s="139" t="s">
        <v>291</v>
      </c>
      <c r="C401" s="146" t="s">
        <v>233</v>
      </c>
    </row>
    <row r="402">
      <c r="A402" s="138" t="s">
        <v>387</v>
      </c>
      <c r="B402" s="139" t="s">
        <v>291</v>
      </c>
      <c r="C402" s="140" t="s">
        <v>233</v>
      </c>
    </row>
    <row r="403">
      <c r="A403" s="138" t="s">
        <v>387</v>
      </c>
      <c r="B403" s="139" t="s">
        <v>291</v>
      </c>
      <c r="C403" s="140" t="s">
        <v>233</v>
      </c>
    </row>
    <row r="404">
      <c r="A404" s="138" t="s">
        <v>387</v>
      </c>
      <c r="B404" s="139" t="s">
        <v>291</v>
      </c>
      <c r="C404" s="140" t="s">
        <v>233</v>
      </c>
    </row>
    <row r="405">
      <c r="A405" s="138" t="s">
        <v>387</v>
      </c>
      <c r="B405" s="139" t="s">
        <v>291</v>
      </c>
      <c r="C405" s="140" t="s">
        <v>233</v>
      </c>
    </row>
    <row r="406">
      <c r="A406" s="138" t="s">
        <v>387</v>
      </c>
      <c r="B406" s="139" t="s">
        <v>291</v>
      </c>
      <c r="C406" s="140" t="s">
        <v>233</v>
      </c>
    </row>
    <row r="407">
      <c r="A407" s="138" t="s">
        <v>387</v>
      </c>
      <c r="B407" s="139" t="s">
        <v>291</v>
      </c>
      <c r="C407" s="140" t="s">
        <v>233</v>
      </c>
    </row>
    <row r="408">
      <c r="A408" s="138" t="s">
        <v>387</v>
      </c>
      <c r="B408" s="139" t="s">
        <v>291</v>
      </c>
      <c r="C408" s="140" t="s">
        <v>233</v>
      </c>
    </row>
    <row r="409">
      <c r="A409" s="138" t="s">
        <v>387</v>
      </c>
      <c r="B409" s="139" t="s">
        <v>291</v>
      </c>
      <c r="C409" s="140" t="s">
        <v>233</v>
      </c>
    </row>
    <row r="410">
      <c r="A410" s="138" t="s">
        <v>387</v>
      </c>
      <c r="B410" s="139" t="s">
        <v>291</v>
      </c>
      <c r="C410" s="140" t="s">
        <v>233</v>
      </c>
    </row>
    <row r="411">
      <c r="A411" s="138" t="s">
        <v>387</v>
      </c>
      <c r="B411" s="139" t="s">
        <v>291</v>
      </c>
      <c r="C411" s="140" t="s">
        <v>233</v>
      </c>
    </row>
    <row r="412">
      <c r="A412" s="138" t="s">
        <v>387</v>
      </c>
      <c r="B412" s="139" t="s">
        <v>291</v>
      </c>
      <c r="C412" s="140" t="s">
        <v>233</v>
      </c>
    </row>
    <row r="413">
      <c r="A413" s="138" t="s">
        <v>387</v>
      </c>
      <c r="B413" s="162" t="s">
        <v>292</v>
      </c>
      <c r="C413" s="146" t="s">
        <v>233</v>
      </c>
    </row>
    <row r="414">
      <c r="A414" s="138" t="s">
        <v>387</v>
      </c>
      <c r="B414" s="162" t="s">
        <v>292</v>
      </c>
      <c r="C414" s="146" t="s">
        <v>233</v>
      </c>
    </row>
    <row r="415">
      <c r="A415" s="138" t="s">
        <v>387</v>
      </c>
      <c r="B415" s="161" t="s">
        <v>292</v>
      </c>
      <c r="C415" s="140" t="s">
        <v>233</v>
      </c>
    </row>
    <row r="416">
      <c r="A416" s="138" t="s">
        <v>387</v>
      </c>
      <c r="B416" s="139" t="s">
        <v>293</v>
      </c>
      <c r="C416" s="140" t="s">
        <v>233</v>
      </c>
    </row>
    <row r="417">
      <c r="A417" s="138" t="s">
        <v>387</v>
      </c>
      <c r="B417" s="139" t="s">
        <v>293</v>
      </c>
      <c r="C417" s="140" t="s">
        <v>233</v>
      </c>
    </row>
    <row r="418">
      <c r="A418" s="138" t="s">
        <v>387</v>
      </c>
      <c r="B418" s="139" t="s">
        <v>293</v>
      </c>
      <c r="C418" s="146" t="s">
        <v>233</v>
      </c>
    </row>
    <row r="419">
      <c r="A419" s="138" t="s">
        <v>387</v>
      </c>
      <c r="B419" s="139" t="s">
        <v>293</v>
      </c>
      <c r="C419" s="146" t="s">
        <v>233</v>
      </c>
    </row>
    <row r="420">
      <c r="A420" s="138" t="s">
        <v>387</v>
      </c>
      <c r="B420" s="139" t="s">
        <v>293</v>
      </c>
      <c r="C420" s="146" t="s">
        <v>233</v>
      </c>
    </row>
    <row r="421">
      <c r="A421" s="138" t="s">
        <v>387</v>
      </c>
      <c r="B421" s="139" t="s">
        <v>293</v>
      </c>
      <c r="C421" s="140" t="s">
        <v>233</v>
      </c>
    </row>
    <row r="422">
      <c r="A422" s="138" t="s">
        <v>387</v>
      </c>
      <c r="B422" s="139" t="s">
        <v>293</v>
      </c>
      <c r="C422" s="140" t="s">
        <v>233</v>
      </c>
    </row>
    <row r="423">
      <c r="A423" s="138" t="s">
        <v>387</v>
      </c>
      <c r="B423" s="139" t="s">
        <v>293</v>
      </c>
      <c r="C423" s="140" t="s">
        <v>233</v>
      </c>
    </row>
    <row r="424">
      <c r="A424" s="138" t="s">
        <v>387</v>
      </c>
      <c r="B424" s="139" t="s">
        <v>293</v>
      </c>
      <c r="C424" s="140" t="s">
        <v>233</v>
      </c>
    </row>
    <row r="425">
      <c r="A425" s="138" t="s">
        <v>387</v>
      </c>
      <c r="B425" s="139" t="s">
        <v>293</v>
      </c>
      <c r="C425" s="140" t="s">
        <v>233</v>
      </c>
    </row>
    <row r="426">
      <c r="A426" s="138" t="s">
        <v>387</v>
      </c>
      <c r="B426" s="138" t="s">
        <v>294</v>
      </c>
      <c r="C426" s="140" t="s">
        <v>233</v>
      </c>
    </row>
    <row r="427">
      <c r="A427" s="138" t="s">
        <v>387</v>
      </c>
      <c r="B427" s="138" t="s">
        <v>294</v>
      </c>
      <c r="C427" s="146" t="s">
        <v>233</v>
      </c>
    </row>
    <row r="428">
      <c r="A428" s="138" t="s">
        <v>387</v>
      </c>
      <c r="B428" s="139" t="s">
        <v>294</v>
      </c>
      <c r="C428" s="146" t="s">
        <v>233</v>
      </c>
    </row>
    <row r="429">
      <c r="A429" s="138" t="s">
        <v>387</v>
      </c>
      <c r="B429" s="139" t="s">
        <v>295</v>
      </c>
      <c r="C429" s="140" t="s">
        <v>233</v>
      </c>
    </row>
    <row r="430">
      <c r="A430" s="138" t="s">
        <v>387</v>
      </c>
      <c r="B430" s="139" t="s">
        <v>295</v>
      </c>
      <c r="C430" s="140" t="s">
        <v>233</v>
      </c>
    </row>
    <row r="431">
      <c r="A431" s="138" t="s">
        <v>387</v>
      </c>
      <c r="B431" s="139" t="s">
        <v>295</v>
      </c>
      <c r="C431" s="140" t="s">
        <v>233</v>
      </c>
    </row>
    <row r="432">
      <c r="A432" s="138" t="s">
        <v>387</v>
      </c>
      <c r="B432" s="139" t="s">
        <v>295</v>
      </c>
      <c r="C432" s="140" t="s">
        <v>233</v>
      </c>
    </row>
    <row r="433">
      <c r="A433" s="138" t="s">
        <v>387</v>
      </c>
      <c r="B433" s="139" t="s">
        <v>295</v>
      </c>
      <c r="C433" s="140" t="s">
        <v>233</v>
      </c>
    </row>
    <row r="434">
      <c r="A434" s="138" t="s">
        <v>387</v>
      </c>
      <c r="B434" s="139" t="s">
        <v>295</v>
      </c>
      <c r="C434" s="140" t="s">
        <v>233</v>
      </c>
    </row>
    <row r="435">
      <c r="A435" s="138" t="s">
        <v>387</v>
      </c>
      <c r="B435" s="139" t="s">
        <v>295</v>
      </c>
      <c r="C435" s="140" t="s">
        <v>233</v>
      </c>
    </row>
    <row r="436">
      <c r="A436" s="138" t="s">
        <v>387</v>
      </c>
      <c r="B436" s="139" t="s">
        <v>295</v>
      </c>
      <c r="C436" s="140" t="s">
        <v>233</v>
      </c>
    </row>
    <row r="437">
      <c r="A437" s="138" t="s">
        <v>387</v>
      </c>
      <c r="B437" s="139" t="s">
        <v>295</v>
      </c>
      <c r="C437" s="140" t="s">
        <v>233</v>
      </c>
    </row>
    <row r="438">
      <c r="A438" s="138" t="s">
        <v>387</v>
      </c>
      <c r="B438" s="139" t="s">
        <v>295</v>
      </c>
      <c r="C438" s="140" t="s">
        <v>233</v>
      </c>
    </row>
    <row r="439">
      <c r="A439" s="138" t="s">
        <v>387</v>
      </c>
      <c r="B439" s="139" t="s">
        <v>296</v>
      </c>
      <c r="C439" s="140" t="s">
        <v>233</v>
      </c>
    </row>
    <row r="440">
      <c r="A440" s="138" t="s">
        <v>387</v>
      </c>
      <c r="B440" s="139" t="s">
        <v>296</v>
      </c>
      <c r="C440" s="140" t="s">
        <v>233</v>
      </c>
    </row>
    <row r="441">
      <c r="A441" s="138" t="s">
        <v>387</v>
      </c>
      <c r="B441" s="139" t="s">
        <v>296</v>
      </c>
      <c r="C441" s="146" t="s">
        <v>233</v>
      </c>
    </row>
    <row r="442">
      <c r="A442" s="138" t="s">
        <v>387</v>
      </c>
      <c r="B442" s="139" t="s">
        <v>296</v>
      </c>
      <c r="C442" s="146" t="s">
        <v>233</v>
      </c>
    </row>
    <row r="443">
      <c r="A443" s="138" t="s">
        <v>387</v>
      </c>
      <c r="B443" s="139" t="s">
        <v>296</v>
      </c>
      <c r="C443" s="140" t="s">
        <v>233</v>
      </c>
    </row>
    <row r="444">
      <c r="A444" s="138" t="s">
        <v>387</v>
      </c>
      <c r="B444" s="139" t="s">
        <v>296</v>
      </c>
      <c r="C444" s="140" t="s">
        <v>233</v>
      </c>
    </row>
    <row r="445">
      <c r="A445" s="138" t="s">
        <v>387</v>
      </c>
      <c r="B445" s="139" t="s">
        <v>296</v>
      </c>
      <c r="C445" s="140" t="s">
        <v>233</v>
      </c>
    </row>
    <row r="446">
      <c r="A446" s="138" t="s">
        <v>387</v>
      </c>
      <c r="B446" s="139" t="s">
        <v>296</v>
      </c>
      <c r="C446" s="140" t="s">
        <v>233</v>
      </c>
    </row>
    <row r="447">
      <c r="A447" s="138" t="s">
        <v>387</v>
      </c>
      <c r="B447" s="139" t="s">
        <v>296</v>
      </c>
      <c r="C447" s="140" t="s">
        <v>233</v>
      </c>
    </row>
    <row r="448">
      <c r="A448" s="138" t="s">
        <v>387</v>
      </c>
      <c r="B448" s="139" t="s">
        <v>296</v>
      </c>
      <c r="C448" s="140" t="s">
        <v>233</v>
      </c>
    </row>
    <row r="449">
      <c r="A449" s="138" t="s">
        <v>387</v>
      </c>
      <c r="B449" s="139" t="s">
        <v>296</v>
      </c>
      <c r="C449" s="140" t="s">
        <v>233</v>
      </c>
    </row>
    <row r="450">
      <c r="A450" s="138" t="s">
        <v>387</v>
      </c>
      <c r="B450" s="139" t="s">
        <v>296</v>
      </c>
      <c r="C450" s="140" t="s">
        <v>233</v>
      </c>
    </row>
    <row r="451">
      <c r="A451" s="138" t="s">
        <v>387</v>
      </c>
      <c r="B451" s="139" t="s">
        <v>296</v>
      </c>
      <c r="C451" s="140" t="s">
        <v>233</v>
      </c>
    </row>
    <row r="452">
      <c r="A452" s="138" t="s">
        <v>387</v>
      </c>
      <c r="B452" s="139" t="s">
        <v>297</v>
      </c>
      <c r="C452" s="140" t="s">
        <v>233</v>
      </c>
    </row>
    <row r="453">
      <c r="A453" s="138" t="s">
        <v>387</v>
      </c>
      <c r="B453" s="138" t="s">
        <v>297</v>
      </c>
      <c r="C453" s="146" t="s">
        <v>233</v>
      </c>
    </row>
    <row r="454">
      <c r="A454" s="138" t="s">
        <v>387</v>
      </c>
      <c r="B454" s="138" t="s">
        <v>297</v>
      </c>
      <c r="C454" s="146" t="s">
        <v>233</v>
      </c>
    </row>
    <row r="455">
      <c r="A455" s="138" t="s">
        <v>387</v>
      </c>
      <c r="B455" s="139" t="s">
        <v>297</v>
      </c>
      <c r="C455" s="140" t="s">
        <v>233</v>
      </c>
    </row>
    <row r="456">
      <c r="A456" s="138" t="s">
        <v>387</v>
      </c>
      <c r="B456" s="139" t="s">
        <v>297</v>
      </c>
      <c r="C456" s="140" t="s">
        <v>233</v>
      </c>
    </row>
    <row r="457">
      <c r="A457" s="138" t="s">
        <v>387</v>
      </c>
      <c r="B457" s="139" t="s">
        <v>297</v>
      </c>
      <c r="C457" s="140" t="s">
        <v>233</v>
      </c>
    </row>
    <row r="458">
      <c r="A458" s="138" t="s">
        <v>387</v>
      </c>
      <c r="B458" s="139" t="s">
        <v>298</v>
      </c>
      <c r="C458" s="140" t="s">
        <v>241</v>
      </c>
    </row>
    <row r="459">
      <c r="A459" s="138" t="s">
        <v>387</v>
      </c>
      <c r="B459" s="138" t="s">
        <v>298</v>
      </c>
      <c r="C459" s="140" t="s">
        <v>233</v>
      </c>
    </row>
    <row r="460">
      <c r="A460" s="138" t="s">
        <v>387</v>
      </c>
      <c r="B460" s="139" t="s">
        <v>298</v>
      </c>
      <c r="C460" s="146" t="s">
        <v>233</v>
      </c>
    </row>
    <row r="461">
      <c r="A461" s="138" t="s">
        <v>387</v>
      </c>
      <c r="B461" s="139" t="s">
        <v>299</v>
      </c>
      <c r="C461" s="140" t="s">
        <v>233</v>
      </c>
    </row>
    <row r="462">
      <c r="A462" s="138" t="s">
        <v>387</v>
      </c>
      <c r="B462" s="139" t="s">
        <v>299</v>
      </c>
      <c r="C462" s="140" t="s">
        <v>233</v>
      </c>
    </row>
    <row r="463">
      <c r="A463" s="138" t="s">
        <v>387</v>
      </c>
      <c r="B463" s="139" t="s">
        <v>299</v>
      </c>
      <c r="C463" s="140" t="s">
        <v>233</v>
      </c>
    </row>
    <row r="464">
      <c r="A464" s="138" t="s">
        <v>387</v>
      </c>
      <c r="B464" s="139" t="s">
        <v>299</v>
      </c>
      <c r="C464" s="146" t="s">
        <v>233</v>
      </c>
    </row>
    <row r="465">
      <c r="A465" s="138" t="s">
        <v>387</v>
      </c>
      <c r="B465" s="139" t="s">
        <v>299</v>
      </c>
      <c r="C465" s="146" t="s">
        <v>233</v>
      </c>
    </row>
    <row r="466">
      <c r="A466" s="138" t="s">
        <v>387</v>
      </c>
      <c r="B466" s="139" t="s">
        <v>299</v>
      </c>
      <c r="C466" s="146" t="s">
        <v>233</v>
      </c>
    </row>
    <row r="467">
      <c r="A467" s="138" t="s">
        <v>387</v>
      </c>
      <c r="B467" s="139" t="s">
        <v>300</v>
      </c>
      <c r="C467" s="140" t="s">
        <v>233</v>
      </c>
    </row>
    <row r="468">
      <c r="A468" s="138" t="s">
        <v>387</v>
      </c>
      <c r="B468" s="138" t="s">
        <v>300</v>
      </c>
      <c r="C468" s="146" t="s">
        <v>233</v>
      </c>
    </row>
    <row r="469">
      <c r="A469" s="138" t="s">
        <v>387</v>
      </c>
      <c r="B469" s="139" t="s">
        <v>300</v>
      </c>
      <c r="C469" s="146" t="s">
        <v>233</v>
      </c>
    </row>
    <row r="470">
      <c r="A470" s="138" t="s">
        <v>387</v>
      </c>
      <c r="B470" s="138" t="s">
        <v>300</v>
      </c>
      <c r="C470" s="140" t="s">
        <v>233</v>
      </c>
    </row>
    <row r="471">
      <c r="A471" s="138" t="s">
        <v>387</v>
      </c>
      <c r="B471" s="139" t="s">
        <v>300</v>
      </c>
      <c r="C471" s="140" t="s">
        <v>302</v>
      </c>
    </row>
    <row r="472">
      <c r="A472" s="138" t="s">
        <v>387</v>
      </c>
      <c r="B472" s="139" t="s">
        <v>300</v>
      </c>
      <c r="C472" s="140" t="s">
        <v>302</v>
      </c>
    </row>
    <row r="473">
      <c r="A473" s="138" t="s">
        <v>387</v>
      </c>
      <c r="B473" s="139" t="s">
        <v>303</v>
      </c>
      <c r="C473" s="140" t="s">
        <v>233</v>
      </c>
    </row>
    <row r="474">
      <c r="A474" s="138" t="s">
        <v>387</v>
      </c>
      <c r="B474" s="139" t="s">
        <v>303</v>
      </c>
      <c r="C474" s="140" t="s">
        <v>233</v>
      </c>
    </row>
    <row r="475">
      <c r="A475" s="138" t="s">
        <v>387</v>
      </c>
      <c r="B475" s="139" t="s">
        <v>303</v>
      </c>
      <c r="C475" s="146" t="s">
        <v>233</v>
      </c>
    </row>
    <row r="476">
      <c r="A476" s="138" t="s">
        <v>387</v>
      </c>
      <c r="B476" s="139" t="s">
        <v>303</v>
      </c>
      <c r="C476" s="146" t="s">
        <v>233</v>
      </c>
    </row>
    <row r="477">
      <c r="A477" s="138" t="s">
        <v>387</v>
      </c>
      <c r="B477" s="139" t="s">
        <v>303</v>
      </c>
      <c r="C477" s="140" t="s">
        <v>233</v>
      </c>
    </row>
    <row r="478">
      <c r="A478" s="138" t="s">
        <v>387</v>
      </c>
      <c r="B478" s="139" t="s">
        <v>303</v>
      </c>
      <c r="C478" s="140" t="s">
        <v>233</v>
      </c>
    </row>
    <row r="479">
      <c r="A479" s="138" t="s">
        <v>387</v>
      </c>
      <c r="B479" s="139" t="s">
        <v>303</v>
      </c>
      <c r="C479" s="140" t="s">
        <v>233</v>
      </c>
    </row>
    <row r="480">
      <c r="A480" s="138" t="s">
        <v>387</v>
      </c>
      <c r="B480" s="139" t="s">
        <v>304</v>
      </c>
      <c r="C480" s="140" t="s">
        <v>233</v>
      </c>
    </row>
    <row r="481">
      <c r="A481" s="138" t="s">
        <v>387</v>
      </c>
      <c r="B481" s="139" t="s">
        <v>304</v>
      </c>
      <c r="C481" s="140" t="s">
        <v>233</v>
      </c>
    </row>
    <row r="482">
      <c r="A482" s="138" t="s">
        <v>387</v>
      </c>
      <c r="B482" s="139" t="s">
        <v>304</v>
      </c>
      <c r="C482" s="146" t="s">
        <v>233</v>
      </c>
    </row>
    <row r="483">
      <c r="A483" s="138" t="s">
        <v>387</v>
      </c>
      <c r="B483" s="139" t="s">
        <v>304</v>
      </c>
      <c r="C483" s="146" t="s">
        <v>233</v>
      </c>
    </row>
    <row r="484">
      <c r="A484" s="138" t="s">
        <v>387</v>
      </c>
      <c r="B484" s="139" t="s">
        <v>304</v>
      </c>
      <c r="C484" s="146" t="s">
        <v>233</v>
      </c>
    </row>
    <row r="485">
      <c r="A485" s="138" t="s">
        <v>387</v>
      </c>
      <c r="B485" s="139" t="s">
        <v>304</v>
      </c>
      <c r="C485" s="140" t="s">
        <v>233</v>
      </c>
    </row>
    <row r="486">
      <c r="A486" s="138" t="s">
        <v>387</v>
      </c>
      <c r="B486" s="139" t="s">
        <v>304</v>
      </c>
      <c r="C486" s="140" t="s">
        <v>233</v>
      </c>
    </row>
    <row r="487">
      <c r="A487" s="138" t="s">
        <v>387</v>
      </c>
      <c r="B487" s="139" t="s">
        <v>304</v>
      </c>
      <c r="C487" s="140" t="s">
        <v>233</v>
      </c>
    </row>
    <row r="488">
      <c r="A488" s="138" t="s">
        <v>387</v>
      </c>
      <c r="B488" s="139" t="s">
        <v>304</v>
      </c>
      <c r="C488" s="140" t="s">
        <v>233</v>
      </c>
    </row>
    <row r="489">
      <c r="A489" s="138" t="s">
        <v>387</v>
      </c>
      <c r="B489" s="139" t="s">
        <v>304</v>
      </c>
      <c r="C489" s="140" t="s">
        <v>233</v>
      </c>
    </row>
    <row r="490">
      <c r="A490" s="138" t="s">
        <v>387</v>
      </c>
      <c r="B490" s="139" t="s">
        <v>305</v>
      </c>
      <c r="C490" s="140" t="s">
        <v>233</v>
      </c>
    </row>
    <row r="491">
      <c r="A491" s="138" t="s">
        <v>387</v>
      </c>
      <c r="B491" s="139" t="s">
        <v>305</v>
      </c>
      <c r="C491" s="146" t="s">
        <v>241</v>
      </c>
    </row>
    <row r="492">
      <c r="A492" s="138" t="s">
        <v>387</v>
      </c>
      <c r="B492" s="138" t="s">
        <v>305</v>
      </c>
      <c r="C492" s="146" t="s">
        <v>233</v>
      </c>
    </row>
    <row r="493">
      <c r="A493" s="138" t="s">
        <v>387</v>
      </c>
      <c r="B493" s="139" t="s">
        <v>305</v>
      </c>
      <c r="C493" s="146" t="s">
        <v>241</v>
      </c>
    </row>
    <row r="494">
      <c r="A494" s="138" t="s">
        <v>387</v>
      </c>
      <c r="B494" s="139" t="s">
        <v>305</v>
      </c>
      <c r="C494" s="146" t="s">
        <v>241</v>
      </c>
    </row>
    <row r="495">
      <c r="A495" s="138" t="s">
        <v>387</v>
      </c>
      <c r="B495" s="139" t="s">
        <v>305</v>
      </c>
      <c r="C495" s="140" t="s">
        <v>241</v>
      </c>
    </row>
    <row r="496">
      <c r="A496" s="138" t="s">
        <v>387</v>
      </c>
      <c r="B496" s="139" t="s">
        <v>305</v>
      </c>
      <c r="C496" s="140" t="s">
        <v>233</v>
      </c>
    </row>
    <row r="497">
      <c r="A497" s="138" t="s">
        <v>387</v>
      </c>
      <c r="B497" s="139" t="s">
        <v>305</v>
      </c>
      <c r="C497" s="140" t="s">
        <v>233</v>
      </c>
    </row>
    <row r="498">
      <c r="A498" s="138" t="s">
        <v>387</v>
      </c>
      <c r="B498" s="139" t="s">
        <v>305</v>
      </c>
      <c r="C498" s="140" t="s">
        <v>233</v>
      </c>
    </row>
    <row r="499">
      <c r="A499" s="138" t="s">
        <v>387</v>
      </c>
      <c r="B499" s="139" t="s">
        <v>305</v>
      </c>
      <c r="C499" s="140" t="s">
        <v>233</v>
      </c>
    </row>
    <row r="500">
      <c r="A500" s="138" t="s">
        <v>387</v>
      </c>
      <c r="B500" s="139" t="s">
        <v>306</v>
      </c>
      <c r="C500" s="140" t="s">
        <v>233</v>
      </c>
    </row>
    <row r="501">
      <c r="A501" s="138" t="s">
        <v>387</v>
      </c>
      <c r="B501" s="139" t="s">
        <v>306</v>
      </c>
      <c r="C501" s="146" t="s">
        <v>233</v>
      </c>
    </row>
    <row r="502">
      <c r="A502" s="138" t="s">
        <v>387</v>
      </c>
      <c r="B502" s="139" t="s">
        <v>306</v>
      </c>
      <c r="C502" s="146" t="s">
        <v>233</v>
      </c>
    </row>
    <row r="503">
      <c r="A503" s="138" t="s">
        <v>387</v>
      </c>
      <c r="B503" s="139" t="s">
        <v>306</v>
      </c>
      <c r="C503" s="146" t="s">
        <v>388</v>
      </c>
    </row>
    <row r="504">
      <c r="A504" s="138" t="s">
        <v>387</v>
      </c>
      <c r="B504" s="139" t="s">
        <v>306</v>
      </c>
      <c r="C504" s="146" t="s">
        <v>388</v>
      </c>
    </row>
    <row r="505">
      <c r="A505" s="138" t="s">
        <v>387</v>
      </c>
      <c r="B505" s="139" t="s">
        <v>306</v>
      </c>
      <c r="C505" s="146" t="s">
        <v>233</v>
      </c>
    </row>
    <row r="506">
      <c r="A506" s="138" t="s">
        <v>387</v>
      </c>
      <c r="B506" s="139" t="s">
        <v>308</v>
      </c>
      <c r="C506" s="140" t="s">
        <v>233</v>
      </c>
    </row>
    <row r="507">
      <c r="A507" s="138" t="s">
        <v>387</v>
      </c>
      <c r="B507" s="139" t="s">
        <v>308</v>
      </c>
      <c r="C507" s="146" t="s">
        <v>233</v>
      </c>
    </row>
    <row r="508">
      <c r="A508" s="138" t="s">
        <v>387</v>
      </c>
      <c r="B508" s="139" t="s">
        <v>308</v>
      </c>
      <c r="C508" s="146" t="s">
        <v>233</v>
      </c>
    </row>
    <row r="509">
      <c r="A509" s="138" t="s">
        <v>387</v>
      </c>
      <c r="B509" s="139" t="s">
        <v>308</v>
      </c>
      <c r="C509" s="140" t="s">
        <v>233</v>
      </c>
    </row>
    <row r="510">
      <c r="A510" s="138" t="s">
        <v>387</v>
      </c>
      <c r="B510" s="139" t="s">
        <v>309</v>
      </c>
      <c r="C510" s="140" t="s">
        <v>233</v>
      </c>
    </row>
    <row r="511">
      <c r="A511" s="138" t="s">
        <v>387</v>
      </c>
      <c r="B511" s="139" t="s">
        <v>309</v>
      </c>
      <c r="C511" s="146" t="s">
        <v>233</v>
      </c>
    </row>
    <row r="512">
      <c r="A512" s="138" t="s">
        <v>387</v>
      </c>
      <c r="B512" s="139" t="s">
        <v>309</v>
      </c>
      <c r="C512" s="146" t="s">
        <v>233</v>
      </c>
    </row>
    <row r="513">
      <c r="A513" s="138" t="s">
        <v>387</v>
      </c>
      <c r="B513" s="139" t="s">
        <v>309</v>
      </c>
      <c r="C513" s="146" t="s">
        <v>233</v>
      </c>
    </row>
    <row r="514">
      <c r="A514" s="138" t="s">
        <v>387</v>
      </c>
      <c r="B514" s="139" t="s">
        <v>309</v>
      </c>
      <c r="C514" s="140" t="s">
        <v>233</v>
      </c>
    </row>
    <row r="515">
      <c r="A515" s="138" t="s">
        <v>387</v>
      </c>
      <c r="B515" s="139" t="s">
        <v>309</v>
      </c>
      <c r="C515" s="140" t="s">
        <v>233</v>
      </c>
    </row>
    <row r="516">
      <c r="A516" s="138" t="s">
        <v>387</v>
      </c>
      <c r="B516" s="139" t="s">
        <v>309</v>
      </c>
      <c r="C516" s="140" t="s">
        <v>233</v>
      </c>
    </row>
    <row r="517">
      <c r="A517" s="138" t="s">
        <v>387</v>
      </c>
      <c r="B517" s="139" t="s">
        <v>309</v>
      </c>
      <c r="C517" s="140" t="s">
        <v>233</v>
      </c>
    </row>
    <row r="518">
      <c r="A518" s="138" t="s">
        <v>387</v>
      </c>
      <c r="B518" s="139" t="s">
        <v>309</v>
      </c>
      <c r="C518" s="140" t="s">
        <v>233</v>
      </c>
    </row>
    <row r="519">
      <c r="A519" s="138" t="s">
        <v>387</v>
      </c>
      <c r="B519" s="139" t="s">
        <v>309</v>
      </c>
      <c r="C519" s="140" t="s">
        <v>233</v>
      </c>
    </row>
    <row r="520">
      <c r="A520" s="138" t="s">
        <v>387</v>
      </c>
      <c r="B520" s="139" t="s">
        <v>310</v>
      </c>
      <c r="C520" s="140" t="s">
        <v>233</v>
      </c>
    </row>
    <row r="521">
      <c r="A521" s="138" t="s">
        <v>387</v>
      </c>
      <c r="B521" s="139" t="s">
        <v>310</v>
      </c>
      <c r="C521" s="146" t="s">
        <v>233</v>
      </c>
    </row>
    <row r="522">
      <c r="A522" s="138" t="s">
        <v>387</v>
      </c>
      <c r="B522" s="139" t="s">
        <v>310</v>
      </c>
      <c r="C522" s="140" t="s">
        <v>233</v>
      </c>
    </row>
    <row r="523">
      <c r="A523" s="138" t="s">
        <v>387</v>
      </c>
      <c r="B523" s="139" t="s">
        <v>310</v>
      </c>
      <c r="C523" s="140" t="s">
        <v>233</v>
      </c>
    </row>
    <row r="524">
      <c r="A524" s="138" t="s">
        <v>387</v>
      </c>
      <c r="B524" s="139" t="s">
        <v>310</v>
      </c>
      <c r="C524" s="140" t="s">
        <v>233</v>
      </c>
    </row>
    <row r="525">
      <c r="A525" s="138" t="s">
        <v>387</v>
      </c>
      <c r="B525" s="139" t="s">
        <v>310</v>
      </c>
      <c r="C525" s="140" t="s">
        <v>233</v>
      </c>
    </row>
    <row r="526">
      <c r="A526" s="138" t="s">
        <v>387</v>
      </c>
      <c r="B526" s="139" t="s">
        <v>310</v>
      </c>
      <c r="C526" s="140" t="s">
        <v>233</v>
      </c>
    </row>
    <row r="527">
      <c r="A527" s="138" t="s">
        <v>387</v>
      </c>
      <c r="B527" s="139" t="s">
        <v>311</v>
      </c>
      <c r="C527" s="140" t="s">
        <v>233</v>
      </c>
    </row>
    <row r="528">
      <c r="A528" s="138" t="s">
        <v>387</v>
      </c>
      <c r="B528" s="139" t="s">
        <v>311</v>
      </c>
      <c r="C528" s="146" t="s">
        <v>233</v>
      </c>
    </row>
    <row r="529">
      <c r="A529" s="138" t="s">
        <v>387</v>
      </c>
      <c r="B529" s="139" t="s">
        <v>311</v>
      </c>
      <c r="C529" s="146" t="s">
        <v>233</v>
      </c>
    </row>
    <row r="530">
      <c r="A530" s="138" t="s">
        <v>387</v>
      </c>
      <c r="B530" s="139" t="s">
        <v>311</v>
      </c>
      <c r="C530" s="146" t="s">
        <v>233</v>
      </c>
    </row>
    <row r="531">
      <c r="A531" s="138" t="s">
        <v>387</v>
      </c>
      <c r="B531" s="139" t="s">
        <v>311</v>
      </c>
      <c r="C531" s="146" t="s">
        <v>233</v>
      </c>
    </row>
    <row r="532">
      <c r="A532" s="138" t="s">
        <v>387</v>
      </c>
      <c r="B532" s="139" t="s">
        <v>311</v>
      </c>
      <c r="C532" s="140" t="s">
        <v>233</v>
      </c>
    </row>
    <row r="533">
      <c r="A533" s="138" t="s">
        <v>387</v>
      </c>
      <c r="B533" s="139" t="s">
        <v>311</v>
      </c>
      <c r="C533" s="140" t="s">
        <v>233</v>
      </c>
    </row>
    <row r="534">
      <c r="A534" s="138" t="s">
        <v>387</v>
      </c>
      <c r="B534" s="139" t="s">
        <v>311</v>
      </c>
      <c r="C534" s="140" t="s">
        <v>233</v>
      </c>
    </row>
    <row r="535">
      <c r="A535" s="138" t="s">
        <v>387</v>
      </c>
      <c r="B535" s="139" t="s">
        <v>311</v>
      </c>
      <c r="C535" s="140" t="s">
        <v>233</v>
      </c>
    </row>
    <row r="536">
      <c r="A536" s="138" t="s">
        <v>387</v>
      </c>
      <c r="B536" s="139" t="s">
        <v>311</v>
      </c>
      <c r="C536" s="140" t="s">
        <v>233</v>
      </c>
    </row>
    <row r="537">
      <c r="A537" s="138" t="s">
        <v>387</v>
      </c>
      <c r="B537" s="138" t="s">
        <v>313</v>
      </c>
      <c r="C537" s="140" t="s">
        <v>233</v>
      </c>
    </row>
    <row r="538">
      <c r="A538" s="138" t="s">
        <v>387</v>
      </c>
      <c r="B538" s="139" t="s">
        <v>313</v>
      </c>
      <c r="C538" s="146" t="s">
        <v>233</v>
      </c>
    </row>
    <row r="539">
      <c r="A539" s="138" t="s">
        <v>387</v>
      </c>
      <c r="B539" s="139" t="s">
        <v>314</v>
      </c>
      <c r="C539" s="140" t="s">
        <v>233</v>
      </c>
    </row>
    <row r="540">
      <c r="A540" s="138" t="s">
        <v>387</v>
      </c>
      <c r="B540" s="139" t="s">
        <v>314</v>
      </c>
      <c r="C540" s="140" t="s">
        <v>233</v>
      </c>
    </row>
    <row r="541">
      <c r="A541" s="138" t="s">
        <v>387</v>
      </c>
      <c r="B541" s="139" t="s">
        <v>314</v>
      </c>
      <c r="C541" s="140" t="s">
        <v>233</v>
      </c>
    </row>
    <row r="542">
      <c r="A542" s="138" t="s">
        <v>387</v>
      </c>
      <c r="B542" s="139" t="s">
        <v>314</v>
      </c>
      <c r="C542" s="140" t="s">
        <v>233</v>
      </c>
    </row>
    <row r="543">
      <c r="A543" s="138" t="s">
        <v>387</v>
      </c>
      <c r="B543" s="139" t="s">
        <v>314</v>
      </c>
      <c r="C543" s="146" t="s">
        <v>233</v>
      </c>
    </row>
    <row r="544">
      <c r="A544" s="138" t="s">
        <v>387</v>
      </c>
      <c r="B544" s="139" t="s">
        <v>314</v>
      </c>
      <c r="C544" s="146" t="s">
        <v>233</v>
      </c>
    </row>
    <row r="545">
      <c r="A545" s="138" t="s">
        <v>387</v>
      </c>
      <c r="B545" s="139" t="s">
        <v>314</v>
      </c>
      <c r="C545" s="146" t="s">
        <v>233</v>
      </c>
    </row>
    <row r="546">
      <c r="A546" s="138" t="s">
        <v>387</v>
      </c>
      <c r="B546" s="139" t="s">
        <v>314</v>
      </c>
      <c r="C546" s="140" t="s">
        <v>233</v>
      </c>
    </row>
    <row r="547">
      <c r="A547" s="138" t="s">
        <v>387</v>
      </c>
      <c r="B547" s="139" t="s">
        <v>314</v>
      </c>
      <c r="C547" s="140" t="s">
        <v>233</v>
      </c>
    </row>
    <row r="548">
      <c r="A548" s="138" t="s">
        <v>387</v>
      </c>
      <c r="B548" s="139" t="s">
        <v>314</v>
      </c>
      <c r="C548" s="140" t="s">
        <v>233</v>
      </c>
    </row>
    <row r="549">
      <c r="A549" s="138" t="s">
        <v>387</v>
      </c>
      <c r="B549" s="139" t="s">
        <v>314</v>
      </c>
      <c r="C549" s="140" t="s">
        <v>233</v>
      </c>
    </row>
    <row r="550">
      <c r="A550" s="138" t="s">
        <v>387</v>
      </c>
      <c r="B550" s="139" t="s">
        <v>314</v>
      </c>
      <c r="C550" s="140" t="s">
        <v>233</v>
      </c>
    </row>
    <row r="551">
      <c r="A551" s="138" t="s">
        <v>387</v>
      </c>
      <c r="B551" s="139" t="s">
        <v>315</v>
      </c>
      <c r="C551" s="140" t="s">
        <v>233</v>
      </c>
    </row>
    <row r="552">
      <c r="A552" s="138" t="s">
        <v>387</v>
      </c>
      <c r="B552" s="139" t="s">
        <v>315</v>
      </c>
      <c r="C552" s="140" t="s">
        <v>233</v>
      </c>
    </row>
    <row r="553">
      <c r="A553" s="138" t="s">
        <v>387</v>
      </c>
      <c r="B553" s="139" t="s">
        <v>315</v>
      </c>
      <c r="C553" s="146" t="s">
        <v>233</v>
      </c>
    </row>
    <row r="554">
      <c r="A554" s="138" t="s">
        <v>387</v>
      </c>
      <c r="B554" s="139" t="s">
        <v>315</v>
      </c>
      <c r="C554" s="146" t="s">
        <v>233</v>
      </c>
    </row>
    <row r="555">
      <c r="A555" s="138" t="s">
        <v>387</v>
      </c>
      <c r="B555" s="139" t="s">
        <v>315</v>
      </c>
      <c r="C555" s="146" t="s">
        <v>233</v>
      </c>
    </row>
    <row r="556">
      <c r="A556" s="138" t="s">
        <v>387</v>
      </c>
      <c r="B556" s="139" t="s">
        <v>315</v>
      </c>
      <c r="C556" s="140" t="s">
        <v>302</v>
      </c>
    </row>
    <row r="557">
      <c r="A557" s="138" t="s">
        <v>387</v>
      </c>
      <c r="B557" s="139" t="s">
        <v>315</v>
      </c>
      <c r="C557" s="140" t="s">
        <v>233</v>
      </c>
    </row>
    <row r="558">
      <c r="A558" s="138" t="s">
        <v>387</v>
      </c>
      <c r="B558" s="139" t="s">
        <v>315</v>
      </c>
      <c r="C558" s="140" t="s">
        <v>233</v>
      </c>
    </row>
    <row r="559">
      <c r="A559" s="138" t="s">
        <v>387</v>
      </c>
      <c r="B559" s="139" t="s">
        <v>318</v>
      </c>
      <c r="C559" s="140" t="s">
        <v>233</v>
      </c>
    </row>
    <row r="560">
      <c r="A560" s="138" t="s">
        <v>387</v>
      </c>
      <c r="B560" s="139" t="s">
        <v>318</v>
      </c>
      <c r="C560" s="140" t="s">
        <v>233</v>
      </c>
    </row>
    <row r="561">
      <c r="A561" s="138" t="s">
        <v>387</v>
      </c>
      <c r="B561" s="165" t="s">
        <v>318</v>
      </c>
      <c r="C561" s="146" t="s">
        <v>233</v>
      </c>
    </row>
    <row r="562">
      <c r="A562" s="138" t="s">
        <v>387</v>
      </c>
      <c r="B562" s="165" t="s">
        <v>318</v>
      </c>
      <c r="C562" s="146" t="s">
        <v>222</v>
      </c>
    </row>
    <row r="563">
      <c r="A563" s="138" t="s">
        <v>387</v>
      </c>
      <c r="B563" s="165" t="s">
        <v>318</v>
      </c>
      <c r="C563" s="140" t="s">
        <v>233</v>
      </c>
    </row>
    <row r="564">
      <c r="A564" s="138" t="s">
        <v>387</v>
      </c>
      <c r="B564" s="165" t="s">
        <v>318</v>
      </c>
      <c r="C564" s="140" t="s">
        <v>222</v>
      </c>
    </row>
    <row r="565">
      <c r="A565" s="138" t="s">
        <v>387</v>
      </c>
      <c r="B565" s="165" t="s">
        <v>318</v>
      </c>
      <c r="C565" s="140" t="s">
        <v>233</v>
      </c>
    </row>
    <row r="566">
      <c r="A566" s="138" t="s">
        <v>387</v>
      </c>
      <c r="B566" s="166" t="s">
        <v>318</v>
      </c>
      <c r="C566" s="140" t="s">
        <v>233</v>
      </c>
    </row>
    <row r="567">
      <c r="A567" s="138" t="s">
        <v>387</v>
      </c>
      <c r="B567" s="166" t="s">
        <v>318</v>
      </c>
      <c r="C567" s="140" t="s">
        <v>219</v>
      </c>
    </row>
    <row r="568">
      <c r="A568" s="138" t="s">
        <v>387</v>
      </c>
      <c r="B568" s="139" t="s">
        <v>320</v>
      </c>
      <c r="C568" s="140" t="s">
        <v>233</v>
      </c>
    </row>
    <row r="569">
      <c r="A569" s="138" t="s">
        <v>387</v>
      </c>
      <c r="B569" s="139" t="s">
        <v>320</v>
      </c>
      <c r="C569" s="140" t="s">
        <v>233</v>
      </c>
    </row>
    <row r="570">
      <c r="A570" s="138" t="s">
        <v>387</v>
      </c>
      <c r="B570" s="139" t="s">
        <v>320</v>
      </c>
      <c r="C570" s="140" t="s">
        <v>233</v>
      </c>
    </row>
    <row r="571">
      <c r="A571" s="138" t="s">
        <v>387</v>
      </c>
      <c r="B571" s="139" t="s">
        <v>320</v>
      </c>
      <c r="C571" s="140" t="s">
        <v>302</v>
      </c>
    </row>
    <row r="572">
      <c r="A572" s="138" t="s">
        <v>387</v>
      </c>
      <c r="B572" s="139" t="s">
        <v>320</v>
      </c>
      <c r="C572" s="146" t="s">
        <v>233</v>
      </c>
    </row>
    <row r="573">
      <c r="A573" s="138" t="s">
        <v>387</v>
      </c>
      <c r="B573" s="139" t="s">
        <v>320</v>
      </c>
      <c r="C573" s="146" t="s">
        <v>233</v>
      </c>
    </row>
    <row r="574">
      <c r="A574" s="138" t="s">
        <v>387</v>
      </c>
      <c r="B574" s="139" t="s">
        <v>320</v>
      </c>
      <c r="C574" s="146" t="s">
        <v>219</v>
      </c>
    </row>
    <row r="575">
      <c r="A575" s="138" t="s">
        <v>387</v>
      </c>
      <c r="B575" s="139" t="s">
        <v>320</v>
      </c>
      <c r="C575" s="140" t="s">
        <v>233</v>
      </c>
    </row>
    <row r="576">
      <c r="A576" s="138" t="s">
        <v>387</v>
      </c>
      <c r="B576" s="139" t="s">
        <v>320</v>
      </c>
      <c r="C576" s="140" t="s">
        <v>233</v>
      </c>
    </row>
    <row r="577">
      <c r="A577" s="138" t="s">
        <v>387</v>
      </c>
      <c r="B577" s="139" t="s">
        <v>320</v>
      </c>
      <c r="C577" s="140" t="s">
        <v>233</v>
      </c>
    </row>
    <row r="578">
      <c r="A578" s="138" t="s">
        <v>387</v>
      </c>
      <c r="B578" s="139" t="s">
        <v>320</v>
      </c>
      <c r="C578" s="140" t="s">
        <v>233</v>
      </c>
    </row>
    <row r="579">
      <c r="A579" s="138" t="s">
        <v>387</v>
      </c>
      <c r="B579" s="139" t="s">
        <v>320</v>
      </c>
      <c r="C579" s="140" t="s">
        <v>233</v>
      </c>
    </row>
    <row r="580">
      <c r="A580" s="167" t="s">
        <v>386</v>
      </c>
      <c r="B580" s="168" t="s">
        <v>323</v>
      </c>
      <c r="C580" s="169" t="s">
        <v>222</v>
      </c>
    </row>
    <row r="581">
      <c r="A581" s="167" t="s">
        <v>386</v>
      </c>
      <c r="B581" s="168" t="s">
        <v>323</v>
      </c>
      <c r="C581" s="169" t="s">
        <v>222</v>
      </c>
    </row>
    <row r="582">
      <c r="A582" s="167" t="s">
        <v>386</v>
      </c>
      <c r="B582" s="168" t="s">
        <v>323</v>
      </c>
      <c r="C582" s="169" t="s">
        <v>222</v>
      </c>
    </row>
    <row r="583">
      <c r="A583" s="167" t="s">
        <v>386</v>
      </c>
      <c r="B583" s="168" t="s">
        <v>323</v>
      </c>
      <c r="C583" s="169" t="s">
        <v>224</v>
      </c>
    </row>
    <row r="584">
      <c r="A584" s="167" t="s">
        <v>386</v>
      </c>
      <c r="B584" s="168" t="s">
        <v>323</v>
      </c>
      <c r="C584" s="169" t="s">
        <v>244</v>
      </c>
    </row>
    <row r="585">
      <c r="A585" s="167" t="s">
        <v>386</v>
      </c>
      <c r="B585" s="168" t="s">
        <v>323</v>
      </c>
      <c r="C585" s="170" t="s">
        <v>222</v>
      </c>
    </row>
    <row r="586">
      <c r="A586" s="167" t="s">
        <v>386</v>
      </c>
      <c r="B586" s="168" t="s">
        <v>323</v>
      </c>
      <c r="C586" s="170" t="s">
        <v>222</v>
      </c>
    </row>
    <row r="587">
      <c r="A587" s="167" t="s">
        <v>386</v>
      </c>
      <c r="B587" s="168" t="s">
        <v>323</v>
      </c>
      <c r="C587" s="170" t="s">
        <v>222</v>
      </c>
    </row>
    <row r="588">
      <c r="A588" s="167" t="s">
        <v>386</v>
      </c>
      <c r="B588" s="168" t="s">
        <v>323</v>
      </c>
      <c r="C588" s="170" t="s">
        <v>222</v>
      </c>
    </row>
    <row r="589">
      <c r="A589" s="167" t="s">
        <v>386</v>
      </c>
      <c r="B589" s="168" t="s">
        <v>323</v>
      </c>
      <c r="C589" s="170" t="s">
        <v>244</v>
      </c>
    </row>
    <row r="590">
      <c r="A590" s="167" t="s">
        <v>386</v>
      </c>
      <c r="B590" s="168" t="s">
        <v>324</v>
      </c>
      <c r="C590" s="169" t="s">
        <v>231</v>
      </c>
    </row>
    <row r="591">
      <c r="A591" s="167" t="s">
        <v>386</v>
      </c>
      <c r="B591" s="168" t="s">
        <v>324</v>
      </c>
      <c r="C591" s="169" t="s">
        <v>231</v>
      </c>
    </row>
    <row r="592">
      <c r="A592" s="167" t="s">
        <v>386</v>
      </c>
      <c r="B592" s="168" t="s">
        <v>324</v>
      </c>
      <c r="C592" s="169" t="s">
        <v>220</v>
      </c>
    </row>
    <row r="593">
      <c r="A593" s="167" t="s">
        <v>386</v>
      </c>
      <c r="B593" s="168" t="s">
        <v>324</v>
      </c>
      <c r="C593" s="169" t="s">
        <v>222</v>
      </c>
    </row>
    <row r="594">
      <c r="A594" s="167" t="s">
        <v>386</v>
      </c>
      <c r="B594" s="168" t="s">
        <v>324</v>
      </c>
      <c r="C594" s="170" t="s">
        <v>222</v>
      </c>
    </row>
    <row r="595">
      <c r="A595" s="167" t="s">
        <v>386</v>
      </c>
      <c r="B595" s="168" t="s">
        <v>324</v>
      </c>
      <c r="C595" s="170" t="s">
        <v>222</v>
      </c>
    </row>
    <row r="596">
      <c r="A596" s="167" t="s">
        <v>386</v>
      </c>
      <c r="B596" s="168" t="s">
        <v>324</v>
      </c>
      <c r="C596" s="170" t="s">
        <v>220</v>
      </c>
    </row>
    <row r="597">
      <c r="A597" s="167" t="s">
        <v>386</v>
      </c>
      <c r="B597" s="168" t="s">
        <v>324</v>
      </c>
      <c r="C597" s="170" t="s">
        <v>222</v>
      </c>
    </row>
    <row r="598">
      <c r="A598" s="167" t="s">
        <v>386</v>
      </c>
      <c r="B598" s="168" t="s">
        <v>325</v>
      </c>
      <c r="C598" s="170" t="s">
        <v>222</v>
      </c>
    </row>
    <row r="599">
      <c r="A599" s="167" t="s">
        <v>386</v>
      </c>
      <c r="B599" s="168" t="s">
        <v>325</v>
      </c>
      <c r="C599" s="170" t="s">
        <v>222</v>
      </c>
    </row>
    <row r="600">
      <c r="A600" s="167" t="s">
        <v>386</v>
      </c>
      <c r="B600" s="168" t="s">
        <v>325</v>
      </c>
      <c r="C600" s="169" t="s">
        <v>231</v>
      </c>
    </row>
    <row r="601">
      <c r="A601" s="167" t="s">
        <v>386</v>
      </c>
      <c r="B601" s="168" t="s">
        <v>325</v>
      </c>
      <c r="C601" s="169" t="s">
        <v>222</v>
      </c>
    </row>
    <row r="602">
      <c r="A602" s="167" t="s">
        <v>386</v>
      </c>
      <c r="B602" s="168" t="s">
        <v>325</v>
      </c>
      <c r="C602" s="169" t="s">
        <v>222</v>
      </c>
    </row>
    <row r="603">
      <c r="A603" s="167" t="s">
        <v>386</v>
      </c>
      <c r="B603" s="168" t="s">
        <v>325</v>
      </c>
      <c r="C603" s="169" t="s">
        <v>220</v>
      </c>
    </row>
    <row r="604">
      <c r="A604" s="167" t="s">
        <v>386</v>
      </c>
      <c r="B604" s="168" t="s">
        <v>325</v>
      </c>
      <c r="C604" s="170" t="s">
        <v>222</v>
      </c>
    </row>
    <row r="605">
      <c r="A605" s="167" t="s">
        <v>386</v>
      </c>
      <c r="B605" s="168" t="s">
        <v>325</v>
      </c>
      <c r="C605" s="170" t="s">
        <v>222</v>
      </c>
    </row>
    <row r="606">
      <c r="A606" s="167" t="s">
        <v>386</v>
      </c>
      <c r="B606" s="168" t="s">
        <v>325</v>
      </c>
      <c r="C606" s="170" t="s">
        <v>222</v>
      </c>
    </row>
    <row r="607">
      <c r="A607" s="167" t="s">
        <v>386</v>
      </c>
      <c r="B607" s="168" t="s">
        <v>325</v>
      </c>
      <c r="C607" s="170" t="s">
        <v>222</v>
      </c>
    </row>
    <row r="608">
      <c r="A608" s="167" t="s">
        <v>386</v>
      </c>
      <c r="B608" s="168" t="s">
        <v>325</v>
      </c>
      <c r="C608" s="170" t="s">
        <v>222</v>
      </c>
    </row>
    <row r="609">
      <c r="A609" s="167" t="s">
        <v>386</v>
      </c>
      <c r="B609" s="168" t="s">
        <v>325</v>
      </c>
      <c r="C609" s="170" t="s">
        <v>222</v>
      </c>
    </row>
    <row r="610">
      <c r="A610" s="167" t="s">
        <v>386</v>
      </c>
      <c r="B610" s="168" t="s">
        <v>325</v>
      </c>
      <c r="C610" s="170" t="s">
        <v>222</v>
      </c>
    </row>
    <row r="611">
      <c r="A611" s="167" t="s">
        <v>386</v>
      </c>
      <c r="B611" s="168" t="s">
        <v>326</v>
      </c>
      <c r="C611" s="170" t="s">
        <v>233</v>
      </c>
    </row>
    <row r="612">
      <c r="A612" s="167" t="s">
        <v>386</v>
      </c>
      <c r="B612" s="168" t="s">
        <v>326</v>
      </c>
      <c r="C612" s="169" t="s">
        <v>220</v>
      </c>
    </row>
    <row r="613">
      <c r="A613" s="167" t="s">
        <v>386</v>
      </c>
      <c r="B613" s="168" t="s">
        <v>326</v>
      </c>
      <c r="C613" s="169" t="s">
        <v>220</v>
      </c>
    </row>
    <row r="614">
      <c r="A614" s="167" t="s">
        <v>386</v>
      </c>
      <c r="B614" s="168" t="s">
        <v>326</v>
      </c>
      <c r="C614" s="169" t="s">
        <v>273</v>
      </c>
    </row>
    <row r="615">
      <c r="A615" s="167" t="s">
        <v>386</v>
      </c>
      <c r="B615" s="168" t="s">
        <v>326</v>
      </c>
      <c r="C615" s="169" t="s">
        <v>222</v>
      </c>
    </row>
    <row r="616">
      <c r="A616" s="167" t="s">
        <v>386</v>
      </c>
      <c r="B616" s="168" t="s">
        <v>326</v>
      </c>
      <c r="C616" s="169" t="s">
        <v>224</v>
      </c>
    </row>
    <row r="617">
      <c r="A617" s="167" t="s">
        <v>386</v>
      </c>
      <c r="B617" s="168" t="s">
        <v>326</v>
      </c>
      <c r="C617" s="170" t="s">
        <v>233</v>
      </c>
    </row>
    <row r="618">
      <c r="A618" s="167" t="s">
        <v>386</v>
      </c>
      <c r="B618" s="168" t="s">
        <v>326</v>
      </c>
      <c r="C618" s="170" t="s">
        <v>222</v>
      </c>
    </row>
    <row r="619">
      <c r="A619" s="167" t="s">
        <v>386</v>
      </c>
      <c r="B619" s="168" t="s">
        <v>326</v>
      </c>
      <c r="C619" s="170" t="s">
        <v>222</v>
      </c>
    </row>
    <row r="620">
      <c r="A620" s="167" t="s">
        <v>386</v>
      </c>
      <c r="B620" s="168" t="s">
        <v>326</v>
      </c>
      <c r="C620" s="170" t="s">
        <v>222</v>
      </c>
    </row>
    <row r="621">
      <c r="A621" s="167" t="s">
        <v>386</v>
      </c>
      <c r="B621" s="168" t="s">
        <v>326</v>
      </c>
      <c r="C621" s="170" t="s">
        <v>222</v>
      </c>
    </row>
    <row r="622">
      <c r="A622" s="167" t="s">
        <v>386</v>
      </c>
      <c r="B622" s="168" t="s">
        <v>326</v>
      </c>
      <c r="C622" s="170" t="s">
        <v>222</v>
      </c>
    </row>
    <row r="623">
      <c r="A623" s="167" t="s">
        <v>386</v>
      </c>
      <c r="B623" s="168" t="s">
        <v>327</v>
      </c>
      <c r="C623" s="169" t="s">
        <v>244</v>
      </c>
    </row>
    <row r="624">
      <c r="A624" s="167" t="s">
        <v>386</v>
      </c>
      <c r="B624" s="168" t="s">
        <v>327</v>
      </c>
      <c r="C624" s="169" t="s">
        <v>244</v>
      </c>
    </row>
    <row r="625">
      <c r="A625" s="167" t="s">
        <v>386</v>
      </c>
      <c r="B625" s="168" t="s">
        <v>327</v>
      </c>
      <c r="C625" s="169" t="s">
        <v>219</v>
      </c>
    </row>
    <row r="626">
      <c r="A626" s="167" t="s">
        <v>386</v>
      </c>
      <c r="B626" s="168" t="s">
        <v>327</v>
      </c>
      <c r="C626" s="169" t="s">
        <v>231</v>
      </c>
    </row>
    <row r="627">
      <c r="A627" s="167" t="s">
        <v>386</v>
      </c>
      <c r="B627" s="168" t="s">
        <v>327</v>
      </c>
      <c r="C627" s="169" t="s">
        <v>231</v>
      </c>
    </row>
    <row r="628">
      <c r="A628" s="167" t="s">
        <v>386</v>
      </c>
      <c r="B628" s="168" t="s">
        <v>327</v>
      </c>
      <c r="C628" s="170" t="s">
        <v>222</v>
      </c>
    </row>
    <row r="629">
      <c r="A629" s="167" t="s">
        <v>386</v>
      </c>
      <c r="B629" s="168" t="s">
        <v>328</v>
      </c>
      <c r="C629" s="170" t="s">
        <v>222</v>
      </c>
    </row>
    <row r="630">
      <c r="A630" s="167" t="s">
        <v>386</v>
      </c>
      <c r="B630" s="168" t="s">
        <v>328</v>
      </c>
      <c r="C630" s="169" t="s">
        <v>231</v>
      </c>
    </row>
    <row r="631">
      <c r="A631" s="167" t="s">
        <v>386</v>
      </c>
      <c r="B631" s="168" t="s">
        <v>328</v>
      </c>
      <c r="C631" s="169" t="s">
        <v>231</v>
      </c>
    </row>
    <row r="632">
      <c r="A632" s="167" t="s">
        <v>386</v>
      </c>
      <c r="B632" s="168" t="s">
        <v>328</v>
      </c>
      <c r="C632" s="169" t="s">
        <v>222</v>
      </c>
    </row>
    <row r="633">
      <c r="A633" s="167" t="s">
        <v>386</v>
      </c>
      <c r="B633" s="168" t="s">
        <v>328</v>
      </c>
      <c r="C633" s="169" t="s">
        <v>273</v>
      </c>
    </row>
    <row r="634">
      <c r="A634" s="167" t="s">
        <v>386</v>
      </c>
      <c r="B634" s="168" t="s">
        <v>328</v>
      </c>
      <c r="C634" s="169" t="s">
        <v>273</v>
      </c>
    </row>
    <row r="635">
      <c r="A635" s="167" t="s">
        <v>386</v>
      </c>
      <c r="B635" s="168" t="s">
        <v>328</v>
      </c>
      <c r="C635" s="170" t="s">
        <v>222</v>
      </c>
    </row>
    <row r="636">
      <c r="A636" s="167" t="s">
        <v>386</v>
      </c>
      <c r="B636" s="168" t="s">
        <v>328</v>
      </c>
      <c r="C636" s="170" t="s">
        <v>222</v>
      </c>
    </row>
    <row r="637">
      <c r="A637" s="167" t="s">
        <v>386</v>
      </c>
      <c r="B637" s="168" t="s">
        <v>328</v>
      </c>
      <c r="C637" s="170" t="s">
        <v>222</v>
      </c>
    </row>
    <row r="638">
      <c r="A638" s="167" t="s">
        <v>386</v>
      </c>
      <c r="B638" s="168" t="s">
        <v>328</v>
      </c>
      <c r="C638" s="170" t="s">
        <v>222</v>
      </c>
    </row>
    <row r="639">
      <c r="A639" s="167" t="s">
        <v>386</v>
      </c>
      <c r="B639" s="168" t="s">
        <v>328</v>
      </c>
      <c r="C639" s="170" t="s">
        <v>222</v>
      </c>
    </row>
    <row r="640">
      <c r="A640" s="167" t="s">
        <v>386</v>
      </c>
      <c r="B640" s="168" t="s">
        <v>329</v>
      </c>
      <c r="C640" s="170" t="s">
        <v>222</v>
      </c>
    </row>
    <row r="641">
      <c r="A641" s="167" t="s">
        <v>386</v>
      </c>
      <c r="B641" s="167" t="s">
        <v>329</v>
      </c>
      <c r="C641" s="169" t="s">
        <v>273</v>
      </c>
    </row>
    <row r="642">
      <c r="A642" s="167" t="s">
        <v>386</v>
      </c>
      <c r="B642" s="168" t="s">
        <v>329</v>
      </c>
      <c r="C642" s="169" t="s">
        <v>220</v>
      </c>
    </row>
    <row r="643">
      <c r="A643" s="167" t="s">
        <v>386</v>
      </c>
      <c r="B643" s="167" t="s">
        <v>329</v>
      </c>
      <c r="C643" s="169" t="s">
        <v>389</v>
      </c>
    </row>
    <row r="644">
      <c r="A644" s="167" t="s">
        <v>386</v>
      </c>
      <c r="B644" s="168" t="s">
        <v>329</v>
      </c>
      <c r="C644" s="169" t="s">
        <v>222</v>
      </c>
    </row>
    <row r="645">
      <c r="A645" s="167" t="s">
        <v>386</v>
      </c>
      <c r="B645" s="167" t="s">
        <v>329</v>
      </c>
      <c r="C645" s="169" t="s">
        <v>236</v>
      </c>
    </row>
    <row r="646">
      <c r="A646" s="167" t="s">
        <v>386</v>
      </c>
      <c r="B646" s="168" t="s">
        <v>329</v>
      </c>
      <c r="C646" s="170" t="s">
        <v>273</v>
      </c>
    </row>
    <row r="647">
      <c r="A647" s="167" t="s">
        <v>386</v>
      </c>
      <c r="B647" s="168" t="s">
        <v>329</v>
      </c>
      <c r="C647" s="170" t="s">
        <v>222</v>
      </c>
    </row>
    <row r="648">
      <c r="A648" s="167" t="s">
        <v>386</v>
      </c>
      <c r="B648" s="168" t="s">
        <v>331</v>
      </c>
      <c r="C648" s="170" t="s">
        <v>222</v>
      </c>
    </row>
    <row r="649">
      <c r="A649" s="167" t="s">
        <v>386</v>
      </c>
      <c r="B649" s="168" t="s">
        <v>331</v>
      </c>
      <c r="C649" s="170" t="s">
        <v>222</v>
      </c>
    </row>
    <row r="650">
      <c r="A650" s="167" t="s">
        <v>386</v>
      </c>
      <c r="B650" s="168" t="s">
        <v>331</v>
      </c>
      <c r="C650" s="169" t="s">
        <v>273</v>
      </c>
    </row>
    <row r="651">
      <c r="A651" s="167" t="s">
        <v>386</v>
      </c>
      <c r="B651" s="168" t="s">
        <v>331</v>
      </c>
      <c r="C651" s="169" t="s">
        <v>273</v>
      </c>
    </row>
    <row r="652">
      <c r="A652" s="167" t="s">
        <v>386</v>
      </c>
      <c r="B652" s="168" t="s">
        <v>331</v>
      </c>
      <c r="C652" s="169" t="s">
        <v>389</v>
      </c>
    </row>
    <row r="653">
      <c r="A653" s="167" t="s">
        <v>386</v>
      </c>
      <c r="B653" s="168" t="s">
        <v>331</v>
      </c>
      <c r="C653" s="169" t="s">
        <v>222</v>
      </c>
    </row>
    <row r="654">
      <c r="A654" s="167" t="s">
        <v>386</v>
      </c>
      <c r="B654" s="168" t="s">
        <v>331</v>
      </c>
      <c r="C654" s="169" t="s">
        <v>389</v>
      </c>
    </row>
    <row r="655">
      <c r="A655" s="167" t="s">
        <v>386</v>
      </c>
      <c r="B655" s="168" t="s">
        <v>331</v>
      </c>
      <c r="C655" s="169" t="s">
        <v>224</v>
      </c>
    </row>
    <row r="656">
      <c r="A656" s="167" t="s">
        <v>386</v>
      </c>
      <c r="B656" s="168" t="s">
        <v>331</v>
      </c>
      <c r="C656" s="170" t="s">
        <v>222</v>
      </c>
    </row>
    <row r="657">
      <c r="A657" s="167" t="s">
        <v>386</v>
      </c>
      <c r="B657" s="168" t="s">
        <v>331</v>
      </c>
      <c r="C657" s="170" t="s">
        <v>222</v>
      </c>
    </row>
    <row r="658">
      <c r="A658" s="167" t="s">
        <v>386</v>
      </c>
      <c r="B658" s="168" t="s">
        <v>331</v>
      </c>
      <c r="C658" s="170" t="s">
        <v>222</v>
      </c>
    </row>
    <row r="659">
      <c r="A659" s="167" t="s">
        <v>386</v>
      </c>
      <c r="B659" s="168" t="s">
        <v>332</v>
      </c>
      <c r="C659" s="170" t="s">
        <v>222</v>
      </c>
    </row>
    <row r="660">
      <c r="A660" s="167" t="s">
        <v>386</v>
      </c>
      <c r="B660" s="167" t="s">
        <v>332</v>
      </c>
      <c r="C660" s="169" t="s">
        <v>273</v>
      </c>
    </row>
    <row r="661">
      <c r="A661" s="167" t="s">
        <v>386</v>
      </c>
      <c r="B661" s="168" t="s">
        <v>332</v>
      </c>
      <c r="C661" s="169" t="s">
        <v>235</v>
      </c>
    </row>
    <row r="662">
      <c r="A662" s="167" t="s">
        <v>386</v>
      </c>
      <c r="B662" s="167" t="s">
        <v>332</v>
      </c>
      <c r="C662" s="169" t="s">
        <v>233</v>
      </c>
    </row>
    <row r="663">
      <c r="A663" s="167" t="s">
        <v>386</v>
      </c>
      <c r="B663" s="168" t="s">
        <v>332</v>
      </c>
      <c r="C663" s="169" t="s">
        <v>233</v>
      </c>
    </row>
    <row r="664">
      <c r="A664" s="167" t="s">
        <v>386</v>
      </c>
      <c r="B664" s="167" t="s">
        <v>332</v>
      </c>
      <c r="C664" s="169" t="s">
        <v>233</v>
      </c>
    </row>
    <row r="665">
      <c r="A665" s="167" t="s">
        <v>386</v>
      </c>
      <c r="B665" s="168" t="s">
        <v>332</v>
      </c>
      <c r="C665" s="170" t="s">
        <v>222</v>
      </c>
    </row>
    <row r="666">
      <c r="A666" s="167" t="s">
        <v>386</v>
      </c>
      <c r="B666" s="168" t="s">
        <v>332</v>
      </c>
      <c r="C666" s="170" t="s">
        <v>222</v>
      </c>
    </row>
    <row r="667">
      <c r="A667" s="167" t="s">
        <v>386</v>
      </c>
      <c r="B667" s="168" t="s">
        <v>332</v>
      </c>
      <c r="C667" s="170" t="s">
        <v>233</v>
      </c>
    </row>
    <row r="668">
      <c r="A668" s="167" t="s">
        <v>386</v>
      </c>
      <c r="B668" s="168" t="s">
        <v>333</v>
      </c>
      <c r="C668" s="170" t="s">
        <v>222</v>
      </c>
    </row>
    <row r="669">
      <c r="A669" s="167" t="s">
        <v>386</v>
      </c>
      <c r="B669" s="168" t="s">
        <v>333</v>
      </c>
      <c r="C669" s="170" t="s">
        <v>222</v>
      </c>
    </row>
    <row r="670">
      <c r="A670" s="167" t="s">
        <v>386</v>
      </c>
      <c r="B670" s="168" t="s">
        <v>333</v>
      </c>
      <c r="C670" s="169" t="s">
        <v>244</v>
      </c>
    </row>
    <row r="671">
      <c r="A671" s="167" t="s">
        <v>386</v>
      </c>
      <c r="B671" s="168" t="s">
        <v>333</v>
      </c>
      <c r="C671" s="169" t="s">
        <v>273</v>
      </c>
    </row>
    <row r="672">
      <c r="A672" s="167" t="s">
        <v>386</v>
      </c>
      <c r="B672" s="168" t="s">
        <v>333</v>
      </c>
      <c r="C672" s="169" t="s">
        <v>222</v>
      </c>
    </row>
    <row r="673">
      <c r="A673" s="167" t="s">
        <v>386</v>
      </c>
      <c r="B673" s="168" t="s">
        <v>333</v>
      </c>
      <c r="C673" s="169" t="s">
        <v>231</v>
      </c>
    </row>
    <row r="674">
      <c r="A674" s="167" t="s">
        <v>386</v>
      </c>
      <c r="B674" s="168" t="s">
        <v>333</v>
      </c>
      <c r="C674" s="169" t="s">
        <v>231</v>
      </c>
    </row>
    <row r="675">
      <c r="A675" s="167" t="s">
        <v>386</v>
      </c>
      <c r="B675" s="168" t="s">
        <v>333</v>
      </c>
      <c r="C675" s="170" t="s">
        <v>222</v>
      </c>
    </row>
    <row r="676">
      <c r="A676" s="167" t="s">
        <v>386</v>
      </c>
      <c r="B676" s="168" t="s">
        <v>333</v>
      </c>
      <c r="C676" s="170" t="s">
        <v>222</v>
      </c>
    </row>
    <row r="677">
      <c r="A677" s="167" t="s">
        <v>386</v>
      </c>
      <c r="B677" s="168" t="s">
        <v>333</v>
      </c>
      <c r="C677" s="170" t="s">
        <v>222</v>
      </c>
    </row>
    <row r="678">
      <c r="A678" s="167" t="s">
        <v>386</v>
      </c>
      <c r="B678" s="168" t="s">
        <v>333</v>
      </c>
      <c r="C678" s="170" t="s">
        <v>222</v>
      </c>
    </row>
    <row r="679">
      <c r="A679" s="167" t="s">
        <v>386</v>
      </c>
      <c r="B679" s="168" t="s">
        <v>334</v>
      </c>
      <c r="C679" s="170" t="s">
        <v>222</v>
      </c>
    </row>
    <row r="680">
      <c r="A680" s="167" t="s">
        <v>386</v>
      </c>
      <c r="B680" s="167" t="s">
        <v>334</v>
      </c>
      <c r="C680" s="169" t="s">
        <v>273</v>
      </c>
    </row>
    <row r="681">
      <c r="A681" s="167" t="s">
        <v>386</v>
      </c>
      <c r="B681" s="168" t="s">
        <v>334</v>
      </c>
      <c r="C681" s="169" t="s">
        <v>227</v>
      </c>
    </row>
    <row r="682">
      <c r="A682" s="167" t="s">
        <v>386</v>
      </c>
      <c r="B682" s="167" t="s">
        <v>334</v>
      </c>
      <c r="C682" s="169" t="s">
        <v>273</v>
      </c>
    </row>
    <row r="683">
      <c r="A683" s="167" t="s">
        <v>386</v>
      </c>
      <c r="B683" s="168" t="s">
        <v>334</v>
      </c>
      <c r="C683" s="169" t="s">
        <v>227</v>
      </c>
    </row>
    <row r="684">
      <c r="A684" s="167" t="s">
        <v>386</v>
      </c>
      <c r="B684" s="168" t="s">
        <v>334</v>
      </c>
      <c r="C684" s="170" t="s">
        <v>222</v>
      </c>
    </row>
    <row r="685">
      <c r="A685" s="167" t="s">
        <v>386</v>
      </c>
      <c r="B685" s="168" t="s">
        <v>334</v>
      </c>
      <c r="C685" s="170" t="s">
        <v>222</v>
      </c>
    </row>
    <row r="686">
      <c r="A686" s="167" t="s">
        <v>386</v>
      </c>
      <c r="B686" s="168" t="s">
        <v>335</v>
      </c>
      <c r="C686" s="170" t="s">
        <v>222</v>
      </c>
    </row>
    <row r="687">
      <c r="A687" s="167" t="s">
        <v>386</v>
      </c>
      <c r="B687" s="168" t="s">
        <v>335</v>
      </c>
      <c r="C687" s="169" t="s">
        <v>222</v>
      </c>
    </row>
    <row r="688">
      <c r="A688" s="167" t="s">
        <v>386</v>
      </c>
      <c r="B688" s="168" t="s">
        <v>335</v>
      </c>
      <c r="C688" s="169" t="s">
        <v>231</v>
      </c>
    </row>
    <row r="689">
      <c r="A689" s="167" t="s">
        <v>386</v>
      </c>
      <c r="B689" s="168" t="s">
        <v>335</v>
      </c>
      <c r="C689" s="169" t="s">
        <v>231</v>
      </c>
    </row>
    <row r="690">
      <c r="A690" s="167" t="s">
        <v>386</v>
      </c>
      <c r="B690" s="168" t="s">
        <v>335</v>
      </c>
      <c r="C690" s="169" t="s">
        <v>231</v>
      </c>
    </row>
    <row r="691">
      <c r="A691" s="167" t="s">
        <v>386</v>
      </c>
      <c r="B691" s="168" t="s">
        <v>335</v>
      </c>
      <c r="C691" s="169" t="s">
        <v>222</v>
      </c>
    </row>
    <row r="692">
      <c r="A692" s="167" t="s">
        <v>386</v>
      </c>
      <c r="B692" s="168" t="s">
        <v>335</v>
      </c>
      <c r="C692" s="170" t="s">
        <v>222</v>
      </c>
    </row>
    <row r="693">
      <c r="A693" s="167" t="s">
        <v>386</v>
      </c>
      <c r="B693" s="168" t="s">
        <v>335</v>
      </c>
      <c r="C693" s="170" t="s">
        <v>222</v>
      </c>
    </row>
    <row r="694">
      <c r="A694" s="167" t="s">
        <v>386</v>
      </c>
      <c r="B694" s="168" t="s">
        <v>335</v>
      </c>
      <c r="C694" s="170" t="s">
        <v>222</v>
      </c>
    </row>
    <row r="695">
      <c r="A695" s="167" t="s">
        <v>386</v>
      </c>
      <c r="B695" s="168" t="s">
        <v>336</v>
      </c>
      <c r="C695" s="170" t="s">
        <v>222</v>
      </c>
    </row>
    <row r="696">
      <c r="A696" s="167" t="s">
        <v>386</v>
      </c>
      <c r="B696" s="167" t="s">
        <v>336</v>
      </c>
      <c r="C696" s="169" t="s">
        <v>222</v>
      </c>
    </row>
    <row r="697">
      <c r="A697" s="167" t="s">
        <v>386</v>
      </c>
      <c r="B697" s="167" t="s">
        <v>336</v>
      </c>
      <c r="C697" s="169" t="s">
        <v>231</v>
      </c>
    </row>
    <row r="698">
      <c r="A698" s="167" t="s">
        <v>386</v>
      </c>
      <c r="B698" s="168" t="s">
        <v>336</v>
      </c>
      <c r="C698" s="170" t="s">
        <v>222</v>
      </c>
    </row>
    <row r="699">
      <c r="A699" s="167" t="s">
        <v>386</v>
      </c>
      <c r="B699" s="168" t="s">
        <v>336</v>
      </c>
      <c r="C699" s="170" t="s">
        <v>222</v>
      </c>
    </row>
    <row r="700">
      <c r="A700" s="167" t="s">
        <v>386</v>
      </c>
      <c r="B700" s="168" t="s">
        <v>336</v>
      </c>
      <c r="C700" s="170" t="s">
        <v>222</v>
      </c>
    </row>
    <row r="701">
      <c r="A701" s="167" t="s">
        <v>386</v>
      </c>
      <c r="B701" s="168" t="s">
        <v>336</v>
      </c>
      <c r="C701" s="170" t="s">
        <v>222</v>
      </c>
    </row>
    <row r="702">
      <c r="A702" s="167" t="s">
        <v>386</v>
      </c>
      <c r="B702" s="168" t="s">
        <v>337</v>
      </c>
      <c r="C702" s="170" t="s">
        <v>222</v>
      </c>
    </row>
    <row r="703">
      <c r="A703" s="167" t="s">
        <v>386</v>
      </c>
      <c r="B703" s="168" t="s">
        <v>337</v>
      </c>
      <c r="C703" s="169" t="s">
        <v>222</v>
      </c>
    </row>
    <row r="704">
      <c r="A704" s="167" t="s">
        <v>386</v>
      </c>
      <c r="B704" s="168" t="s">
        <v>337</v>
      </c>
      <c r="C704" s="169" t="s">
        <v>244</v>
      </c>
    </row>
    <row r="705">
      <c r="A705" s="167" t="s">
        <v>386</v>
      </c>
      <c r="B705" s="168" t="s">
        <v>337</v>
      </c>
      <c r="C705" s="169" t="s">
        <v>244</v>
      </c>
    </row>
    <row r="706">
      <c r="A706" s="167" t="s">
        <v>386</v>
      </c>
      <c r="B706" s="168" t="s">
        <v>337</v>
      </c>
      <c r="C706" s="169" t="s">
        <v>224</v>
      </c>
    </row>
    <row r="707">
      <c r="A707" s="167" t="s">
        <v>386</v>
      </c>
      <c r="B707" s="168" t="s">
        <v>337</v>
      </c>
      <c r="C707" s="169" t="s">
        <v>220</v>
      </c>
    </row>
    <row r="708">
      <c r="A708" s="167" t="s">
        <v>386</v>
      </c>
      <c r="B708" s="168" t="s">
        <v>337</v>
      </c>
      <c r="C708" s="170" t="s">
        <v>222</v>
      </c>
    </row>
    <row r="709">
      <c r="A709" s="167" t="s">
        <v>386</v>
      </c>
      <c r="B709" s="168" t="s">
        <v>337</v>
      </c>
      <c r="C709" s="170" t="s">
        <v>222</v>
      </c>
    </row>
    <row r="710">
      <c r="A710" s="167" t="s">
        <v>386</v>
      </c>
      <c r="B710" s="168" t="s">
        <v>337</v>
      </c>
      <c r="C710" s="170" t="s">
        <v>222</v>
      </c>
    </row>
    <row r="711">
      <c r="A711" s="167" t="s">
        <v>386</v>
      </c>
      <c r="B711" s="168" t="s">
        <v>337</v>
      </c>
      <c r="C711" s="170" t="s">
        <v>222</v>
      </c>
    </row>
    <row r="712">
      <c r="A712" s="167" t="s">
        <v>386</v>
      </c>
      <c r="B712" s="168" t="s">
        <v>337</v>
      </c>
      <c r="C712" s="170" t="s">
        <v>222</v>
      </c>
    </row>
    <row r="713">
      <c r="A713" s="167" t="s">
        <v>386</v>
      </c>
      <c r="B713" s="168" t="s">
        <v>338</v>
      </c>
      <c r="C713" s="170" t="s">
        <v>222</v>
      </c>
    </row>
    <row r="714">
      <c r="A714" s="167" t="s">
        <v>386</v>
      </c>
      <c r="B714" s="168" t="s">
        <v>338</v>
      </c>
      <c r="C714" s="170" t="s">
        <v>222</v>
      </c>
    </row>
    <row r="715">
      <c r="A715" s="167" t="s">
        <v>386</v>
      </c>
      <c r="B715" s="168" t="s">
        <v>338</v>
      </c>
      <c r="C715" s="170" t="s">
        <v>222</v>
      </c>
    </row>
    <row r="716">
      <c r="A716" s="167" t="s">
        <v>386</v>
      </c>
      <c r="B716" s="168" t="s">
        <v>338</v>
      </c>
      <c r="C716" s="169" t="s">
        <v>244</v>
      </c>
    </row>
    <row r="717">
      <c r="A717" s="167" t="s">
        <v>386</v>
      </c>
      <c r="B717" s="168" t="s">
        <v>338</v>
      </c>
      <c r="C717" s="169" t="s">
        <v>244</v>
      </c>
    </row>
    <row r="718">
      <c r="A718" s="167" t="s">
        <v>386</v>
      </c>
      <c r="B718" s="168" t="s">
        <v>338</v>
      </c>
      <c r="C718" s="170" t="s">
        <v>224</v>
      </c>
    </row>
    <row r="719">
      <c r="A719" s="167" t="s">
        <v>386</v>
      </c>
      <c r="B719" s="168" t="s">
        <v>338</v>
      </c>
      <c r="C719" s="170" t="s">
        <v>222</v>
      </c>
    </row>
    <row r="720">
      <c r="A720" s="167" t="s">
        <v>386</v>
      </c>
      <c r="B720" s="168" t="s">
        <v>338</v>
      </c>
      <c r="C720" s="170" t="s">
        <v>222</v>
      </c>
    </row>
    <row r="721">
      <c r="A721" s="167" t="s">
        <v>386</v>
      </c>
      <c r="B721" s="168" t="s">
        <v>338</v>
      </c>
      <c r="C721" s="170" t="s">
        <v>222</v>
      </c>
    </row>
    <row r="722">
      <c r="A722" s="167" t="s">
        <v>386</v>
      </c>
      <c r="B722" s="168" t="s">
        <v>338</v>
      </c>
      <c r="C722" s="170" t="s">
        <v>222</v>
      </c>
    </row>
    <row r="723">
      <c r="A723" s="167" t="s">
        <v>386</v>
      </c>
      <c r="B723" s="168" t="s">
        <v>338</v>
      </c>
      <c r="C723" s="170" t="s">
        <v>222</v>
      </c>
    </row>
    <row r="724">
      <c r="A724" s="167" t="s">
        <v>386</v>
      </c>
      <c r="B724" s="168" t="s">
        <v>338</v>
      </c>
      <c r="C724" s="170" t="s">
        <v>224</v>
      </c>
    </row>
    <row r="725">
      <c r="A725" s="167" t="s">
        <v>386</v>
      </c>
      <c r="B725" s="168" t="s">
        <v>339</v>
      </c>
      <c r="C725" s="170" t="s">
        <v>222</v>
      </c>
    </row>
    <row r="726">
      <c r="A726" s="167" t="s">
        <v>386</v>
      </c>
      <c r="B726" s="168" t="s">
        <v>339</v>
      </c>
      <c r="C726" s="170" t="s">
        <v>244</v>
      </c>
    </row>
    <row r="727">
      <c r="A727" s="167" t="s">
        <v>386</v>
      </c>
      <c r="B727" s="168" t="s">
        <v>339</v>
      </c>
      <c r="C727" s="170" t="s">
        <v>222</v>
      </c>
    </row>
    <row r="728">
      <c r="A728" s="167" t="s">
        <v>386</v>
      </c>
      <c r="B728" s="168" t="s">
        <v>339</v>
      </c>
      <c r="C728" s="170" t="s">
        <v>222</v>
      </c>
    </row>
    <row r="729">
      <c r="A729" s="167" t="s">
        <v>386</v>
      </c>
      <c r="B729" s="168" t="s">
        <v>339</v>
      </c>
      <c r="C729" s="170" t="s">
        <v>222</v>
      </c>
    </row>
    <row r="730">
      <c r="A730" s="167" t="s">
        <v>386</v>
      </c>
      <c r="B730" s="171" t="s">
        <v>339</v>
      </c>
      <c r="C730" s="172" t="s">
        <v>231</v>
      </c>
    </row>
    <row r="731">
      <c r="A731" s="167" t="s">
        <v>386</v>
      </c>
      <c r="B731" s="171" t="s">
        <v>339</v>
      </c>
      <c r="C731" s="172" t="s">
        <v>231</v>
      </c>
    </row>
    <row r="732">
      <c r="A732" s="167" t="s">
        <v>386</v>
      </c>
      <c r="B732" s="171" t="s">
        <v>339</v>
      </c>
      <c r="C732" s="173" t="s">
        <v>222</v>
      </c>
    </row>
    <row r="733">
      <c r="A733" s="167" t="s">
        <v>386</v>
      </c>
      <c r="B733" s="171" t="s">
        <v>339</v>
      </c>
      <c r="C733" s="173" t="s">
        <v>222</v>
      </c>
    </row>
    <row r="734">
      <c r="A734" s="167" t="s">
        <v>386</v>
      </c>
      <c r="B734" s="171" t="s">
        <v>339</v>
      </c>
      <c r="C734" s="173" t="s">
        <v>222</v>
      </c>
    </row>
    <row r="735">
      <c r="A735" s="167" t="s">
        <v>386</v>
      </c>
      <c r="B735" s="168" t="s">
        <v>339</v>
      </c>
      <c r="C735" s="170" t="s">
        <v>222</v>
      </c>
    </row>
    <row r="736">
      <c r="A736" s="167" t="s">
        <v>386</v>
      </c>
      <c r="B736" s="168" t="s">
        <v>340</v>
      </c>
      <c r="C736" s="170" t="s">
        <v>219</v>
      </c>
    </row>
    <row r="737">
      <c r="A737" s="167" t="s">
        <v>386</v>
      </c>
      <c r="B737" s="168" t="s">
        <v>340</v>
      </c>
      <c r="C737" s="170" t="s">
        <v>222</v>
      </c>
    </row>
    <row r="738">
      <c r="A738" s="167" t="s">
        <v>386</v>
      </c>
      <c r="B738" s="168" t="s">
        <v>340</v>
      </c>
      <c r="C738" s="170" t="s">
        <v>219</v>
      </c>
    </row>
    <row r="739">
      <c r="A739" s="167" t="s">
        <v>386</v>
      </c>
      <c r="B739" s="168" t="s">
        <v>340</v>
      </c>
      <c r="C739" s="169" t="s">
        <v>219</v>
      </c>
    </row>
    <row r="740">
      <c r="A740" s="167" t="s">
        <v>386</v>
      </c>
      <c r="B740" s="168" t="s">
        <v>340</v>
      </c>
      <c r="C740" s="169" t="s">
        <v>222</v>
      </c>
    </row>
    <row r="741">
      <c r="A741" s="167" t="s">
        <v>386</v>
      </c>
      <c r="B741" s="168" t="s">
        <v>340</v>
      </c>
      <c r="C741" s="170" t="s">
        <v>222</v>
      </c>
    </row>
    <row r="742">
      <c r="A742" s="167" t="s">
        <v>386</v>
      </c>
      <c r="B742" s="168" t="s">
        <v>340</v>
      </c>
      <c r="C742" s="170" t="s">
        <v>219</v>
      </c>
    </row>
    <row r="743">
      <c r="A743" s="167" t="s">
        <v>386</v>
      </c>
      <c r="B743" s="168" t="s">
        <v>340</v>
      </c>
      <c r="C743" s="170" t="s">
        <v>222</v>
      </c>
    </row>
    <row r="744">
      <c r="A744" s="167" t="s">
        <v>386</v>
      </c>
      <c r="B744" s="168" t="s">
        <v>340</v>
      </c>
      <c r="C744" s="170" t="s">
        <v>222</v>
      </c>
    </row>
    <row r="745">
      <c r="A745" s="167" t="s">
        <v>386</v>
      </c>
      <c r="B745" s="168" t="s">
        <v>340</v>
      </c>
      <c r="C745" s="170" t="s">
        <v>222</v>
      </c>
    </row>
    <row r="746">
      <c r="A746" s="167" t="s">
        <v>386</v>
      </c>
      <c r="B746" s="168" t="s">
        <v>340</v>
      </c>
      <c r="C746" s="170" t="s">
        <v>219</v>
      </c>
    </row>
    <row r="747">
      <c r="A747" s="167" t="s">
        <v>386</v>
      </c>
      <c r="B747" s="168" t="s">
        <v>340</v>
      </c>
      <c r="C747" s="170" t="s">
        <v>219</v>
      </c>
    </row>
    <row r="748">
      <c r="A748" s="167" t="s">
        <v>386</v>
      </c>
      <c r="B748" s="168" t="s">
        <v>340</v>
      </c>
      <c r="C748" s="170" t="s">
        <v>222</v>
      </c>
    </row>
    <row r="749">
      <c r="A749" s="167" t="s">
        <v>386</v>
      </c>
      <c r="B749" s="168" t="s">
        <v>341</v>
      </c>
      <c r="C749" s="170" t="s">
        <v>219</v>
      </c>
    </row>
    <row r="750">
      <c r="A750" s="167" t="s">
        <v>386</v>
      </c>
      <c r="B750" s="168" t="s">
        <v>341</v>
      </c>
      <c r="C750" s="170" t="s">
        <v>222</v>
      </c>
    </row>
    <row r="751">
      <c r="A751" s="167" t="s">
        <v>386</v>
      </c>
      <c r="B751" s="168" t="s">
        <v>341</v>
      </c>
      <c r="C751" s="169" t="s">
        <v>224</v>
      </c>
    </row>
    <row r="752">
      <c r="A752" s="167" t="s">
        <v>386</v>
      </c>
      <c r="B752" s="168" t="s">
        <v>341</v>
      </c>
      <c r="C752" s="169" t="s">
        <v>219</v>
      </c>
    </row>
    <row r="753">
      <c r="A753" s="167" t="s">
        <v>386</v>
      </c>
      <c r="B753" s="168" t="s">
        <v>341</v>
      </c>
      <c r="C753" s="169" t="s">
        <v>379</v>
      </c>
    </row>
    <row r="754">
      <c r="A754" s="167" t="s">
        <v>386</v>
      </c>
      <c r="B754" s="168" t="s">
        <v>341</v>
      </c>
      <c r="C754" s="169" t="s">
        <v>379</v>
      </c>
    </row>
    <row r="755">
      <c r="A755" s="167" t="s">
        <v>386</v>
      </c>
      <c r="B755" s="168" t="s">
        <v>341</v>
      </c>
      <c r="C755" s="170" t="s">
        <v>222</v>
      </c>
    </row>
    <row r="756">
      <c r="A756" s="167" t="s">
        <v>386</v>
      </c>
      <c r="B756" s="168" t="s">
        <v>341</v>
      </c>
      <c r="C756" s="170" t="s">
        <v>222</v>
      </c>
    </row>
    <row r="757">
      <c r="A757" s="167" t="s">
        <v>386</v>
      </c>
      <c r="B757" s="168" t="s">
        <v>341</v>
      </c>
      <c r="C757" s="170" t="s">
        <v>222</v>
      </c>
    </row>
    <row r="758">
      <c r="A758" s="167" t="s">
        <v>386</v>
      </c>
      <c r="B758" s="168" t="s">
        <v>341</v>
      </c>
      <c r="C758" s="170" t="s">
        <v>220</v>
      </c>
    </row>
    <row r="759">
      <c r="A759" s="167" t="s">
        <v>386</v>
      </c>
      <c r="B759" s="168" t="s">
        <v>341</v>
      </c>
      <c r="C759" s="170" t="s">
        <v>222</v>
      </c>
    </row>
    <row r="760">
      <c r="A760" s="167" t="s">
        <v>386</v>
      </c>
      <c r="B760" s="168" t="s">
        <v>341</v>
      </c>
      <c r="C760" s="170" t="s">
        <v>222</v>
      </c>
    </row>
    <row r="761">
      <c r="A761" s="167" t="s">
        <v>386</v>
      </c>
      <c r="B761" s="174" t="s">
        <v>344</v>
      </c>
      <c r="C761" s="172" t="s">
        <v>222</v>
      </c>
    </row>
    <row r="762">
      <c r="A762" s="167" t="s">
        <v>386</v>
      </c>
      <c r="B762" s="174" t="s">
        <v>344</v>
      </c>
      <c r="C762" s="172" t="s">
        <v>222</v>
      </c>
    </row>
    <row r="763">
      <c r="A763" s="167" t="s">
        <v>386</v>
      </c>
      <c r="B763" s="174" t="s">
        <v>344</v>
      </c>
      <c r="C763" s="173" t="s">
        <v>222</v>
      </c>
    </row>
    <row r="764">
      <c r="A764" s="167" t="s">
        <v>386</v>
      </c>
      <c r="B764" s="174" t="s">
        <v>344</v>
      </c>
      <c r="C764" s="173" t="s">
        <v>222</v>
      </c>
    </row>
    <row r="765">
      <c r="A765" s="167" t="s">
        <v>386</v>
      </c>
      <c r="B765" s="174" t="s">
        <v>344</v>
      </c>
      <c r="C765" s="172" t="s">
        <v>379</v>
      </c>
    </row>
    <row r="766">
      <c r="A766" s="167" t="s">
        <v>386</v>
      </c>
      <c r="B766" s="174" t="s">
        <v>344</v>
      </c>
      <c r="C766" s="175" t="s">
        <v>222</v>
      </c>
    </row>
    <row r="767">
      <c r="A767" s="167" t="s">
        <v>386</v>
      </c>
      <c r="B767" s="174" t="s">
        <v>344</v>
      </c>
      <c r="C767" s="175" t="s">
        <v>219</v>
      </c>
    </row>
    <row r="768">
      <c r="A768" s="167" t="s">
        <v>386</v>
      </c>
      <c r="B768" s="174" t="s">
        <v>344</v>
      </c>
      <c r="C768" s="175" t="s">
        <v>222</v>
      </c>
    </row>
    <row r="769">
      <c r="A769" s="167" t="s">
        <v>386</v>
      </c>
      <c r="B769" s="174" t="s">
        <v>344</v>
      </c>
      <c r="C769" s="175" t="s">
        <v>222</v>
      </c>
    </row>
    <row r="770">
      <c r="A770" s="167" t="s">
        <v>386</v>
      </c>
      <c r="B770" s="174" t="s">
        <v>344</v>
      </c>
      <c r="C770" s="175" t="s">
        <v>222</v>
      </c>
    </row>
    <row r="771">
      <c r="A771" s="167" t="s">
        <v>386</v>
      </c>
      <c r="B771" s="168" t="s">
        <v>345</v>
      </c>
      <c r="C771" s="170" t="s">
        <v>222</v>
      </c>
    </row>
    <row r="772">
      <c r="A772" s="167" t="s">
        <v>386</v>
      </c>
      <c r="B772" s="168" t="s">
        <v>345</v>
      </c>
      <c r="C772" s="170" t="s">
        <v>222</v>
      </c>
    </row>
    <row r="773">
      <c r="A773" s="167" t="s">
        <v>386</v>
      </c>
      <c r="B773" s="168" t="s">
        <v>345</v>
      </c>
      <c r="C773" s="170" t="s">
        <v>222</v>
      </c>
    </row>
    <row r="774">
      <c r="A774" s="167" t="s">
        <v>386</v>
      </c>
      <c r="B774" s="168" t="s">
        <v>345</v>
      </c>
      <c r="C774" s="170" t="s">
        <v>222</v>
      </c>
    </row>
    <row r="775">
      <c r="A775" s="167" t="s">
        <v>386</v>
      </c>
      <c r="B775" s="168" t="s">
        <v>345</v>
      </c>
      <c r="C775" s="170" t="s">
        <v>222</v>
      </c>
    </row>
    <row r="776">
      <c r="A776" s="167" t="s">
        <v>386</v>
      </c>
      <c r="B776" s="168" t="s">
        <v>345</v>
      </c>
      <c r="C776" s="170" t="s">
        <v>222</v>
      </c>
    </row>
    <row r="777">
      <c r="A777" s="167" t="s">
        <v>386</v>
      </c>
      <c r="B777" s="168" t="s">
        <v>346</v>
      </c>
      <c r="C777" s="170" t="s">
        <v>222</v>
      </c>
    </row>
    <row r="778">
      <c r="A778" s="167" t="s">
        <v>386</v>
      </c>
      <c r="B778" s="167" t="s">
        <v>346</v>
      </c>
      <c r="C778" s="169" t="s">
        <v>220</v>
      </c>
    </row>
    <row r="779">
      <c r="A779" s="167" t="s">
        <v>386</v>
      </c>
      <c r="B779" s="168" t="s">
        <v>346</v>
      </c>
      <c r="C779" s="169" t="s">
        <v>222</v>
      </c>
    </row>
    <row r="780">
      <c r="A780" s="167" t="s">
        <v>386</v>
      </c>
      <c r="B780" s="167" t="s">
        <v>346</v>
      </c>
      <c r="C780" s="169" t="s">
        <v>231</v>
      </c>
    </row>
    <row r="781">
      <c r="A781" s="167" t="s">
        <v>386</v>
      </c>
      <c r="B781" s="168" t="s">
        <v>346</v>
      </c>
      <c r="C781" s="169" t="s">
        <v>224</v>
      </c>
    </row>
    <row r="782">
      <c r="A782" s="167" t="s">
        <v>386</v>
      </c>
      <c r="B782" s="167" t="s">
        <v>346</v>
      </c>
      <c r="C782" s="169" t="s">
        <v>220</v>
      </c>
    </row>
    <row r="783">
      <c r="A783" s="167" t="s">
        <v>386</v>
      </c>
      <c r="B783" s="168" t="s">
        <v>346</v>
      </c>
      <c r="C783" s="170" t="s">
        <v>222</v>
      </c>
    </row>
    <row r="784">
      <c r="A784" s="167" t="s">
        <v>386</v>
      </c>
      <c r="B784" s="167" t="s">
        <v>347</v>
      </c>
      <c r="C784" s="169" t="s">
        <v>220</v>
      </c>
    </row>
    <row r="785">
      <c r="A785" s="167" t="s">
        <v>386</v>
      </c>
      <c r="B785" s="167" t="s">
        <v>347</v>
      </c>
      <c r="C785" s="169" t="s">
        <v>220</v>
      </c>
    </row>
    <row r="786">
      <c r="A786" s="167" t="s">
        <v>386</v>
      </c>
      <c r="B786" s="167" t="s">
        <v>347</v>
      </c>
      <c r="C786" s="169" t="s">
        <v>273</v>
      </c>
    </row>
    <row r="787">
      <c r="A787" s="167" t="s">
        <v>386</v>
      </c>
      <c r="B787" s="167" t="s">
        <v>347</v>
      </c>
      <c r="C787" s="169" t="s">
        <v>220</v>
      </c>
    </row>
    <row r="788">
      <c r="A788" s="167" t="s">
        <v>386</v>
      </c>
      <c r="B788" s="167" t="s">
        <v>347</v>
      </c>
      <c r="C788" s="169" t="s">
        <v>224</v>
      </c>
    </row>
    <row r="789">
      <c r="A789" s="167" t="s">
        <v>386</v>
      </c>
      <c r="B789" s="167" t="s">
        <v>347</v>
      </c>
      <c r="C789" s="170" t="s">
        <v>222</v>
      </c>
    </row>
    <row r="790">
      <c r="A790" s="167" t="s">
        <v>386</v>
      </c>
      <c r="B790" s="168" t="s">
        <v>348</v>
      </c>
      <c r="C790" s="170" t="s">
        <v>222</v>
      </c>
    </row>
    <row r="791">
      <c r="A791" s="167" t="s">
        <v>386</v>
      </c>
      <c r="B791" s="168" t="s">
        <v>348</v>
      </c>
      <c r="C791" s="169" t="s">
        <v>224</v>
      </c>
    </row>
    <row r="792">
      <c r="A792" s="167" t="s">
        <v>386</v>
      </c>
      <c r="B792" s="168" t="s">
        <v>348</v>
      </c>
      <c r="C792" s="169" t="s">
        <v>224</v>
      </c>
    </row>
    <row r="793">
      <c r="A793" s="167" t="s">
        <v>386</v>
      </c>
      <c r="B793" s="168" t="s">
        <v>348</v>
      </c>
      <c r="C793" s="169" t="s">
        <v>222</v>
      </c>
    </row>
    <row r="794">
      <c r="A794" s="167" t="s">
        <v>386</v>
      </c>
      <c r="B794" s="168" t="s">
        <v>348</v>
      </c>
      <c r="C794" s="169" t="s">
        <v>222</v>
      </c>
    </row>
    <row r="795">
      <c r="A795" s="167" t="s">
        <v>386</v>
      </c>
      <c r="B795" s="168" t="s">
        <v>348</v>
      </c>
      <c r="C795" s="169" t="s">
        <v>222</v>
      </c>
    </row>
    <row r="796">
      <c r="A796" s="167" t="s">
        <v>386</v>
      </c>
      <c r="B796" s="168" t="s">
        <v>348</v>
      </c>
      <c r="C796" s="170" t="s">
        <v>222</v>
      </c>
    </row>
    <row r="797">
      <c r="A797" s="167" t="s">
        <v>386</v>
      </c>
      <c r="B797" s="168" t="s">
        <v>348</v>
      </c>
      <c r="C797" s="170" t="s">
        <v>222</v>
      </c>
    </row>
    <row r="798">
      <c r="A798" s="167" t="s">
        <v>386</v>
      </c>
      <c r="B798" s="168" t="s">
        <v>348</v>
      </c>
      <c r="C798" s="170" t="s">
        <v>222</v>
      </c>
    </row>
    <row r="799">
      <c r="A799" s="167" t="s">
        <v>386</v>
      </c>
      <c r="B799" s="168" t="s">
        <v>348</v>
      </c>
      <c r="C799" s="170" t="s">
        <v>222</v>
      </c>
    </row>
    <row r="800">
      <c r="A800" s="167" t="s">
        <v>386</v>
      </c>
      <c r="B800" s="168" t="s">
        <v>348</v>
      </c>
      <c r="C800" s="170" t="s">
        <v>222</v>
      </c>
    </row>
    <row r="801">
      <c r="A801" s="167" t="s">
        <v>386</v>
      </c>
      <c r="B801" s="168" t="s">
        <v>348</v>
      </c>
      <c r="C801" s="170" t="s">
        <v>222</v>
      </c>
    </row>
    <row r="802">
      <c r="A802" s="167" t="s">
        <v>386</v>
      </c>
      <c r="B802" s="168" t="s">
        <v>348</v>
      </c>
      <c r="C802" s="170" t="s">
        <v>222</v>
      </c>
    </row>
    <row r="803">
      <c r="A803" s="167" t="s">
        <v>386</v>
      </c>
      <c r="B803" s="168" t="s">
        <v>348</v>
      </c>
      <c r="C803" s="170" t="s">
        <v>222</v>
      </c>
    </row>
    <row r="804">
      <c r="A804" s="167" t="s">
        <v>386</v>
      </c>
      <c r="B804" s="168" t="s">
        <v>349</v>
      </c>
      <c r="C804" s="169" t="s">
        <v>231</v>
      </c>
    </row>
    <row r="805">
      <c r="A805" s="167" t="s">
        <v>386</v>
      </c>
      <c r="B805" s="167" t="s">
        <v>349</v>
      </c>
      <c r="C805" s="169" t="s">
        <v>231</v>
      </c>
    </row>
    <row r="806">
      <c r="A806" s="167" t="s">
        <v>386</v>
      </c>
      <c r="B806" s="168" t="s">
        <v>349</v>
      </c>
      <c r="C806" s="169" t="s">
        <v>219</v>
      </c>
    </row>
    <row r="807">
      <c r="A807" s="167" t="s">
        <v>386</v>
      </c>
      <c r="B807" s="167" t="s">
        <v>349</v>
      </c>
      <c r="C807" s="169" t="s">
        <v>224</v>
      </c>
    </row>
    <row r="808">
      <c r="A808" s="167" t="s">
        <v>386</v>
      </c>
      <c r="B808" s="168" t="s">
        <v>349</v>
      </c>
      <c r="C808" s="169" t="s">
        <v>227</v>
      </c>
    </row>
    <row r="809">
      <c r="A809" s="167" t="s">
        <v>386</v>
      </c>
      <c r="B809" s="167" t="s">
        <v>349</v>
      </c>
      <c r="C809" s="170" t="s">
        <v>222</v>
      </c>
    </row>
    <row r="810">
      <c r="A810" s="167" t="s">
        <v>386</v>
      </c>
      <c r="B810" s="168" t="s">
        <v>350</v>
      </c>
      <c r="C810" s="170" t="s">
        <v>222</v>
      </c>
    </row>
    <row r="811">
      <c r="A811" s="167" t="s">
        <v>386</v>
      </c>
      <c r="B811" s="168" t="s">
        <v>350</v>
      </c>
      <c r="C811" s="170" t="s">
        <v>222</v>
      </c>
    </row>
    <row r="812">
      <c r="A812" s="167" t="s">
        <v>386</v>
      </c>
      <c r="B812" s="168" t="s">
        <v>350</v>
      </c>
      <c r="C812" s="169" t="s">
        <v>222</v>
      </c>
    </row>
    <row r="813">
      <c r="A813" s="167" t="s">
        <v>386</v>
      </c>
      <c r="B813" s="168" t="s">
        <v>350</v>
      </c>
      <c r="C813" s="169" t="s">
        <v>222</v>
      </c>
    </row>
    <row r="814">
      <c r="A814" s="167" t="s">
        <v>386</v>
      </c>
      <c r="B814" s="168" t="s">
        <v>350</v>
      </c>
      <c r="C814" s="169" t="s">
        <v>273</v>
      </c>
    </row>
    <row r="815">
      <c r="A815" s="167" t="s">
        <v>386</v>
      </c>
      <c r="B815" s="168" t="s">
        <v>350</v>
      </c>
      <c r="C815" s="169" t="s">
        <v>222</v>
      </c>
    </row>
    <row r="816">
      <c r="A816" s="167" t="s">
        <v>386</v>
      </c>
      <c r="B816" s="168" t="s">
        <v>350</v>
      </c>
      <c r="C816" s="170" t="s">
        <v>222</v>
      </c>
    </row>
    <row r="817">
      <c r="A817" s="167" t="s">
        <v>386</v>
      </c>
      <c r="B817" s="168" t="s">
        <v>350</v>
      </c>
      <c r="C817" s="170" t="s">
        <v>222</v>
      </c>
    </row>
    <row r="818">
      <c r="A818" s="167" t="s">
        <v>386</v>
      </c>
      <c r="B818" s="168" t="s">
        <v>350</v>
      </c>
      <c r="C818" s="170" t="s">
        <v>222</v>
      </c>
    </row>
    <row r="819">
      <c r="A819" s="167" t="s">
        <v>386</v>
      </c>
      <c r="B819" s="168" t="s">
        <v>350</v>
      </c>
      <c r="C819" s="170" t="s">
        <v>222</v>
      </c>
    </row>
    <row r="820">
      <c r="A820" s="167" t="s">
        <v>386</v>
      </c>
      <c r="B820" s="168" t="s">
        <v>350</v>
      </c>
      <c r="C820" s="170" t="s">
        <v>222</v>
      </c>
    </row>
    <row r="821">
      <c r="A821" s="167" t="s">
        <v>386</v>
      </c>
      <c r="B821" s="168" t="s">
        <v>350</v>
      </c>
      <c r="C821" s="170" t="s">
        <v>220</v>
      </c>
    </row>
    <row r="822">
      <c r="A822" s="167" t="s">
        <v>386</v>
      </c>
      <c r="B822" s="168" t="s">
        <v>353</v>
      </c>
      <c r="C822" s="170" t="s">
        <v>222</v>
      </c>
    </row>
    <row r="823">
      <c r="A823" s="167" t="s">
        <v>386</v>
      </c>
      <c r="B823" s="168" t="s">
        <v>353</v>
      </c>
      <c r="C823" s="170" t="s">
        <v>222</v>
      </c>
    </row>
    <row r="824">
      <c r="A824" s="167" t="s">
        <v>386</v>
      </c>
      <c r="B824" s="168" t="s">
        <v>353</v>
      </c>
      <c r="C824" s="169" t="s">
        <v>224</v>
      </c>
    </row>
    <row r="825">
      <c r="A825" s="167" t="s">
        <v>386</v>
      </c>
      <c r="B825" s="168" t="s">
        <v>353</v>
      </c>
      <c r="C825" s="169" t="s">
        <v>222</v>
      </c>
    </row>
    <row r="826">
      <c r="A826" s="167" t="s">
        <v>386</v>
      </c>
      <c r="B826" s="168" t="s">
        <v>353</v>
      </c>
      <c r="C826" s="169" t="s">
        <v>231</v>
      </c>
    </row>
    <row r="827">
      <c r="A827" s="167" t="s">
        <v>386</v>
      </c>
      <c r="B827" s="168" t="s">
        <v>353</v>
      </c>
      <c r="C827" s="169" t="s">
        <v>231</v>
      </c>
    </row>
    <row r="828">
      <c r="A828" s="167" t="s">
        <v>386</v>
      </c>
      <c r="B828" s="168" t="s">
        <v>353</v>
      </c>
      <c r="C828" s="169" t="s">
        <v>273</v>
      </c>
    </row>
    <row r="829">
      <c r="A829" s="167" t="s">
        <v>386</v>
      </c>
      <c r="B829" s="168" t="s">
        <v>353</v>
      </c>
      <c r="C829" s="169" t="s">
        <v>389</v>
      </c>
    </row>
    <row r="830">
      <c r="A830" s="167" t="s">
        <v>386</v>
      </c>
      <c r="B830" s="168" t="s">
        <v>353</v>
      </c>
      <c r="C830" s="170" t="s">
        <v>222</v>
      </c>
    </row>
    <row r="831">
      <c r="A831" s="167" t="s">
        <v>386</v>
      </c>
      <c r="B831" s="168" t="s">
        <v>353</v>
      </c>
      <c r="C831" s="170" t="s">
        <v>222</v>
      </c>
    </row>
    <row r="832">
      <c r="A832" s="167" t="s">
        <v>386</v>
      </c>
      <c r="B832" s="168" t="s">
        <v>353</v>
      </c>
      <c r="C832" s="170" t="s">
        <v>222</v>
      </c>
    </row>
    <row r="833">
      <c r="A833" s="167" t="s">
        <v>386</v>
      </c>
      <c r="B833" s="168" t="s">
        <v>353</v>
      </c>
      <c r="C833" s="170" t="s">
        <v>222</v>
      </c>
    </row>
    <row r="834">
      <c r="A834" s="167" t="s">
        <v>386</v>
      </c>
      <c r="B834" s="168" t="s">
        <v>353</v>
      </c>
      <c r="C834" s="170" t="s">
        <v>222</v>
      </c>
    </row>
    <row r="835">
      <c r="A835" s="167" t="s">
        <v>386</v>
      </c>
      <c r="B835" s="168" t="s">
        <v>353</v>
      </c>
      <c r="C835" s="170" t="s">
        <v>224</v>
      </c>
    </row>
    <row r="836">
      <c r="A836" s="167" t="s">
        <v>386</v>
      </c>
      <c r="B836" s="168" t="s">
        <v>353</v>
      </c>
      <c r="C836" s="170" t="s">
        <v>224</v>
      </c>
    </row>
    <row r="837">
      <c r="A837" s="167" t="s">
        <v>386</v>
      </c>
      <c r="B837" s="168" t="s">
        <v>355</v>
      </c>
      <c r="C837" s="170" t="s">
        <v>222</v>
      </c>
    </row>
    <row r="838">
      <c r="A838" s="167" t="s">
        <v>386</v>
      </c>
      <c r="B838" s="168" t="s">
        <v>355</v>
      </c>
      <c r="C838" s="170" t="s">
        <v>233</v>
      </c>
    </row>
    <row r="839">
      <c r="A839" s="167" t="s">
        <v>386</v>
      </c>
      <c r="B839" s="168" t="s">
        <v>355</v>
      </c>
      <c r="C839" s="169" t="s">
        <v>220</v>
      </c>
    </row>
    <row r="840">
      <c r="A840" s="167" t="s">
        <v>386</v>
      </c>
      <c r="B840" s="168" t="s">
        <v>355</v>
      </c>
      <c r="C840" s="169" t="s">
        <v>220</v>
      </c>
    </row>
    <row r="841">
      <c r="A841" s="167" t="s">
        <v>386</v>
      </c>
      <c r="B841" s="168" t="s">
        <v>355</v>
      </c>
      <c r="C841" s="169" t="s">
        <v>379</v>
      </c>
    </row>
    <row r="842">
      <c r="A842" s="167" t="s">
        <v>386</v>
      </c>
      <c r="B842" s="168" t="s">
        <v>355</v>
      </c>
      <c r="C842" s="170" t="s">
        <v>222</v>
      </c>
    </row>
    <row r="843">
      <c r="A843" s="167" t="s">
        <v>386</v>
      </c>
      <c r="B843" s="168" t="s">
        <v>355</v>
      </c>
      <c r="C843" s="170" t="s">
        <v>222</v>
      </c>
    </row>
    <row r="844">
      <c r="A844" s="167" t="s">
        <v>386</v>
      </c>
      <c r="B844" s="168" t="s">
        <v>355</v>
      </c>
      <c r="C844" s="170" t="s">
        <v>222</v>
      </c>
    </row>
    <row r="845">
      <c r="A845" s="167" t="s">
        <v>386</v>
      </c>
      <c r="B845" s="168" t="s">
        <v>355</v>
      </c>
      <c r="C845" s="170" t="s">
        <v>222</v>
      </c>
    </row>
    <row r="846">
      <c r="A846" s="176"/>
      <c r="B846" s="176"/>
      <c r="C846" s="17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25"/>
  </cols>
  <sheetData>
    <row r="1">
      <c r="A1" s="177" t="s">
        <v>2</v>
      </c>
      <c r="B1" s="177" t="s">
        <v>207</v>
      </c>
      <c r="C1" s="177" t="s">
        <v>209</v>
      </c>
      <c r="D1" s="178"/>
      <c r="E1" s="179"/>
      <c r="F1" s="179"/>
      <c r="G1" s="179"/>
      <c r="H1" s="180"/>
      <c r="I1" s="180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>
      <c r="A2" s="177" t="s">
        <v>361</v>
      </c>
      <c r="B2" s="181" t="s">
        <v>217</v>
      </c>
      <c r="C2" s="177" t="s">
        <v>219</v>
      </c>
      <c r="D2" s="178"/>
      <c r="E2" s="182"/>
      <c r="F2" s="183"/>
      <c r="G2" s="182"/>
      <c r="H2" s="178"/>
      <c r="I2" s="184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>
      <c r="A3" s="177" t="s">
        <v>361</v>
      </c>
      <c r="B3" s="177" t="s">
        <v>217</v>
      </c>
      <c r="C3" s="177" t="s">
        <v>236</v>
      </c>
      <c r="D3" s="178"/>
      <c r="E3" s="182"/>
      <c r="F3" s="183"/>
      <c r="G3" s="182"/>
      <c r="H3" s="178"/>
      <c r="I3" s="184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>
      <c r="A4" s="177" t="s">
        <v>361</v>
      </c>
      <c r="B4" s="181" t="s">
        <v>217</v>
      </c>
      <c r="C4" s="177" t="s">
        <v>231</v>
      </c>
      <c r="D4" s="178"/>
      <c r="E4" s="182"/>
      <c r="F4" s="179"/>
      <c r="G4" s="182"/>
      <c r="H4" s="178"/>
      <c r="I4" s="184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>
      <c r="A5" s="177" t="s">
        <v>361</v>
      </c>
      <c r="B5" s="177" t="s">
        <v>217</v>
      </c>
      <c r="C5" s="177" t="s">
        <v>231</v>
      </c>
      <c r="D5" s="178"/>
      <c r="E5" s="182"/>
      <c r="F5" s="183"/>
      <c r="G5" s="182"/>
      <c r="H5" s="178"/>
      <c r="I5" s="184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>
      <c r="A6" s="177" t="s">
        <v>361</v>
      </c>
      <c r="B6" s="177" t="s">
        <v>217</v>
      </c>
      <c r="C6" s="177" t="s">
        <v>231</v>
      </c>
      <c r="D6" s="178"/>
      <c r="E6" s="182"/>
      <c r="F6" s="179"/>
      <c r="G6" s="179"/>
      <c r="H6" s="178"/>
      <c r="I6" s="184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>
      <c r="A7" s="177" t="s">
        <v>361</v>
      </c>
      <c r="B7" s="181" t="s">
        <v>217</v>
      </c>
      <c r="C7" s="177" t="s">
        <v>220</v>
      </c>
      <c r="D7" s="178"/>
      <c r="E7" s="182"/>
      <c r="F7" s="179"/>
      <c r="G7" s="182"/>
      <c r="H7" s="178"/>
      <c r="I7" s="184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>
      <c r="A8" s="177" t="s">
        <v>361</v>
      </c>
      <c r="B8" s="181" t="s">
        <v>217</v>
      </c>
      <c r="C8" s="177" t="s">
        <v>220</v>
      </c>
      <c r="D8" s="178"/>
      <c r="E8" s="182"/>
      <c r="F8" s="183"/>
      <c r="G8" s="182"/>
      <c r="H8" s="178"/>
      <c r="I8" s="184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>
      <c r="A9" s="177" t="s">
        <v>361</v>
      </c>
      <c r="B9" s="181" t="s">
        <v>217</v>
      </c>
      <c r="C9" s="177" t="s">
        <v>222</v>
      </c>
      <c r="D9" s="178"/>
      <c r="E9" s="182"/>
      <c r="F9" s="179"/>
      <c r="G9" s="182"/>
      <c r="H9" s="178"/>
      <c r="I9" s="184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>
      <c r="A10" s="177" t="s">
        <v>361</v>
      </c>
      <c r="B10" s="181" t="s">
        <v>217</v>
      </c>
      <c r="C10" s="177" t="s">
        <v>220</v>
      </c>
      <c r="D10" s="178"/>
      <c r="E10" s="182"/>
      <c r="F10" s="183"/>
      <c r="G10" s="182"/>
      <c r="H10" s="178"/>
      <c r="I10" s="184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>
      <c r="A11" s="177" t="s">
        <v>361</v>
      </c>
      <c r="B11" s="181" t="s">
        <v>217</v>
      </c>
      <c r="C11" s="177" t="s">
        <v>224</v>
      </c>
      <c r="D11" s="178"/>
      <c r="E11" s="182"/>
      <c r="F11" s="179"/>
      <c r="G11" s="179"/>
      <c r="H11" s="178"/>
      <c r="I11" s="184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>
      <c r="A12" s="177" t="s">
        <v>361</v>
      </c>
      <c r="B12" s="181" t="s">
        <v>217</v>
      </c>
      <c r="C12" s="177" t="s">
        <v>222</v>
      </c>
      <c r="D12" s="178"/>
      <c r="E12" s="182"/>
      <c r="F12" s="183"/>
      <c r="G12" s="182"/>
      <c r="H12" s="178"/>
      <c r="I12" s="184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>
      <c r="A13" s="177" t="s">
        <v>361</v>
      </c>
      <c r="B13" s="181" t="s">
        <v>217</v>
      </c>
      <c r="C13" s="177" t="s">
        <v>222</v>
      </c>
      <c r="D13" s="178"/>
      <c r="E13" s="182"/>
      <c r="F13" s="179"/>
      <c r="G13" s="179"/>
      <c r="H13" s="178"/>
      <c r="I13" s="184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>
      <c r="A14" s="177" t="s">
        <v>361</v>
      </c>
      <c r="B14" s="181" t="s">
        <v>217</v>
      </c>
      <c r="C14" s="177" t="s">
        <v>227</v>
      </c>
      <c r="D14" s="178"/>
      <c r="E14" s="182"/>
      <c r="F14" s="179"/>
      <c r="G14" s="182"/>
      <c r="H14" s="178"/>
      <c r="I14" s="184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>
      <c r="A15" s="177" t="s">
        <v>361</v>
      </c>
      <c r="B15" s="181" t="s">
        <v>228</v>
      </c>
      <c r="C15" s="177" t="s">
        <v>220</v>
      </c>
      <c r="D15" s="178"/>
      <c r="E15" s="182"/>
      <c r="F15" s="183"/>
      <c r="G15" s="182"/>
      <c r="H15" s="178"/>
      <c r="I15" s="184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>
      <c r="A16" s="177" t="s">
        <v>361</v>
      </c>
      <c r="B16" s="177" t="s">
        <v>228</v>
      </c>
      <c r="C16" s="177" t="s">
        <v>376</v>
      </c>
      <c r="D16" s="178"/>
      <c r="E16" s="182"/>
      <c r="F16" s="179"/>
      <c r="G16" s="179"/>
      <c r="H16" s="178"/>
      <c r="I16" s="184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>
      <c r="A17" s="177" t="s">
        <v>361</v>
      </c>
      <c r="B17" s="181" t="s">
        <v>228</v>
      </c>
      <c r="C17" s="177" t="s">
        <v>231</v>
      </c>
      <c r="D17" s="178"/>
      <c r="E17" s="182"/>
      <c r="F17" s="183"/>
      <c r="G17" s="182"/>
      <c r="H17" s="178"/>
      <c r="I17" s="184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>
      <c r="A18" s="177" t="s">
        <v>361</v>
      </c>
      <c r="B18" s="177" t="s">
        <v>228</v>
      </c>
      <c r="C18" s="177" t="s">
        <v>379</v>
      </c>
      <c r="D18" s="178"/>
      <c r="E18" s="182"/>
      <c r="F18" s="182"/>
      <c r="G18" s="182"/>
      <c r="H18" s="178"/>
      <c r="I18" s="184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>
      <c r="A19" s="177" t="s">
        <v>361</v>
      </c>
      <c r="B19" s="181" t="s">
        <v>228</v>
      </c>
      <c r="C19" s="177" t="s">
        <v>379</v>
      </c>
      <c r="D19" s="178"/>
      <c r="E19" s="182"/>
      <c r="F19" s="182"/>
      <c r="G19" s="182"/>
      <c r="H19" s="178"/>
      <c r="I19" s="184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>
      <c r="A20" s="177" t="s">
        <v>361</v>
      </c>
      <c r="B20" s="177" t="s">
        <v>228</v>
      </c>
      <c r="C20" s="177" t="s">
        <v>231</v>
      </c>
      <c r="D20" s="178"/>
      <c r="E20" s="182"/>
      <c r="F20" s="179"/>
      <c r="G20" s="182"/>
      <c r="H20" s="178"/>
      <c r="I20" s="184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>
      <c r="A21" s="177" t="s">
        <v>361</v>
      </c>
      <c r="B21" s="177" t="s">
        <v>228</v>
      </c>
      <c r="C21" s="177" t="s">
        <v>231</v>
      </c>
      <c r="D21" s="178"/>
      <c r="E21" s="182"/>
      <c r="F21" s="183"/>
      <c r="G21" s="182"/>
      <c r="H21" s="178"/>
      <c r="I21" s="184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>
      <c r="A22" s="177" t="s">
        <v>361</v>
      </c>
      <c r="B22" s="181" t="s">
        <v>228</v>
      </c>
      <c r="C22" s="177" t="s">
        <v>224</v>
      </c>
      <c r="D22" s="178"/>
      <c r="E22" s="178"/>
      <c r="F22" s="185"/>
      <c r="G22" s="180"/>
      <c r="H22" s="178"/>
      <c r="I22" s="184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>
      <c r="A23" s="177" t="s">
        <v>361</v>
      </c>
      <c r="B23" s="181" t="s">
        <v>230</v>
      </c>
      <c r="C23" s="177" t="s">
        <v>220</v>
      </c>
      <c r="D23" s="178"/>
      <c r="E23" s="178"/>
      <c r="F23" s="185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>
      <c r="A24" s="177" t="s">
        <v>361</v>
      </c>
      <c r="B24" s="181" t="s">
        <v>230</v>
      </c>
      <c r="C24" s="177" t="s">
        <v>231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>
      <c r="A25" s="177" t="s">
        <v>361</v>
      </c>
      <c r="B25" s="177" t="s">
        <v>230</v>
      </c>
      <c r="C25" s="177" t="s">
        <v>251</v>
      </c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>
      <c r="A26" s="177" t="s">
        <v>361</v>
      </c>
      <c r="B26" s="181" t="s">
        <v>230</v>
      </c>
      <c r="C26" s="177" t="s">
        <v>220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>
      <c r="A27" s="177" t="s">
        <v>361</v>
      </c>
      <c r="B27" s="181" t="s">
        <v>230</v>
      </c>
      <c r="C27" s="177" t="s">
        <v>220</v>
      </c>
      <c r="D27" s="178"/>
      <c r="E27" s="178"/>
      <c r="F27" s="185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>
      <c r="A28" s="177" t="s">
        <v>361</v>
      </c>
      <c r="B28" s="177" t="s">
        <v>230</v>
      </c>
      <c r="C28" s="177" t="s">
        <v>220</v>
      </c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>
      <c r="A29" s="177" t="s">
        <v>361</v>
      </c>
      <c r="B29" s="181" t="s">
        <v>230</v>
      </c>
      <c r="C29" s="177" t="s">
        <v>220</v>
      </c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>
      <c r="A30" s="177" t="s">
        <v>361</v>
      </c>
      <c r="B30" s="181" t="s">
        <v>230</v>
      </c>
      <c r="C30" s="177" t="s">
        <v>231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>
      <c r="A31" s="177" t="s">
        <v>361</v>
      </c>
      <c r="B31" s="177" t="s">
        <v>230</v>
      </c>
      <c r="C31" s="177" t="s">
        <v>220</v>
      </c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>
      <c r="A32" s="177" t="s">
        <v>361</v>
      </c>
      <c r="B32" s="181" t="s">
        <v>230</v>
      </c>
      <c r="C32" s="177" t="s">
        <v>231</v>
      </c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>
      <c r="A33" s="177" t="s">
        <v>361</v>
      </c>
      <c r="B33" s="181" t="s">
        <v>230</v>
      </c>
      <c r="C33" s="177" t="s">
        <v>231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>
      <c r="A34" s="177" t="s">
        <v>361</v>
      </c>
      <c r="B34" s="177" t="s">
        <v>230</v>
      </c>
      <c r="C34" s="177" t="s">
        <v>231</v>
      </c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>
      <c r="A35" s="177" t="s">
        <v>361</v>
      </c>
      <c r="B35" s="181" t="s">
        <v>230</v>
      </c>
      <c r="C35" s="177" t="s">
        <v>236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>
      <c r="A36" s="177" t="s">
        <v>361</v>
      </c>
      <c r="B36" s="181" t="s">
        <v>230</v>
      </c>
      <c r="C36" s="177" t="s">
        <v>235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>
      <c r="A37" s="177" t="s">
        <v>361</v>
      </c>
      <c r="B37" s="181" t="s">
        <v>230</v>
      </c>
      <c r="C37" s="177" t="s">
        <v>222</v>
      </c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>
      <c r="A38" s="177" t="s">
        <v>361</v>
      </c>
      <c r="B38" s="181" t="s">
        <v>232</v>
      </c>
      <c r="C38" s="177" t="s">
        <v>233</v>
      </c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>
      <c r="A39" s="177" t="s">
        <v>361</v>
      </c>
      <c r="B39" s="181" t="s">
        <v>232</v>
      </c>
      <c r="C39" s="177" t="s">
        <v>222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>
      <c r="A40" s="177" t="s">
        <v>361</v>
      </c>
      <c r="B40" s="181" t="s">
        <v>232</v>
      </c>
      <c r="C40" s="177" t="s">
        <v>222</v>
      </c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>
      <c r="A41" s="177" t="s">
        <v>361</v>
      </c>
      <c r="B41" s="181" t="s">
        <v>232</v>
      </c>
      <c r="C41" s="177" t="s">
        <v>235</v>
      </c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>
      <c r="A42" s="177" t="s">
        <v>361</v>
      </c>
      <c r="B42" s="181" t="s">
        <v>232</v>
      </c>
      <c r="C42" s="177" t="s">
        <v>235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>
      <c r="A43" s="177" t="s">
        <v>361</v>
      </c>
      <c r="B43" s="181" t="s">
        <v>232</v>
      </c>
      <c r="C43" s="177" t="s">
        <v>236</v>
      </c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>
      <c r="A44" s="177" t="s">
        <v>361</v>
      </c>
      <c r="B44" s="181" t="s">
        <v>232</v>
      </c>
      <c r="C44" s="177" t="s">
        <v>220</v>
      </c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>
      <c r="A45" s="177" t="s">
        <v>361</v>
      </c>
      <c r="B45" s="181" t="s">
        <v>232</v>
      </c>
      <c r="C45" s="177" t="s">
        <v>233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>
      <c r="A46" s="177" t="s">
        <v>361</v>
      </c>
      <c r="B46" s="181" t="s">
        <v>232</v>
      </c>
      <c r="C46" s="177" t="s">
        <v>379</v>
      </c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>
      <c r="A47" s="177" t="s">
        <v>361</v>
      </c>
      <c r="B47" s="181" t="s">
        <v>232</v>
      </c>
      <c r="C47" s="177" t="s">
        <v>231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>
      <c r="A48" s="177" t="s">
        <v>361</v>
      </c>
      <c r="B48" s="181" t="s">
        <v>232</v>
      </c>
      <c r="C48" s="177" t="s">
        <v>231</v>
      </c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>
      <c r="A49" s="177" t="s">
        <v>361</v>
      </c>
      <c r="B49" s="181" t="s">
        <v>232</v>
      </c>
      <c r="C49" s="177" t="s">
        <v>222</v>
      </c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>
      <c r="A50" s="177" t="s">
        <v>361</v>
      </c>
      <c r="B50" s="181" t="s">
        <v>232</v>
      </c>
      <c r="C50" s="177" t="s">
        <v>220</v>
      </c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>
      <c r="A51" s="177" t="s">
        <v>361</v>
      </c>
      <c r="B51" s="181" t="s">
        <v>237</v>
      </c>
      <c r="C51" s="177" t="s">
        <v>222</v>
      </c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>
      <c r="A52" s="177" t="s">
        <v>361</v>
      </c>
      <c r="B52" s="181" t="s">
        <v>237</v>
      </c>
      <c r="C52" s="177" t="s">
        <v>220</v>
      </c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>
      <c r="A53" s="177" t="s">
        <v>361</v>
      </c>
      <c r="B53" s="181" t="s">
        <v>237</v>
      </c>
      <c r="C53" s="177" t="s">
        <v>231</v>
      </c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>
      <c r="A54" s="177" t="s">
        <v>361</v>
      </c>
      <c r="B54" s="181" t="s">
        <v>237</v>
      </c>
      <c r="C54" s="177" t="s">
        <v>222</v>
      </c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>
      <c r="A55" s="177" t="s">
        <v>361</v>
      </c>
      <c r="B55" s="181" t="s">
        <v>237</v>
      </c>
      <c r="C55" s="177" t="s">
        <v>220</v>
      </c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>
      <c r="A56" s="177" t="s">
        <v>361</v>
      </c>
      <c r="B56" s="181" t="s">
        <v>237</v>
      </c>
      <c r="C56" s="177" t="s">
        <v>224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>
      <c r="A57" s="177" t="s">
        <v>361</v>
      </c>
      <c r="B57" s="181" t="s">
        <v>237</v>
      </c>
      <c r="C57" s="177" t="s">
        <v>379</v>
      </c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>
      <c r="A58" s="177" t="s">
        <v>361</v>
      </c>
      <c r="B58" s="181" t="s">
        <v>237</v>
      </c>
      <c r="C58" s="177" t="s">
        <v>220</v>
      </c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>
      <c r="A59" s="177" t="s">
        <v>361</v>
      </c>
      <c r="B59" s="181" t="s">
        <v>237</v>
      </c>
      <c r="C59" s="177" t="s">
        <v>220</v>
      </c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>
      <c r="A60" s="177" t="s">
        <v>361</v>
      </c>
      <c r="B60" s="181" t="s">
        <v>237</v>
      </c>
      <c r="C60" s="177" t="s">
        <v>220</v>
      </c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>
      <c r="A61" s="177" t="s">
        <v>361</v>
      </c>
      <c r="B61" s="177" t="s">
        <v>237</v>
      </c>
      <c r="C61" s="177" t="s">
        <v>224</v>
      </c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>
      <c r="A62" s="177" t="s">
        <v>361</v>
      </c>
      <c r="B62" s="181" t="s">
        <v>237</v>
      </c>
      <c r="C62" s="177" t="s">
        <v>220</v>
      </c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>
      <c r="A63" s="177" t="s">
        <v>361</v>
      </c>
      <c r="B63" s="181" t="s">
        <v>237</v>
      </c>
      <c r="C63" s="177" t="s">
        <v>222</v>
      </c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>
      <c r="A64" s="177" t="s">
        <v>361</v>
      </c>
      <c r="B64" s="181" t="s">
        <v>238</v>
      </c>
      <c r="C64" s="177" t="s">
        <v>222</v>
      </c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>
      <c r="A65" s="177" t="s">
        <v>361</v>
      </c>
      <c r="B65" s="181" t="s">
        <v>238</v>
      </c>
      <c r="C65" s="177" t="s">
        <v>222</v>
      </c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>
      <c r="A66" s="177" t="s">
        <v>361</v>
      </c>
      <c r="B66" s="181" t="s">
        <v>238</v>
      </c>
      <c r="C66" s="177" t="s">
        <v>227</v>
      </c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>
      <c r="A67" s="177" t="s">
        <v>361</v>
      </c>
      <c r="B67" s="181" t="s">
        <v>238</v>
      </c>
      <c r="C67" s="177" t="s">
        <v>239</v>
      </c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>
      <c r="A68" s="177" t="s">
        <v>361</v>
      </c>
      <c r="B68" s="181" t="s">
        <v>238</v>
      </c>
      <c r="C68" s="177" t="s">
        <v>251</v>
      </c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>
      <c r="A69" s="177" t="s">
        <v>361</v>
      </c>
      <c r="B69" s="181" t="s">
        <v>238</v>
      </c>
      <c r="C69" s="177" t="s">
        <v>220</v>
      </c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>
      <c r="A70" s="177" t="s">
        <v>361</v>
      </c>
      <c r="B70" s="181" t="s">
        <v>238</v>
      </c>
      <c r="C70" s="177" t="s">
        <v>220</v>
      </c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>
      <c r="A71" s="177" t="s">
        <v>361</v>
      </c>
      <c r="B71" s="181" t="s">
        <v>238</v>
      </c>
      <c r="C71" s="177" t="s">
        <v>222</v>
      </c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>
      <c r="A72" s="177" t="s">
        <v>361</v>
      </c>
      <c r="B72" s="181" t="s">
        <v>238</v>
      </c>
      <c r="C72" s="177" t="s">
        <v>227</v>
      </c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>
      <c r="A73" s="177" t="s">
        <v>361</v>
      </c>
      <c r="B73" s="181" t="s">
        <v>238</v>
      </c>
      <c r="C73" s="177" t="s">
        <v>227</v>
      </c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>
      <c r="A74" s="177" t="s">
        <v>361</v>
      </c>
      <c r="B74" s="181" t="s">
        <v>240</v>
      </c>
      <c r="C74" s="177" t="s">
        <v>241</v>
      </c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>
      <c r="A75" s="177" t="s">
        <v>361</v>
      </c>
      <c r="B75" s="181" t="s">
        <v>240</v>
      </c>
      <c r="C75" s="177" t="s">
        <v>241</v>
      </c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>
      <c r="A76" s="177" t="s">
        <v>361</v>
      </c>
      <c r="B76" s="181" t="s">
        <v>240</v>
      </c>
      <c r="C76" s="177" t="s">
        <v>241</v>
      </c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>
      <c r="A77" s="177" t="s">
        <v>361</v>
      </c>
      <c r="B77" s="181" t="s">
        <v>240</v>
      </c>
      <c r="C77" s="177" t="s">
        <v>235</v>
      </c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>
      <c r="A78" s="177" t="s">
        <v>361</v>
      </c>
      <c r="B78" s="181" t="s">
        <v>240</v>
      </c>
      <c r="C78" s="177" t="s">
        <v>235</v>
      </c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>
      <c r="A79" s="177" t="s">
        <v>361</v>
      </c>
      <c r="B79" s="181" t="s">
        <v>240</v>
      </c>
      <c r="C79" s="177" t="s">
        <v>220</v>
      </c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>
      <c r="A80" s="177" t="s">
        <v>361</v>
      </c>
      <c r="B80" s="181" t="s">
        <v>240</v>
      </c>
      <c r="C80" s="177" t="s">
        <v>222</v>
      </c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>
      <c r="A81" s="177" t="s">
        <v>361</v>
      </c>
      <c r="B81" s="181" t="s">
        <v>240</v>
      </c>
      <c r="C81" s="177" t="s">
        <v>220</v>
      </c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>
      <c r="A82" s="177" t="s">
        <v>361</v>
      </c>
      <c r="B82" s="181" t="s">
        <v>240</v>
      </c>
      <c r="C82" s="177" t="s">
        <v>251</v>
      </c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>
      <c r="A83" s="177" t="s">
        <v>361</v>
      </c>
      <c r="B83" s="181" t="s">
        <v>240</v>
      </c>
      <c r="C83" s="177" t="s">
        <v>224</v>
      </c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>
      <c r="A84" s="177" t="s">
        <v>361</v>
      </c>
      <c r="B84" s="181" t="s">
        <v>240</v>
      </c>
      <c r="C84" s="177" t="s">
        <v>220</v>
      </c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>
      <c r="A85" s="177" t="s">
        <v>361</v>
      </c>
      <c r="B85" s="181" t="s">
        <v>240</v>
      </c>
      <c r="C85" s="177" t="s">
        <v>220</v>
      </c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>
      <c r="A86" s="177" t="s">
        <v>361</v>
      </c>
      <c r="B86" s="186" t="s">
        <v>243</v>
      </c>
      <c r="C86" s="177" t="s">
        <v>244</v>
      </c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>
      <c r="A87" s="177" t="s">
        <v>361</v>
      </c>
      <c r="B87" s="186" t="s">
        <v>243</v>
      </c>
      <c r="C87" s="177" t="s">
        <v>244</v>
      </c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>
      <c r="A88" s="177" t="s">
        <v>361</v>
      </c>
      <c r="B88" s="186" t="s">
        <v>243</v>
      </c>
      <c r="C88" s="177" t="s">
        <v>220</v>
      </c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>
      <c r="A89" s="177" t="s">
        <v>361</v>
      </c>
      <c r="B89" s="186" t="s">
        <v>243</v>
      </c>
      <c r="C89" s="177" t="s">
        <v>244</v>
      </c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>
      <c r="A90" s="177" t="s">
        <v>361</v>
      </c>
      <c r="B90" s="186" t="s">
        <v>243</v>
      </c>
      <c r="C90" s="177" t="s">
        <v>244</v>
      </c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>
      <c r="A91" s="177" t="s">
        <v>361</v>
      </c>
      <c r="B91" s="186" t="s">
        <v>243</v>
      </c>
      <c r="C91" s="177" t="s">
        <v>244</v>
      </c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>
      <c r="A92" s="177" t="s">
        <v>361</v>
      </c>
      <c r="B92" s="186" t="s">
        <v>243</v>
      </c>
      <c r="C92" s="177" t="s">
        <v>244</v>
      </c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>
      <c r="A93" s="177" t="s">
        <v>361</v>
      </c>
      <c r="B93" s="187" t="s">
        <v>243</v>
      </c>
      <c r="C93" s="177" t="s">
        <v>231</v>
      </c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>
      <c r="A94" s="177" t="s">
        <v>361</v>
      </c>
      <c r="B94" s="186" t="s">
        <v>243</v>
      </c>
      <c r="C94" s="177" t="s">
        <v>231</v>
      </c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>
      <c r="A95" s="177" t="s">
        <v>361</v>
      </c>
      <c r="B95" s="187" t="s">
        <v>243</v>
      </c>
      <c r="C95" s="177" t="s">
        <v>231</v>
      </c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>
      <c r="A96" s="177" t="s">
        <v>361</v>
      </c>
      <c r="B96" s="187" t="s">
        <v>243</v>
      </c>
      <c r="C96" s="177" t="s">
        <v>220</v>
      </c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>
      <c r="A97" s="177" t="s">
        <v>361</v>
      </c>
      <c r="B97" s="186" t="s">
        <v>243</v>
      </c>
      <c r="C97" s="177" t="s">
        <v>220</v>
      </c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>
      <c r="A98" s="177" t="s">
        <v>361</v>
      </c>
      <c r="B98" s="187" t="s">
        <v>243</v>
      </c>
      <c r="C98" s="177" t="s">
        <v>379</v>
      </c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>
      <c r="A99" s="177" t="s">
        <v>361</v>
      </c>
      <c r="B99" s="186" t="s">
        <v>243</v>
      </c>
      <c r="C99" s="177" t="s">
        <v>220</v>
      </c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>
      <c r="A100" s="177" t="s">
        <v>361</v>
      </c>
      <c r="B100" s="186" t="s">
        <v>243</v>
      </c>
      <c r="C100" s="177" t="s">
        <v>244</v>
      </c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>
      <c r="A101" s="177" t="s">
        <v>361</v>
      </c>
      <c r="B101" s="186" t="s">
        <v>243</v>
      </c>
      <c r="C101" s="177" t="s">
        <v>244</v>
      </c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>
      <c r="A102" s="177" t="s">
        <v>361</v>
      </c>
      <c r="B102" s="181" t="s">
        <v>245</v>
      </c>
      <c r="C102" s="177" t="s">
        <v>222</v>
      </c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>
      <c r="A103" s="177" t="s">
        <v>361</v>
      </c>
      <c r="B103" s="181" t="s">
        <v>245</v>
      </c>
      <c r="C103" s="177" t="s">
        <v>222</v>
      </c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>
      <c r="A104" s="177" t="s">
        <v>361</v>
      </c>
      <c r="B104" s="181" t="s">
        <v>245</v>
      </c>
      <c r="C104" s="177" t="s">
        <v>222</v>
      </c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>
      <c r="A105" s="177" t="s">
        <v>361</v>
      </c>
      <c r="B105" s="181" t="s">
        <v>245</v>
      </c>
      <c r="C105" s="177" t="s">
        <v>233</v>
      </c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>
      <c r="A106" s="177" t="s">
        <v>361</v>
      </c>
      <c r="B106" s="181" t="s">
        <v>245</v>
      </c>
      <c r="C106" s="177" t="s">
        <v>379</v>
      </c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>
      <c r="A107" s="177" t="s">
        <v>361</v>
      </c>
      <c r="B107" s="181" t="s">
        <v>245</v>
      </c>
      <c r="C107" s="177" t="s">
        <v>220</v>
      </c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>
      <c r="A108" s="177" t="s">
        <v>361</v>
      </c>
      <c r="B108" s="181" t="s">
        <v>245</v>
      </c>
      <c r="C108" s="177" t="s">
        <v>231</v>
      </c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>
      <c r="A109" s="177" t="s">
        <v>361</v>
      </c>
      <c r="B109" s="181" t="s">
        <v>245</v>
      </c>
      <c r="C109" s="177" t="s">
        <v>231</v>
      </c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>
      <c r="A110" s="177" t="s">
        <v>361</v>
      </c>
      <c r="B110" s="177" t="s">
        <v>245</v>
      </c>
      <c r="C110" s="177" t="s">
        <v>231</v>
      </c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>
      <c r="A111" s="177" t="s">
        <v>361</v>
      </c>
      <c r="B111" s="181" t="s">
        <v>245</v>
      </c>
      <c r="C111" s="177" t="s">
        <v>220</v>
      </c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>
      <c r="A112" s="177" t="s">
        <v>361</v>
      </c>
      <c r="B112" s="181" t="s">
        <v>245</v>
      </c>
      <c r="C112" s="177" t="s">
        <v>220</v>
      </c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>
      <c r="A113" s="177" t="s">
        <v>361</v>
      </c>
      <c r="B113" s="181" t="s">
        <v>245</v>
      </c>
      <c r="C113" s="177" t="s">
        <v>246</v>
      </c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>
      <c r="A114" s="177" t="s">
        <v>361</v>
      </c>
      <c r="B114" s="181" t="s">
        <v>245</v>
      </c>
      <c r="C114" s="177" t="s">
        <v>246</v>
      </c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>
      <c r="A115" s="177" t="s">
        <v>361</v>
      </c>
      <c r="B115" s="181" t="s">
        <v>247</v>
      </c>
      <c r="C115" s="177" t="s">
        <v>220</v>
      </c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>
      <c r="A116" s="177" t="s">
        <v>361</v>
      </c>
      <c r="B116" s="181" t="s">
        <v>247</v>
      </c>
      <c r="C116" s="177" t="s">
        <v>220</v>
      </c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>
      <c r="A117" s="177" t="s">
        <v>361</v>
      </c>
      <c r="B117" s="181" t="s">
        <v>247</v>
      </c>
      <c r="C117" s="177" t="s">
        <v>244</v>
      </c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>
      <c r="A118" s="177" t="s">
        <v>361</v>
      </c>
      <c r="B118" s="181" t="s">
        <v>247</v>
      </c>
      <c r="C118" s="177" t="s">
        <v>222</v>
      </c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>
      <c r="A119" s="177" t="s">
        <v>361</v>
      </c>
      <c r="B119" s="181" t="s">
        <v>247</v>
      </c>
      <c r="C119" s="177" t="s">
        <v>244</v>
      </c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>
      <c r="A120" s="177" t="s">
        <v>361</v>
      </c>
      <c r="B120" s="181" t="s">
        <v>247</v>
      </c>
      <c r="C120" s="177" t="s">
        <v>220</v>
      </c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>
      <c r="A121" s="177" t="s">
        <v>361</v>
      </c>
      <c r="B121" s="181" t="s">
        <v>247</v>
      </c>
      <c r="C121" s="177" t="s">
        <v>244</v>
      </c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>
      <c r="A122" s="177" t="s">
        <v>361</v>
      </c>
      <c r="B122" s="181" t="s">
        <v>247</v>
      </c>
      <c r="C122" s="177" t="s">
        <v>231</v>
      </c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>
      <c r="A123" s="177" t="s">
        <v>361</v>
      </c>
      <c r="B123" s="181" t="s">
        <v>247</v>
      </c>
      <c r="C123" s="177" t="s">
        <v>244</v>
      </c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>
      <c r="A124" s="177" t="s">
        <v>361</v>
      </c>
      <c r="B124" s="177" t="s">
        <v>248</v>
      </c>
      <c r="C124" s="177" t="s">
        <v>219</v>
      </c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>
      <c r="A125" s="177" t="s">
        <v>361</v>
      </c>
      <c r="B125" s="177" t="s">
        <v>248</v>
      </c>
      <c r="C125" s="177" t="s">
        <v>220</v>
      </c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>
      <c r="A126" s="177" t="s">
        <v>361</v>
      </c>
      <c r="B126" s="177" t="s">
        <v>248</v>
      </c>
      <c r="C126" s="177" t="s">
        <v>219</v>
      </c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>
      <c r="A127" s="177" t="s">
        <v>361</v>
      </c>
      <c r="B127" s="177" t="s">
        <v>248</v>
      </c>
      <c r="C127" s="177" t="s">
        <v>220</v>
      </c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>
      <c r="A128" s="177" t="s">
        <v>361</v>
      </c>
      <c r="B128" s="177" t="s">
        <v>248</v>
      </c>
      <c r="C128" s="177" t="s">
        <v>219</v>
      </c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>
      <c r="A129" s="177" t="s">
        <v>361</v>
      </c>
      <c r="B129" s="177" t="s">
        <v>248</v>
      </c>
      <c r="C129" s="177" t="s">
        <v>231</v>
      </c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>
      <c r="A130" s="177" t="s">
        <v>361</v>
      </c>
      <c r="B130" s="177" t="s">
        <v>248</v>
      </c>
      <c r="C130" s="177" t="s">
        <v>231</v>
      </c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>
      <c r="A131" s="177" t="s">
        <v>361</v>
      </c>
      <c r="B131" s="177" t="s">
        <v>248</v>
      </c>
      <c r="C131" s="177" t="s">
        <v>231</v>
      </c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>
      <c r="A132" s="177" t="s">
        <v>361</v>
      </c>
      <c r="B132" s="177" t="s">
        <v>248</v>
      </c>
      <c r="C132" s="177" t="s">
        <v>231</v>
      </c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>
      <c r="A133" s="177" t="s">
        <v>361</v>
      </c>
      <c r="B133" s="177" t="s">
        <v>248</v>
      </c>
      <c r="C133" s="177" t="s">
        <v>231</v>
      </c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>
      <c r="A134" s="177" t="s">
        <v>361</v>
      </c>
      <c r="B134" s="177" t="s">
        <v>248</v>
      </c>
      <c r="C134" s="177" t="s">
        <v>251</v>
      </c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>
      <c r="A135" s="177" t="s">
        <v>361</v>
      </c>
      <c r="B135" s="177" t="s">
        <v>248</v>
      </c>
      <c r="C135" s="177" t="s">
        <v>222</v>
      </c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>
      <c r="A136" s="177" t="s">
        <v>361</v>
      </c>
      <c r="B136" s="177" t="s">
        <v>248</v>
      </c>
      <c r="C136" s="177" t="s">
        <v>222</v>
      </c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>
      <c r="A137" s="177" t="s">
        <v>361</v>
      </c>
      <c r="B137" s="177" t="s">
        <v>248</v>
      </c>
      <c r="C137" s="177" t="s">
        <v>222</v>
      </c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>
      <c r="A138" s="177" t="s">
        <v>361</v>
      </c>
      <c r="B138" s="181" t="s">
        <v>249</v>
      </c>
      <c r="C138" s="177" t="s">
        <v>222</v>
      </c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>
      <c r="A139" s="177" t="s">
        <v>361</v>
      </c>
      <c r="B139" s="181" t="s">
        <v>249</v>
      </c>
      <c r="C139" s="177" t="s">
        <v>222</v>
      </c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>
      <c r="A140" s="177" t="s">
        <v>361</v>
      </c>
      <c r="B140" s="181" t="s">
        <v>249</v>
      </c>
      <c r="C140" s="177" t="s">
        <v>222</v>
      </c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>
      <c r="A141" s="177" t="s">
        <v>361</v>
      </c>
      <c r="B141" s="181" t="s">
        <v>249</v>
      </c>
      <c r="C141" s="177" t="s">
        <v>222</v>
      </c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>
      <c r="A142" s="177" t="s">
        <v>361</v>
      </c>
      <c r="B142" s="181" t="s">
        <v>249</v>
      </c>
      <c r="C142" s="177" t="s">
        <v>222</v>
      </c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>
      <c r="A143" s="177" t="s">
        <v>361</v>
      </c>
      <c r="B143" s="181" t="s">
        <v>249</v>
      </c>
      <c r="C143" s="177" t="s">
        <v>222</v>
      </c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>
      <c r="A144" s="177" t="s">
        <v>361</v>
      </c>
      <c r="B144" s="181" t="s">
        <v>249</v>
      </c>
      <c r="C144" s="177" t="s">
        <v>220</v>
      </c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>
      <c r="A145" s="177" t="s">
        <v>361</v>
      </c>
      <c r="B145" s="181" t="s">
        <v>249</v>
      </c>
      <c r="C145" s="177" t="s">
        <v>222</v>
      </c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>
      <c r="A146" s="177" t="s">
        <v>361</v>
      </c>
      <c r="B146" s="181" t="s">
        <v>249</v>
      </c>
      <c r="C146" s="177" t="s">
        <v>222</v>
      </c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>
      <c r="A147" s="177" t="s">
        <v>361</v>
      </c>
      <c r="B147" s="181" t="s">
        <v>249</v>
      </c>
      <c r="C147" s="177" t="s">
        <v>251</v>
      </c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>
      <c r="A148" s="177" t="s">
        <v>361</v>
      </c>
      <c r="B148" s="181" t="s">
        <v>249</v>
      </c>
      <c r="C148" s="177" t="s">
        <v>233</v>
      </c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>
      <c r="A149" s="177" t="s">
        <v>361</v>
      </c>
      <c r="B149" s="181" t="s">
        <v>249</v>
      </c>
      <c r="C149" s="177" t="s">
        <v>233</v>
      </c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>
      <c r="A150" s="177" t="s">
        <v>361</v>
      </c>
      <c r="B150" s="181" t="s">
        <v>253</v>
      </c>
      <c r="C150" s="177" t="s">
        <v>222</v>
      </c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>
      <c r="A151" s="177" t="s">
        <v>361</v>
      </c>
      <c r="B151" s="181" t="s">
        <v>253</v>
      </c>
      <c r="C151" s="177" t="s">
        <v>222</v>
      </c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>
      <c r="A152" s="177" t="s">
        <v>361</v>
      </c>
      <c r="B152" s="181" t="s">
        <v>253</v>
      </c>
      <c r="C152" s="177" t="s">
        <v>222</v>
      </c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>
      <c r="A153" s="177" t="s">
        <v>361</v>
      </c>
      <c r="B153" s="181" t="s">
        <v>253</v>
      </c>
      <c r="C153" s="177" t="s">
        <v>231</v>
      </c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>
      <c r="A154" s="177" t="s">
        <v>361</v>
      </c>
      <c r="B154" s="181" t="s">
        <v>253</v>
      </c>
      <c r="C154" s="177" t="s">
        <v>231</v>
      </c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>
      <c r="A155" s="177" t="s">
        <v>361</v>
      </c>
      <c r="B155" s="181" t="s">
        <v>253</v>
      </c>
      <c r="C155" s="177" t="s">
        <v>220</v>
      </c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>
      <c r="A156" s="177" t="s">
        <v>361</v>
      </c>
      <c r="B156" s="181" t="s">
        <v>253</v>
      </c>
      <c r="C156" s="177" t="s">
        <v>220</v>
      </c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>
      <c r="A157" s="177" t="s">
        <v>361</v>
      </c>
      <c r="B157" s="181" t="s">
        <v>253</v>
      </c>
      <c r="C157" s="177" t="s">
        <v>235</v>
      </c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>
      <c r="A158" s="177" t="s">
        <v>361</v>
      </c>
      <c r="B158" s="181" t="s">
        <v>253</v>
      </c>
      <c r="C158" s="177" t="s">
        <v>251</v>
      </c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>
      <c r="A159" s="177" t="s">
        <v>361</v>
      </c>
      <c r="B159" s="181" t="s">
        <v>253</v>
      </c>
      <c r="C159" s="177" t="s">
        <v>231</v>
      </c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>
      <c r="A160" s="177" t="s">
        <v>361</v>
      </c>
      <c r="B160" s="181" t="s">
        <v>253</v>
      </c>
      <c r="C160" s="177" t="s">
        <v>231</v>
      </c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>
      <c r="A161" s="177" t="s">
        <v>361</v>
      </c>
      <c r="B161" s="181" t="s">
        <v>253</v>
      </c>
      <c r="C161" s="177" t="s">
        <v>244</v>
      </c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>
      <c r="A162" s="177" t="s">
        <v>361</v>
      </c>
      <c r="B162" s="181" t="s">
        <v>253</v>
      </c>
      <c r="C162" s="177" t="s">
        <v>235</v>
      </c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>
      <c r="A163" s="177" t="s">
        <v>361</v>
      </c>
      <c r="B163" s="181" t="s">
        <v>255</v>
      </c>
      <c r="C163" s="177" t="s">
        <v>236</v>
      </c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>
      <c r="A164" s="177" t="s">
        <v>361</v>
      </c>
      <c r="B164" s="181" t="s">
        <v>255</v>
      </c>
      <c r="C164" s="177" t="s">
        <v>233</v>
      </c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>
      <c r="A165" s="177" t="s">
        <v>361</v>
      </c>
      <c r="B165" s="181" t="s">
        <v>255</v>
      </c>
      <c r="C165" s="177" t="s">
        <v>233</v>
      </c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>
      <c r="A166" s="177" t="s">
        <v>361</v>
      </c>
      <c r="B166" s="181" t="s">
        <v>255</v>
      </c>
      <c r="C166" s="177" t="s">
        <v>222</v>
      </c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>
      <c r="A167" s="177" t="s">
        <v>361</v>
      </c>
      <c r="B167" s="181" t="s">
        <v>255</v>
      </c>
      <c r="C167" s="177" t="s">
        <v>222</v>
      </c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>
      <c r="A168" s="177" t="s">
        <v>361</v>
      </c>
      <c r="B168" s="181" t="s">
        <v>255</v>
      </c>
      <c r="C168" s="177" t="s">
        <v>231</v>
      </c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>
      <c r="A169" s="177" t="s">
        <v>361</v>
      </c>
      <c r="B169" s="181" t="s">
        <v>255</v>
      </c>
      <c r="C169" s="177" t="s">
        <v>231</v>
      </c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>
      <c r="A170" s="177" t="s">
        <v>361</v>
      </c>
      <c r="B170" s="181" t="s">
        <v>255</v>
      </c>
      <c r="C170" s="177" t="s">
        <v>231</v>
      </c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>
      <c r="A171" s="177" t="s">
        <v>361</v>
      </c>
      <c r="B171" s="181" t="s">
        <v>255</v>
      </c>
      <c r="C171" s="177" t="s">
        <v>231</v>
      </c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>
      <c r="A172" s="177" t="s">
        <v>361</v>
      </c>
      <c r="B172" s="181" t="s">
        <v>255</v>
      </c>
      <c r="C172" s="177" t="s">
        <v>222</v>
      </c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>
      <c r="A173" s="177" t="s">
        <v>361</v>
      </c>
      <c r="B173" s="181" t="s">
        <v>255</v>
      </c>
      <c r="C173" s="177" t="s">
        <v>220</v>
      </c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>
      <c r="A174" s="177" t="s">
        <v>361</v>
      </c>
      <c r="B174" s="181" t="s">
        <v>258</v>
      </c>
      <c r="C174" s="177" t="s">
        <v>220</v>
      </c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>
      <c r="A175" s="177" t="s">
        <v>361</v>
      </c>
      <c r="B175" s="181" t="s">
        <v>258</v>
      </c>
      <c r="C175" s="177" t="s">
        <v>220</v>
      </c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>
      <c r="A176" s="177" t="s">
        <v>361</v>
      </c>
      <c r="B176" s="181" t="s">
        <v>258</v>
      </c>
      <c r="C176" s="177" t="s">
        <v>220</v>
      </c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>
      <c r="A177" s="177" t="s">
        <v>361</v>
      </c>
      <c r="B177" s="181" t="s">
        <v>258</v>
      </c>
      <c r="C177" s="177" t="s">
        <v>241</v>
      </c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>
      <c r="A178" s="177" t="s">
        <v>361</v>
      </c>
      <c r="B178" s="181" t="s">
        <v>258</v>
      </c>
      <c r="C178" s="177" t="s">
        <v>220</v>
      </c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>
      <c r="A179" s="177" t="s">
        <v>361</v>
      </c>
      <c r="B179" s="181" t="s">
        <v>258</v>
      </c>
      <c r="C179" s="177" t="s">
        <v>244</v>
      </c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>
      <c r="A180" s="177" t="s">
        <v>361</v>
      </c>
      <c r="B180" s="181" t="s">
        <v>258</v>
      </c>
      <c r="C180" s="177" t="s">
        <v>244</v>
      </c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>
      <c r="A181" s="177" t="s">
        <v>361</v>
      </c>
      <c r="B181" s="181" t="s">
        <v>258</v>
      </c>
      <c r="C181" s="177" t="s">
        <v>220</v>
      </c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>
      <c r="A182" s="177" t="s">
        <v>361</v>
      </c>
      <c r="B182" s="181" t="s">
        <v>258</v>
      </c>
      <c r="C182" s="177" t="s">
        <v>222</v>
      </c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>
      <c r="A183" s="177" t="s">
        <v>361</v>
      </c>
      <c r="B183" s="181" t="s">
        <v>258</v>
      </c>
      <c r="C183" s="177" t="s">
        <v>233</v>
      </c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>
      <c r="A184" s="177" t="s">
        <v>361</v>
      </c>
      <c r="B184" s="181" t="s">
        <v>258</v>
      </c>
      <c r="C184" s="177" t="s">
        <v>222</v>
      </c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>
      <c r="A185" s="177" t="s">
        <v>361</v>
      </c>
      <c r="B185" s="181" t="s">
        <v>258</v>
      </c>
      <c r="C185" s="177" t="s">
        <v>220</v>
      </c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>
      <c r="A186" s="177" t="s">
        <v>361</v>
      </c>
      <c r="B186" s="181" t="s">
        <v>259</v>
      </c>
      <c r="C186" s="177" t="s">
        <v>222</v>
      </c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>
      <c r="A187" s="177" t="s">
        <v>361</v>
      </c>
      <c r="B187" s="181" t="s">
        <v>259</v>
      </c>
      <c r="C187" s="177" t="s">
        <v>233</v>
      </c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>
      <c r="A188" s="177" t="s">
        <v>361</v>
      </c>
      <c r="B188" s="181" t="s">
        <v>259</v>
      </c>
      <c r="C188" s="177" t="s">
        <v>222</v>
      </c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>
      <c r="A189" s="177" t="s">
        <v>361</v>
      </c>
      <c r="B189" s="181" t="s">
        <v>259</v>
      </c>
      <c r="C189" s="177" t="s">
        <v>222</v>
      </c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>
      <c r="A190" s="177" t="s">
        <v>361</v>
      </c>
      <c r="B190" s="181" t="s">
        <v>259</v>
      </c>
      <c r="C190" s="177" t="s">
        <v>251</v>
      </c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>
      <c r="A191" s="177" t="s">
        <v>361</v>
      </c>
      <c r="B191" s="181" t="s">
        <v>259</v>
      </c>
      <c r="C191" s="177" t="s">
        <v>227</v>
      </c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>
      <c r="A192" s="177" t="s">
        <v>361</v>
      </c>
      <c r="B192" s="181" t="s">
        <v>259</v>
      </c>
      <c r="C192" s="177" t="s">
        <v>224</v>
      </c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>
      <c r="A193" s="177" t="s">
        <v>361</v>
      </c>
      <c r="B193" s="181" t="s">
        <v>259</v>
      </c>
      <c r="C193" s="177" t="s">
        <v>233</v>
      </c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>
      <c r="A194" s="177" t="s">
        <v>361</v>
      </c>
      <c r="B194" s="181" t="s">
        <v>259</v>
      </c>
      <c r="C194" s="177" t="s">
        <v>231</v>
      </c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>
      <c r="A195" s="177" t="s">
        <v>361</v>
      </c>
      <c r="B195" s="181" t="s">
        <v>259</v>
      </c>
      <c r="C195" s="177" t="s">
        <v>222</v>
      </c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>
      <c r="A196" s="177" t="s">
        <v>361</v>
      </c>
      <c r="B196" s="181" t="s">
        <v>264</v>
      </c>
      <c r="C196" s="177" t="s">
        <v>220</v>
      </c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>
      <c r="A197" s="177" t="s">
        <v>361</v>
      </c>
      <c r="B197" s="181" t="s">
        <v>264</v>
      </c>
      <c r="C197" s="177" t="s">
        <v>220</v>
      </c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>
      <c r="A198" s="177" t="s">
        <v>361</v>
      </c>
      <c r="B198" s="181" t="s">
        <v>264</v>
      </c>
      <c r="C198" s="177" t="s">
        <v>222</v>
      </c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>
      <c r="A199" s="177" t="s">
        <v>361</v>
      </c>
      <c r="B199" s="181" t="s">
        <v>264</v>
      </c>
      <c r="C199" s="177" t="s">
        <v>251</v>
      </c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>
      <c r="A200" s="177" t="s">
        <v>361</v>
      </c>
      <c r="B200" s="181" t="s">
        <v>264</v>
      </c>
      <c r="C200" s="177" t="s">
        <v>227</v>
      </c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>
      <c r="A201" s="177" t="s">
        <v>361</v>
      </c>
      <c r="B201" s="181" t="s">
        <v>264</v>
      </c>
      <c r="C201" s="177" t="s">
        <v>220</v>
      </c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>
      <c r="A202" s="177" t="s">
        <v>361</v>
      </c>
      <c r="B202" s="181" t="s">
        <v>264</v>
      </c>
      <c r="C202" s="177" t="s">
        <v>220</v>
      </c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>
      <c r="A203" s="177" t="s">
        <v>361</v>
      </c>
      <c r="B203" s="181" t="s">
        <v>264</v>
      </c>
      <c r="C203" s="177" t="s">
        <v>231</v>
      </c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>
      <c r="A204" s="177" t="s">
        <v>361</v>
      </c>
      <c r="B204" s="177" t="s">
        <v>264</v>
      </c>
      <c r="C204" s="177" t="s">
        <v>231</v>
      </c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>
      <c r="A205" s="177" t="s">
        <v>361</v>
      </c>
      <c r="B205" s="181" t="s">
        <v>264</v>
      </c>
      <c r="C205" s="177" t="s">
        <v>231</v>
      </c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>
      <c r="A206" s="177" t="s">
        <v>361</v>
      </c>
      <c r="B206" s="181" t="s">
        <v>264</v>
      </c>
      <c r="C206" s="177" t="s">
        <v>251</v>
      </c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>
      <c r="A207" s="177" t="s">
        <v>361</v>
      </c>
      <c r="B207" s="181" t="s">
        <v>264</v>
      </c>
      <c r="C207" s="177" t="s">
        <v>233</v>
      </c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>
      <c r="A208" s="177" t="s">
        <v>361</v>
      </c>
      <c r="B208" s="181" t="s">
        <v>265</v>
      </c>
      <c r="C208" s="177" t="s">
        <v>220</v>
      </c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>
      <c r="A209" s="177" t="s">
        <v>361</v>
      </c>
      <c r="B209" s="181" t="s">
        <v>265</v>
      </c>
      <c r="C209" s="177" t="s">
        <v>220</v>
      </c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>
      <c r="A210" s="177" t="s">
        <v>361</v>
      </c>
      <c r="B210" s="181" t="s">
        <v>265</v>
      </c>
      <c r="C210" s="177" t="s">
        <v>220</v>
      </c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>
      <c r="A211" s="177" t="s">
        <v>361</v>
      </c>
      <c r="B211" s="181" t="s">
        <v>265</v>
      </c>
      <c r="C211" s="177" t="s">
        <v>219</v>
      </c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>
      <c r="A212" s="177" t="s">
        <v>361</v>
      </c>
      <c r="B212" s="181" t="s">
        <v>265</v>
      </c>
      <c r="C212" s="177" t="s">
        <v>220</v>
      </c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>
      <c r="A213" s="177" t="s">
        <v>361</v>
      </c>
      <c r="B213" s="181" t="s">
        <v>265</v>
      </c>
      <c r="C213" s="177" t="s">
        <v>220</v>
      </c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>
      <c r="A214" s="177" t="s">
        <v>361</v>
      </c>
      <c r="B214" s="181" t="s">
        <v>265</v>
      </c>
      <c r="C214" s="177" t="s">
        <v>251</v>
      </c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>
      <c r="A215" s="177" t="s">
        <v>361</v>
      </c>
      <c r="B215" s="181" t="s">
        <v>265</v>
      </c>
      <c r="C215" s="177" t="s">
        <v>251</v>
      </c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>
      <c r="A216" s="177" t="s">
        <v>361</v>
      </c>
      <c r="B216" s="181" t="s">
        <v>265</v>
      </c>
      <c r="C216" s="177" t="s">
        <v>224</v>
      </c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>
      <c r="A217" s="177" t="s">
        <v>361</v>
      </c>
      <c r="B217" s="181" t="s">
        <v>265</v>
      </c>
      <c r="C217" s="177" t="s">
        <v>227</v>
      </c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>
      <c r="A218" s="177" t="s">
        <v>361</v>
      </c>
      <c r="B218" s="181" t="s">
        <v>265</v>
      </c>
      <c r="C218" s="177" t="s">
        <v>224</v>
      </c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>
      <c r="A219" s="177" t="s">
        <v>361</v>
      </c>
      <c r="B219" s="181" t="s">
        <v>265</v>
      </c>
      <c r="C219" s="177" t="s">
        <v>220</v>
      </c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>
      <c r="A220" s="177" t="s">
        <v>361</v>
      </c>
      <c r="B220" s="181" t="s">
        <v>265</v>
      </c>
      <c r="C220" s="177" t="s">
        <v>224</v>
      </c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>
      <c r="A221" s="177" t="s">
        <v>361</v>
      </c>
      <c r="B221" s="181" t="s">
        <v>265</v>
      </c>
      <c r="C221" s="177" t="s">
        <v>220</v>
      </c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>
      <c r="A222" s="177" t="s">
        <v>361</v>
      </c>
      <c r="B222" s="181" t="s">
        <v>265</v>
      </c>
      <c r="C222" s="177" t="s">
        <v>220</v>
      </c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>
      <c r="A223" s="177" t="s">
        <v>361</v>
      </c>
      <c r="B223" s="181" t="s">
        <v>266</v>
      </c>
      <c r="C223" s="177" t="s">
        <v>220</v>
      </c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>
      <c r="A224" s="177" t="s">
        <v>361</v>
      </c>
      <c r="B224" s="181" t="s">
        <v>266</v>
      </c>
      <c r="C224" s="177" t="s">
        <v>220</v>
      </c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>
      <c r="A225" s="177" t="s">
        <v>361</v>
      </c>
      <c r="B225" s="181" t="s">
        <v>266</v>
      </c>
      <c r="C225" s="177" t="s">
        <v>220</v>
      </c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>
      <c r="A226" s="177" t="s">
        <v>361</v>
      </c>
      <c r="B226" s="181" t="s">
        <v>266</v>
      </c>
      <c r="C226" s="177" t="s">
        <v>251</v>
      </c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>
      <c r="A227" s="177" t="s">
        <v>361</v>
      </c>
      <c r="B227" s="181" t="s">
        <v>266</v>
      </c>
      <c r="C227" s="177" t="s">
        <v>251</v>
      </c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>
      <c r="A228" s="177" t="s">
        <v>361</v>
      </c>
      <c r="B228" s="181" t="s">
        <v>266</v>
      </c>
      <c r="C228" s="177" t="s">
        <v>236</v>
      </c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>
      <c r="A229" s="177" t="s">
        <v>361</v>
      </c>
      <c r="B229" s="181" t="s">
        <v>266</v>
      </c>
      <c r="C229" s="177" t="s">
        <v>251</v>
      </c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>
      <c r="A230" s="177" t="s">
        <v>361</v>
      </c>
      <c r="B230" s="181" t="s">
        <v>266</v>
      </c>
      <c r="C230" s="177" t="s">
        <v>233</v>
      </c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>
      <c r="A231" s="177" t="s">
        <v>361</v>
      </c>
      <c r="B231" s="181" t="s">
        <v>266</v>
      </c>
      <c r="C231" s="177" t="s">
        <v>233</v>
      </c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>
      <c r="A232" s="177" t="s">
        <v>361</v>
      </c>
      <c r="B232" s="181" t="s">
        <v>266</v>
      </c>
      <c r="C232" s="177" t="s">
        <v>251</v>
      </c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>
      <c r="A233" s="177" t="s">
        <v>361</v>
      </c>
      <c r="B233" s="181" t="s">
        <v>266</v>
      </c>
      <c r="C233" s="177" t="s">
        <v>251</v>
      </c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>
      <c r="A234" s="177" t="s">
        <v>361</v>
      </c>
      <c r="B234" s="181" t="s">
        <v>267</v>
      </c>
      <c r="C234" s="177" t="s">
        <v>220</v>
      </c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>
      <c r="A235" s="177" t="s">
        <v>361</v>
      </c>
      <c r="B235" s="181" t="s">
        <v>267</v>
      </c>
      <c r="C235" s="177" t="s">
        <v>251</v>
      </c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>
      <c r="A236" s="177" t="s">
        <v>361</v>
      </c>
      <c r="B236" s="181" t="s">
        <v>267</v>
      </c>
      <c r="C236" s="177" t="s">
        <v>244</v>
      </c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>
      <c r="A237" s="177" t="s">
        <v>361</v>
      </c>
      <c r="B237" s="181" t="s">
        <v>267</v>
      </c>
      <c r="C237" s="177" t="s">
        <v>251</v>
      </c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>
      <c r="A238" s="177" t="s">
        <v>361</v>
      </c>
      <c r="B238" s="181" t="s">
        <v>267</v>
      </c>
      <c r="C238" s="177" t="s">
        <v>251</v>
      </c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>
      <c r="A239" s="177" t="s">
        <v>361</v>
      </c>
      <c r="B239" s="181" t="s">
        <v>267</v>
      </c>
      <c r="C239" s="177" t="s">
        <v>220</v>
      </c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>
      <c r="A240" s="177" t="s">
        <v>361</v>
      </c>
      <c r="B240" s="181" t="s">
        <v>267</v>
      </c>
      <c r="C240" s="177" t="s">
        <v>251</v>
      </c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>
      <c r="A241" s="177" t="s">
        <v>361</v>
      </c>
      <c r="B241" s="181" t="s">
        <v>267</v>
      </c>
      <c r="C241" s="177" t="s">
        <v>251</v>
      </c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>
      <c r="A242" s="177" t="s">
        <v>361</v>
      </c>
      <c r="B242" s="181" t="s">
        <v>267</v>
      </c>
      <c r="C242" s="177" t="s">
        <v>251</v>
      </c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>
      <c r="A243" s="177" t="s">
        <v>361</v>
      </c>
      <c r="B243" s="181" t="s">
        <v>267</v>
      </c>
      <c r="C243" s="177" t="s">
        <v>251</v>
      </c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>
      <c r="A244" s="177" t="s">
        <v>361</v>
      </c>
      <c r="B244" s="181" t="s">
        <v>267</v>
      </c>
      <c r="C244" s="177" t="s">
        <v>251</v>
      </c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>
      <c r="A245" s="177" t="s">
        <v>361</v>
      </c>
      <c r="B245" s="181" t="s">
        <v>267</v>
      </c>
      <c r="C245" s="177" t="s">
        <v>244</v>
      </c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>
      <c r="A246" s="177" t="s">
        <v>361</v>
      </c>
      <c r="B246" s="181" t="s">
        <v>267</v>
      </c>
      <c r="C246" s="177" t="s">
        <v>220</v>
      </c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>
      <c r="A247" s="177" t="s">
        <v>361</v>
      </c>
      <c r="B247" s="181" t="s">
        <v>267</v>
      </c>
      <c r="C247" s="177" t="s">
        <v>220</v>
      </c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>
      <c r="A248" s="177" t="s">
        <v>361</v>
      </c>
      <c r="B248" s="181" t="s">
        <v>267</v>
      </c>
      <c r="C248" s="177" t="s">
        <v>251</v>
      </c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>
      <c r="A249" s="177" t="s">
        <v>361</v>
      </c>
      <c r="B249" s="181" t="s">
        <v>267</v>
      </c>
      <c r="C249" s="177" t="s">
        <v>251</v>
      </c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>
      <c r="A250" s="177" t="s">
        <v>361</v>
      </c>
      <c r="B250" s="181" t="s">
        <v>268</v>
      </c>
      <c r="C250" s="177" t="s">
        <v>220</v>
      </c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>
      <c r="A251" s="177" t="s">
        <v>361</v>
      </c>
      <c r="B251" s="181" t="s">
        <v>268</v>
      </c>
      <c r="C251" s="177" t="s">
        <v>222</v>
      </c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>
      <c r="A252" s="177" t="s">
        <v>361</v>
      </c>
      <c r="B252" s="181" t="s">
        <v>268</v>
      </c>
      <c r="C252" s="177" t="s">
        <v>236</v>
      </c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>
      <c r="A253" s="177" t="s">
        <v>361</v>
      </c>
      <c r="B253" s="181" t="s">
        <v>268</v>
      </c>
      <c r="C253" s="177" t="s">
        <v>236</v>
      </c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>
      <c r="A254" s="177" t="s">
        <v>361</v>
      </c>
      <c r="B254" s="181" t="s">
        <v>268</v>
      </c>
      <c r="C254" s="177" t="s">
        <v>220</v>
      </c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>
      <c r="A255" s="177" t="s">
        <v>361</v>
      </c>
      <c r="B255" s="181" t="s">
        <v>268</v>
      </c>
      <c r="C255" s="177" t="s">
        <v>222</v>
      </c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>
      <c r="A256" s="177" t="s">
        <v>361</v>
      </c>
      <c r="B256" s="181" t="s">
        <v>268</v>
      </c>
      <c r="C256" s="177" t="s">
        <v>222</v>
      </c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>
      <c r="A257" s="177" t="s">
        <v>361</v>
      </c>
      <c r="B257" s="181" t="s">
        <v>268</v>
      </c>
      <c r="C257" s="177" t="s">
        <v>236</v>
      </c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>
      <c r="A258" s="177" t="s">
        <v>361</v>
      </c>
      <c r="B258" s="181" t="s">
        <v>268</v>
      </c>
      <c r="C258" s="177" t="s">
        <v>222</v>
      </c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>
      <c r="A259" s="177" t="s">
        <v>361</v>
      </c>
      <c r="B259" s="181" t="s">
        <v>268</v>
      </c>
      <c r="C259" s="177" t="s">
        <v>222</v>
      </c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>
      <c r="A260" s="177" t="s">
        <v>361</v>
      </c>
      <c r="B260" s="181" t="s">
        <v>271</v>
      </c>
      <c r="C260" s="177" t="s">
        <v>222</v>
      </c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>
      <c r="A261" s="177" t="s">
        <v>361</v>
      </c>
      <c r="B261" s="177" t="s">
        <v>271</v>
      </c>
      <c r="C261" s="177" t="s">
        <v>222</v>
      </c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>
      <c r="A262" s="177" t="s">
        <v>361</v>
      </c>
      <c r="B262" s="181" t="s">
        <v>271</v>
      </c>
      <c r="C262" s="177" t="s">
        <v>222</v>
      </c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>
      <c r="A263" s="177" t="s">
        <v>361</v>
      </c>
      <c r="B263" s="177" t="s">
        <v>271</v>
      </c>
      <c r="C263" s="177" t="s">
        <v>222</v>
      </c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>
      <c r="A264" s="177" t="s">
        <v>361</v>
      </c>
      <c r="B264" s="181" t="s">
        <v>271</v>
      </c>
      <c r="C264" s="177" t="s">
        <v>222</v>
      </c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>
      <c r="A265" s="177" t="s">
        <v>361</v>
      </c>
      <c r="B265" s="181" t="s">
        <v>271</v>
      </c>
      <c r="C265" s="177" t="s">
        <v>222</v>
      </c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>
      <c r="A266" s="177" t="s">
        <v>361</v>
      </c>
      <c r="B266" s="181" t="s">
        <v>271</v>
      </c>
      <c r="C266" s="177" t="s">
        <v>222</v>
      </c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>
      <c r="A267" s="177" t="s">
        <v>361</v>
      </c>
      <c r="B267" s="181" t="s">
        <v>271</v>
      </c>
      <c r="C267" s="177" t="s">
        <v>273</v>
      </c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>
      <c r="A268" s="177" t="s">
        <v>361</v>
      </c>
      <c r="B268" s="181" t="s">
        <v>271</v>
      </c>
      <c r="C268" s="177" t="s">
        <v>219</v>
      </c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>
      <c r="A269" s="177" t="s">
        <v>361</v>
      </c>
      <c r="B269" s="181" t="s">
        <v>271</v>
      </c>
      <c r="C269" s="177" t="s">
        <v>272</v>
      </c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>
      <c r="A270" s="177" t="s">
        <v>361</v>
      </c>
      <c r="B270" s="181" t="s">
        <v>271</v>
      </c>
      <c r="C270" s="177" t="s">
        <v>222</v>
      </c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>
      <c r="A271" s="177" t="s">
        <v>361</v>
      </c>
      <c r="B271" s="181" t="s">
        <v>271</v>
      </c>
      <c r="C271" s="177" t="s">
        <v>222</v>
      </c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>
      <c r="A272" s="177" t="s">
        <v>361</v>
      </c>
      <c r="B272" s="181" t="s">
        <v>271</v>
      </c>
      <c r="C272" s="177" t="s">
        <v>222</v>
      </c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>
      <c r="A273" s="177" t="s">
        <v>361</v>
      </c>
      <c r="B273" s="181" t="s">
        <v>274</v>
      </c>
      <c r="C273" s="177" t="s">
        <v>222</v>
      </c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>
      <c r="A274" s="177" t="s">
        <v>361</v>
      </c>
      <c r="B274" s="181" t="s">
        <v>274</v>
      </c>
      <c r="C274" s="177" t="s">
        <v>220</v>
      </c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>
      <c r="A275" s="177" t="s">
        <v>361</v>
      </c>
      <c r="B275" s="181" t="s">
        <v>274</v>
      </c>
      <c r="C275" s="177" t="s">
        <v>220</v>
      </c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>
      <c r="A276" s="177" t="s">
        <v>361</v>
      </c>
      <c r="B276" s="181" t="s">
        <v>274</v>
      </c>
      <c r="C276" s="177" t="s">
        <v>231</v>
      </c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>
      <c r="A277" s="177" t="s">
        <v>361</v>
      </c>
      <c r="B277" s="181" t="s">
        <v>274</v>
      </c>
      <c r="C277" s="177" t="s">
        <v>231</v>
      </c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>
      <c r="A278" s="177" t="s">
        <v>361</v>
      </c>
      <c r="B278" s="181" t="s">
        <v>274</v>
      </c>
      <c r="C278" s="177" t="s">
        <v>222</v>
      </c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>
      <c r="A279" s="177" t="s">
        <v>361</v>
      </c>
      <c r="B279" s="181" t="s">
        <v>274</v>
      </c>
      <c r="C279" s="177" t="s">
        <v>220</v>
      </c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>
      <c r="A280" s="177" t="s">
        <v>361</v>
      </c>
      <c r="B280" s="181" t="s">
        <v>274</v>
      </c>
      <c r="C280" s="177" t="s">
        <v>220</v>
      </c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>
      <c r="A281" s="177" t="s">
        <v>361</v>
      </c>
      <c r="B281" s="181" t="s">
        <v>275</v>
      </c>
      <c r="C281" s="177" t="s">
        <v>244</v>
      </c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>
      <c r="A282" s="177" t="s">
        <v>361</v>
      </c>
      <c r="B282" s="181" t="s">
        <v>275</v>
      </c>
      <c r="C282" s="177" t="s">
        <v>222</v>
      </c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>
      <c r="A283" s="177" t="s">
        <v>361</v>
      </c>
      <c r="B283" s="181" t="s">
        <v>275</v>
      </c>
      <c r="C283" s="177" t="s">
        <v>222</v>
      </c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>
      <c r="A284" s="177" t="s">
        <v>361</v>
      </c>
      <c r="B284" s="181" t="s">
        <v>275</v>
      </c>
      <c r="C284" s="177" t="s">
        <v>222</v>
      </c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>
      <c r="A285" s="177" t="s">
        <v>361</v>
      </c>
      <c r="B285" s="181" t="s">
        <v>275</v>
      </c>
      <c r="C285" s="177" t="s">
        <v>222</v>
      </c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>
      <c r="A286" s="177" t="s">
        <v>361</v>
      </c>
      <c r="B286" s="181" t="s">
        <v>276</v>
      </c>
      <c r="C286" s="177" t="s">
        <v>220</v>
      </c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>
      <c r="A287" s="177" t="s">
        <v>361</v>
      </c>
      <c r="B287" s="177" t="s">
        <v>276</v>
      </c>
      <c r="C287" s="177" t="s">
        <v>220</v>
      </c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>
      <c r="A288" s="177" t="s">
        <v>361</v>
      </c>
      <c r="B288" s="181" t="s">
        <v>276</v>
      </c>
      <c r="C288" s="177" t="s">
        <v>220</v>
      </c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>
      <c r="A289" s="177" t="s">
        <v>361</v>
      </c>
      <c r="B289" s="177" t="s">
        <v>276</v>
      </c>
      <c r="C289" s="177" t="s">
        <v>222</v>
      </c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>
      <c r="A290" s="177" t="s">
        <v>361</v>
      </c>
      <c r="B290" s="181" t="s">
        <v>276</v>
      </c>
      <c r="C290" s="177" t="s">
        <v>227</v>
      </c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>
      <c r="A291" s="177" t="s">
        <v>361</v>
      </c>
      <c r="B291" s="181" t="s">
        <v>276</v>
      </c>
      <c r="C291" s="177" t="s">
        <v>220</v>
      </c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>
      <c r="A292" s="177" t="s">
        <v>361</v>
      </c>
      <c r="B292" s="181" t="s">
        <v>276</v>
      </c>
      <c r="C292" s="177" t="s">
        <v>220</v>
      </c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>
      <c r="A293" s="177" t="s">
        <v>361</v>
      </c>
      <c r="B293" s="181" t="s">
        <v>278</v>
      </c>
      <c r="C293" s="177" t="s">
        <v>222</v>
      </c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>
      <c r="A294" s="177" t="s">
        <v>361</v>
      </c>
      <c r="B294" s="181" t="s">
        <v>278</v>
      </c>
      <c r="C294" s="177" t="s">
        <v>220</v>
      </c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>
      <c r="A295" s="177" t="s">
        <v>361</v>
      </c>
      <c r="B295" s="181" t="s">
        <v>278</v>
      </c>
      <c r="C295" s="177" t="s">
        <v>244</v>
      </c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>
      <c r="A296" s="177" t="s">
        <v>361</v>
      </c>
      <c r="B296" s="181" t="s">
        <v>278</v>
      </c>
      <c r="C296" s="177" t="s">
        <v>222</v>
      </c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>
      <c r="A297" s="177" t="s">
        <v>361</v>
      </c>
      <c r="B297" s="181" t="s">
        <v>278</v>
      </c>
      <c r="C297" s="177" t="s">
        <v>231</v>
      </c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>
      <c r="A298" s="177" t="s">
        <v>361</v>
      </c>
      <c r="B298" s="181" t="s">
        <v>278</v>
      </c>
      <c r="C298" s="177" t="s">
        <v>244</v>
      </c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>
      <c r="A299" s="177" t="s">
        <v>361</v>
      </c>
      <c r="B299" s="181" t="s">
        <v>278</v>
      </c>
      <c r="C299" s="177" t="s">
        <v>244</v>
      </c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>
      <c r="A300" s="177" t="s">
        <v>361</v>
      </c>
      <c r="B300" s="181" t="s">
        <v>278</v>
      </c>
      <c r="C300" s="177" t="s">
        <v>222</v>
      </c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>
      <c r="A301" s="177" t="s">
        <v>361</v>
      </c>
      <c r="B301" s="181" t="s">
        <v>278</v>
      </c>
      <c r="C301" s="177" t="s">
        <v>222</v>
      </c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>
      <c r="A302" s="177" t="s">
        <v>361</v>
      </c>
      <c r="B302" s="181" t="s">
        <v>278</v>
      </c>
      <c r="C302" s="177" t="s">
        <v>222</v>
      </c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>
      <c r="A303" s="177" t="s">
        <v>386</v>
      </c>
      <c r="B303" s="181" t="s">
        <v>279</v>
      </c>
      <c r="C303" s="177" t="s">
        <v>233</v>
      </c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>
      <c r="A304" s="177" t="s">
        <v>386</v>
      </c>
      <c r="B304" s="181" t="s">
        <v>279</v>
      </c>
      <c r="C304" s="177" t="s">
        <v>233</v>
      </c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>
      <c r="A305" s="177" t="s">
        <v>386</v>
      </c>
      <c r="B305" s="181" t="s">
        <v>279</v>
      </c>
      <c r="C305" s="177" t="s">
        <v>220</v>
      </c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>
      <c r="A306" s="177" t="s">
        <v>386</v>
      </c>
      <c r="B306" s="181" t="s">
        <v>279</v>
      </c>
      <c r="C306" s="177" t="s">
        <v>219</v>
      </c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>
      <c r="A307" s="177" t="s">
        <v>386</v>
      </c>
      <c r="B307" s="181" t="s">
        <v>279</v>
      </c>
      <c r="C307" s="177" t="s">
        <v>233</v>
      </c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>
      <c r="A308" s="177" t="s">
        <v>386</v>
      </c>
      <c r="B308" s="181" t="s">
        <v>279</v>
      </c>
      <c r="C308" s="177" t="s">
        <v>231</v>
      </c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>
      <c r="A309" s="177" t="s">
        <v>386</v>
      </c>
      <c r="B309" s="181" t="s">
        <v>279</v>
      </c>
      <c r="C309" s="177" t="s">
        <v>222</v>
      </c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>
      <c r="A310" s="177" t="s">
        <v>386</v>
      </c>
      <c r="B310" s="181" t="s">
        <v>279</v>
      </c>
      <c r="C310" s="177" t="s">
        <v>220</v>
      </c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>
      <c r="A311" s="177" t="s">
        <v>386</v>
      </c>
      <c r="B311" s="181" t="s">
        <v>279</v>
      </c>
      <c r="C311" s="177" t="s">
        <v>222</v>
      </c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>
      <c r="A312" s="177" t="s">
        <v>386</v>
      </c>
      <c r="B312" s="181" t="s">
        <v>279</v>
      </c>
      <c r="C312" s="177" t="s">
        <v>222</v>
      </c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>
      <c r="A313" s="177" t="s">
        <v>386</v>
      </c>
      <c r="B313" s="181" t="s">
        <v>280</v>
      </c>
      <c r="C313" s="177" t="s">
        <v>233</v>
      </c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>
      <c r="A314" s="177" t="s">
        <v>386</v>
      </c>
      <c r="B314" s="177" t="s">
        <v>280</v>
      </c>
      <c r="C314" s="177" t="s">
        <v>231</v>
      </c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>
      <c r="A315" s="177" t="s">
        <v>386</v>
      </c>
      <c r="B315" s="181" t="s">
        <v>280</v>
      </c>
      <c r="C315" s="177" t="s">
        <v>222</v>
      </c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>
      <c r="A316" s="177" t="s">
        <v>386</v>
      </c>
      <c r="B316" s="177" t="s">
        <v>280</v>
      </c>
      <c r="C316" s="177" t="s">
        <v>224</v>
      </c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>
      <c r="A317" s="177" t="s">
        <v>386</v>
      </c>
      <c r="B317" s="181" t="s">
        <v>280</v>
      </c>
      <c r="C317" s="177" t="s">
        <v>222</v>
      </c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>
      <c r="A318" s="177" t="s">
        <v>386</v>
      </c>
      <c r="B318" s="181" t="s">
        <v>280</v>
      </c>
      <c r="C318" s="177" t="s">
        <v>233</v>
      </c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>
      <c r="A319" s="177" t="s">
        <v>386</v>
      </c>
      <c r="B319" s="181" t="s">
        <v>280</v>
      </c>
      <c r="C319" s="177" t="s">
        <v>233</v>
      </c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>
      <c r="A320" s="177" t="s">
        <v>386</v>
      </c>
      <c r="B320" s="181" t="s">
        <v>280</v>
      </c>
      <c r="C320" s="177" t="s">
        <v>222</v>
      </c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>
      <c r="A321" s="177" t="s">
        <v>386</v>
      </c>
      <c r="B321" s="181" t="s">
        <v>280</v>
      </c>
      <c r="C321" s="177" t="s">
        <v>222</v>
      </c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>
      <c r="A322" s="177" t="s">
        <v>386</v>
      </c>
      <c r="B322" s="181" t="s">
        <v>280</v>
      </c>
      <c r="C322" s="177" t="s">
        <v>220</v>
      </c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>
      <c r="A323" s="177" t="s">
        <v>386</v>
      </c>
      <c r="B323" s="181" t="s">
        <v>281</v>
      </c>
      <c r="C323" s="177" t="s">
        <v>222</v>
      </c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>
      <c r="A324" s="177" t="s">
        <v>386</v>
      </c>
      <c r="B324" s="181" t="s">
        <v>281</v>
      </c>
      <c r="C324" s="177" t="s">
        <v>222</v>
      </c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>
      <c r="A325" s="177" t="s">
        <v>386</v>
      </c>
      <c r="B325" s="181" t="s">
        <v>281</v>
      </c>
      <c r="C325" s="177" t="s">
        <v>233</v>
      </c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>
      <c r="A326" s="177" t="s">
        <v>386</v>
      </c>
      <c r="B326" s="181" t="s">
        <v>281</v>
      </c>
      <c r="C326" s="177" t="s">
        <v>233</v>
      </c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>
      <c r="A327" s="177" t="s">
        <v>386</v>
      </c>
      <c r="B327" s="181" t="s">
        <v>281</v>
      </c>
      <c r="C327" s="177" t="s">
        <v>233</v>
      </c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>
      <c r="A328" s="177" t="s">
        <v>387</v>
      </c>
      <c r="B328" s="181" t="s">
        <v>282</v>
      </c>
      <c r="C328" s="177" t="s">
        <v>233</v>
      </c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>
      <c r="A329" s="177" t="s">
        <v>387</v>
      </c>
      <c r="B329" s="181" t="s">
        <v>282</v>
      </c>
      <c r="C329" s="177" t="s">
        <v>233</v>
      </c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>
      <c r="A330" s="177" t="s">
        <v>387</v>
      </c>
      <c r="B330" s="181" t="s">
        <v>282</v>
      </c>
      <c r="C330" s="177" t="s">
        <v>233</v>
      </c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>
      <c r="A331" s="177" t="s">
        <v>387</v>
      </c>
      <c r="B331" s="181" t="s">
        <v>282</v>
      </c>
      <c r="C331" s="177" t="s">
        <v>233</v>
      </c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>
      <c r="A332" s="177" t="s">
        <v>387</v>
      </c>
      <c r="B332" s="181" t="s">
        <v>282</v>
      </c>
      <c r="C332" s="177" t="s">
        <v>233</v>
      </c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>
      <c r="A333" s="177" t="s">
        <v>387</v>
      </c>
      <c r="B333" s="181" t="s">
        <v>282</v>
      </c>
      <c r="C333" s="177" t="s">
        <v>233</v>
      </c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>
      <c r="A334" s="177" t="s">
        <v>387</v>
      </c>
      <c r="B334" s="181" t="s">
        <v>283</v>
      </c>
      <c r="C334" s="177" t="s">
        <v>233</v>
      </c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>
      <c r="A335" s="177" t="s">
        <v>387</v>
      </c>
      <c r="B335" s="177" t="s">
        <v>283</v>
      </c>
      <c r="C335" s="177" t="s">
        <v>233</v>
      </c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>
      <c r="A336" s="177" t="s">
        <v>387</v>
      </c>
      <c r="B336" s="181" t="s">
        <v>283</v>
      </c>
      <c r="C336" s="177" t="s">
        <v>233</v>
      </c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>
      <c r="A337" s="177" t="s">
        <v>387</v>
      </c>
      <c r="B337" s="181" t="s">
        <v>283</v>
      </c>
      <c r="C337" s="177" t="s">
        <v>233</v>
      </c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>
      <c r="A338" s="177" t="s">
        <v>387</v>
      </c>
      <c r="B338" s="181" t="s">
        <v>283</v>
      </c>
      <c r="C338" s="177" t="s">
        <v>233</v>
      </c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>
      <c r="A339" s="177" t="s">
        <v>387</v>
      </c>
      <c r="B339" s="181" t="s">
        <v>283</v>
      </c>
      <c r="C339" s="177" t="s">
        <v>233</v>
      </c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>
      <c r="A340" s="177" t="s">
        <v>387</v>
      </c>
      <c r="B340" s="181" t="s">
        <v>283</v>
      </c>
      <c r="C340" s="177" t="s">
        <v>233</v>
      </c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>
      <c r="A341" s="177" t="s">
        <v>387</v>
      </c>
      <c r="B341" s="181" t="s">
        <v>283</v>
      </c>
      <c r="C341" s="177" t="s">
        <v>233</v>
      </c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>
      <c r="A342" s="177" t="s">
        <v>387</v>
      </c>
      <c r="B342" s="181" t="s">
        <v>284</v>
      </c>
      <c r="C342" s="177" t="s">
        <v>219</v>
      </c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>
      <c r="A343" s="177" t="s">
        <v>387</v>
      </c>
      <c r="B343" s="177" t="s">
        <v>284</v>
      </c>
      <c r="C343" s="177" t="s">
        <v>233</v>
      </c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>
      <c r="A344" s="177" t="s">
        <v>387</v>
      </c>
      <c r="B344" s="177" t="s">
        <v>284</v>
      </c>
      <c r="C344" s="177" t="s">
        <v>233</v>
      </c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>
      <c r="A345" s="177" t="s">
        <v>387</v>
      </c>
      <c r="B345" s="181" t="s">
        <v>284</v>
      </c>
      <c r="C345" s="177" t="s">
        <v>233</v>
      </c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>
      <c r="A346" s="177" t="s">
        <v>387</v>
      </c>
      <c r="B346" s="181" t="s">
        <v>284</v>
      </c>
      <c r="C346" s="177" t="s">
        <v>233</v>
      </c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>
      <c r="A347" s="177" t="s">
        <v>387</v>
      </c>
      <c r="B347" s="181" t="s">
        <v>284</v>
      </c>
      <c r="C347" s="177" t="s">
        <v>233</v>
      </c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>
      <c r="A348" s="177" t="s">
        <v>387</v>
      </c>
      <c r="B348" s="181" t="s">
        <v>284</v>
      </c>
      <c r="C348" s="177" t="s">
        <v>233</v>
      </c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>
      <c r="A349" s="177" t="s">
        <v>387</v>
      </c>
      <c r="B349" s="181" t="s">
        <v>285</v>
      </c>
      <c r="C349" s="177" t="s">
        <v>233</v>
      </c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>
      <c r="A350" s="177" t="s">
        <v>387</v>
      </c>
      <c r="B350" s="177" t="s">
        <v>285</v>
      </c>
      <c r="C350" s="177" t="s">
        <v>233</v>
      </c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>
      <c r="A351" s="177" t="s">
        <v>387</v>
      </c>
      <c r="B351" s="181" t="s">
        <v>285</v>
      </c>
      <c r="C351" s="177" t="s">
        <v>233</v>
      </c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>
      <c r="A352" s="177" t="s">
        <v>387</v>
      </c>
      <c r="B352" s="177" t="s">
        <v>285</v>
      </c>
      <c r="C352" s="177" t="s">
        <v>233</v>
      </c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>
      <c r="A353" s="177" t="s">
        <v>387</v>
      </c>
      <c r="B353" s="181" t="s">
        <v>285</v>
      </c>
      <c r="C353" s="177" t="s">
        <v>233</v>
      </c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>
      <c r="A354" s="177" t="s">
        <v>387</v>
      </c>
      <c r="B354" s="181" t="s">
        <v>285</v>
      </c>
      <c r="C354" s="177" t="s">
        <v>233</v>
      </c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>
      <c r="A355" s="177" t="s">
        <v>387</v>
      </c>
      <c r="B355" s="181" t="s">
        <v>285</v>
      </c>
      <c r="C355" s="177" t="s">
        <v>233</v>
      </c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>
      <c r="A356" s="177" t="s">
        <v>387</v>
      </c>
      <c r="B356" s="181" t="s">
        <v>285</v>
      </c>
      <c r="C356" s="177" t="s">
        <v>233</v>
      </c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>
      <c r="A357" s="177" t="s">
        <v>387</v>
      </c>
      <c r="B357" s="181" t="s">
        <v>285</v>
      </c>
      <c r="C357" s="177" t="s">
        <v>233</v>
      </c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>
      <c r="A358" s="177" t="s">
        <v>387</v>
      </c>
      <c r="B358" s="181" t="s">
        <v>285</v>
      </c>
      <c r="C358" s="177" t="s">
        <v>233</v>
      </c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>
      <c r="A359" s="177" t="s">
        <v>387</v>
      </c>
      <c r="B359" s="181" t="s">
        <v>287</v>
      </c>
      <c r="C359" s="177" t="s">
        <v>233</v>
      </c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>
      <c r="A360" s="177" t="s">
        <v>387</v>
      </c>
      <c r="B360" s="177" t="s">
        <v>287</v>
      </c>
      <c r="C360" s="177" t="s">
        <v>233</v>
      </c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>
      <c r="A361" s="177" t="s">
        <v>387</v>
      </c>
      <c r="B361" s="181" t="s">
        <v>287</v>
      </c>
      <c r="C361" s="177" t="s">
        <v>233</v>
      </c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>
      <c r="A362" s="177" t="s">
        <v>387</v>
      </c>
      <c r="B362" s="177" t="s">
        <v>287</v>
      </c>
      <c r="C362" s="177" t="s">
        <v>233</v>
      </c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>
      <c r="A363" s="177" t="s">
        <v>387</v>
      </c>
      <c r="B363" s="181" t="s">
        <v>287</v>
      </c>
      <c r="C363" s="177" t="s">
        <v>233</v>
      </c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>
      <c r="A364" s="177" t="s">
        <v>387</v>
      </c>
      <c r="B364" s="181" t="s">
        <v>287</v>
      </c>
      <c r="C364" s="177" t="s">
        <v>233</v>
      </c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>
      <c r="A365" s="177" t="s">
        <v>387</v>
      </c>
      <c r="B365" s="181" t="s">
        <v>287</v>
      </c>
      <c r="C365" s="177" t="s">
        <v>233</v>
      </c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>
      <c r="A366" s="177" t="s">
        <v>387</v>
      </c>
      <c r="B366" s="181" t="s">
        <v>287</v>
      </c>
      <c r="C366" s="177" t="s">
        <v>233</v>
      </c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>
      <c r="A367" s="177" t="s">
        <v>387</v>
      </c>
      <c r="B367" s="181" t="s">
        <v>287</v>
      </c>
      <c r="C367" s="177" t="s">
        <v>233</v>
      </c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>
      <c r="A368" s="177" t="s">
        <v>387</v>
      </c>
      <c r="B368" s="181" t="s">
        <v>287</v>
      </c>
      <c r="C368" s="177" t="s">
        <v>233</v>
      </c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>
      <c r="A369" s="177" t="s">
        <v>387</v>
      </c>
      <c r="B369" s="181" t="s">
        <v>287</v>
      </c>
      <c r="C369" s="177" t="s">
        <v>233</v>
      </c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>
      <c r="A370" s="177" t="s">
        <v>387</v>
      </c>
      <c r="B370" s="181" t="s">
        <v>287</v>
      </c>
      <c r="C370" s="177" t="s">
        <v>233</v>
      </c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>
      <c r="A371" s="177" t="s">
        <v>387</v>
      </c>
      <c r="B371" s="181" t="s">
        <v>288</v>
      </c>
      <c r="C371" s="177" t="s">
        <v>233</v>
      </c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>
      <c r="A372" s="177" t="s">
        <v>387</v>
      </c>
      <c r="B372" s="181" t="s">
        <v>288</v>
      </c>
      <c r="C372" s="177" t="s">
        <v>233</v>
      </c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>
      <c r="A373" s="177" t="s">
        <v>387</v>
      </c>
      <c r="B373" s="181" t="s">
        <v>288</v>
      </c>
      <c r="C373" s="177" t="s">
        <v>233</v>
      </c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>
      <c r="A374" s="177" t="s">
        <v>387</v>
      </c>
      <c r="B374" s="181" t="s">
        <v>288</v>
      </c>
      <c r="C374" s="177" t="s">
        <v>233</v>
      </c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>
      <c r="A375" s="177" t="s">
        <v>387</v>
      </c>
      <c r="B375" s="181" t="s">
        <v>288</v>
      </c>
      <c r="C375" s="177" t="s">
        <v>233</v>
      </c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>
      <c r="A376" s="177" t="s">
        <v>387</v>
      </c>
      <c r="B376" s="181" t="s">
        <v>288</v>
      </c>
      <c r="C376" s="177" t="s">
        <v>233</v>
      </c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>
      <c r="A377" s="177" t="s">
        <v>387</v>
      </c>
      <c r="B377" s="181" t="s">
        <v>288</v>
      </c>
      <c r="C377" s="177" t="s">
        <v>233</v>
      </c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>
      <c r="A378" s="177" t="s">
        <v>387</v>
      </c>
      <c r="B378" s="181" t="s">
        <v>288</v>
      </c>
      <c r="C378" s="177" t="s">
        <v>233</v>
      </c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>
      <c r="A379" s="177" t="s">
        <v>387</v>
      </c>
      <c r="B379" s="181" t="s">
        <v>288</v>
      </c>
      <c r="C379" s="177" t="s">
        <v>233</v>
      </c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>
      <c r="A380" s="177" t="s">
        <v>387</v>
      </c>
      <c r="B380" s="181" t="s">
        <v>288</v>
      </c>
      <c r="C380" s="177" t="s">
        <v>233</v>
      </c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>
      <c r="A381" s="177" t="s">
        <v>387</v>
      </c>
      <c r="B381" s="181" t="s">
        <v>288</v>
      </c>
      <c r="C381" s="177" t="s">
        <v>233</v>
      </c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>
      <c r="A382" s="177" t="s">
        <v>387</v>
      </c>
      <c r="B382" s="181" t="s">
        <v>288</v>
      </c>
      <c r="C382" s="177" t="s">
        <v>233</v>
      </c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>
      <c r="A383" s="177" t="s">
        <v>387</v>
      </c>
      <c r="B383" s="181" t="s">
        <v>288</v>
      </c>
      <c r="C383" s="177" t="s">
        <v>233</v>
      </c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>
      <c r="A384" s="177" t="s">
        <v>387</v>
      </c>
      <c r="B384" s="181" t="s">
        <v>288</v>
      </c>
      <c r="C384" s="177" t="s">
        <v>233</v>
      </c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>
      <c r="A385" s="177" t="s">
        <v>387</v>
      </c>
      <c r="B385" s="181" t="s">
        <v>289</v>
      </c>
      <c r="C385" s="177" t="s">
        <v>233</v>
      </c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>
      <c r="A386" s="177" t="s">
        <v>387</v>
      </c>
      <c r="B386" s="181" t="s">
        <v>289</v>
      </c>
      <c r="C386" s="177" t="s">
        <v>233</v>
      </c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>
      <c r="A387" s="177" t="s">
        <v>387</v>
      </c>
      <c r="B387" s="181" t="s">
        <v>289</v>
      </c>
      <c r="C387" s="177" t="s">
        <v>233</v>
      </c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>
      <c r="A388" s="177" t="s">
        <v>387</v>
      </c>
      <c r="B388" s="181" t="s">
        <v>289</v>
      </c>
      <c r="C388" s="177" t="s">
        <v>233</v>
      </c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>
      <c r="A389" s="177" t="s">
        <v>387</v>
      </c>
      <c r="B389" s="181" t="s">
        <v>289</v>
      </c>
      <c r="C389" s="177" t="s">
        <v>233</v>
      </c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>
      <c r="A390" s="177" t="s">
        <v>387</v>
      </c>
      <c r="B390" s="181" t="s">
        <v>289</v>
      </c>
      <c r="C390" s="177" t="s">
        <v>233</v>
      </c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>
      <c r="A391" s="177" t="s">
        <v>387</v>
      </c>
      <c r="B391" s="181" t="s">
        <v>289</v>
      </c>
      <c r="C391" s="177" t="s">
        <v>233</v>
      </c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>
      <c r="A392" s="177" t="s">
        <v>387</v>
      </c>
      <c r="B392" s="181" t="s">
        <v>289</v>
      </c>
      <c r="C392" s="177" t="s">
        <v>233</v>
      </c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>
      <c r="A393" s="177" t="s">
        <v>387</v>
      </c>
      <c r="B393" s="181" t="s">
        <v>289</v>
      </c>
      <c r="C393" s="177" t="s">
        <v>233</v>
      </c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>
      <c r="A394" s="177" t="s">
        <v>387</v>
      </c>
      <c r="B394" s="181" t="s">
        <v>289</v>
      </c>
      <c r="C394" s="177" t="s">
        <v>233</v>
      </c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>
      <c r="A395" s="177" t="s">
        <v>387</v>
      </c>
      <c r="B395" s="181" t="s">
        <v>289</v>
      </c>
      <c r="C395" s="177" t="s">
        <v>233</v>
      </c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>
      <c r="A396" s="177" t="s">
        <v>387</v>
      </c>
      <c r="B396" s="181" t="s">
        <v>289</v>
      </c>
      <c r="C396" s="177" t="s">
        <v>233</v>
      </c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>
      <c r="A397" s="177" t="s">
        <v>387</v>
      </c>
      <c r="B397" s="181" t="s">
        <v>289</v>
      </c>
      <c r="C397" s="177" t="s">
        <v>233</v>
      </c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>
      <c r="A398" s="177" t="s">
        <v>387</v>
      </c>
      <c r="B398" s="181" t="s">
        <v>291</v>
      </c>
      <c r="C398" s="177" t="s">
        <v>233</v>
      </c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>
      <c r="A399" s="177" t="s">
        <v>387</v>
      </c>
      <c r="B399" s="181" t="s">
        <v>291</v>
      </c>
      <c r="C399" s="177" t="s">
        <v>233</v>
      </c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>
      <c r="A400" s="177" t="s">
        <v>387</v>
      </c>
      <c r="B400" s="181" t="s">
        <v>291</v>
      </c>
      <c r="C400" s="177" t="s">
        <v>233</v>
      </c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>
      <c r="A401" s="177" t="s">
        <v>387</v>
      </c>
      <c r="B401" s="181" t="s">
        <v>291</v>
      </c>
      <c r="C401" s="177" t="s">
        <v>233</v>
      </c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>
      <c r="A402" s="177" t="s">
        <v>387</v>
      </c>
      <c r="B402" s="181" t="s">
        <v>291</v>
      </c>
      <c r="C402" s="177" t="s">
        <v>233</v>
      </c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>
      <c r="A403" s="177" t="s">
        <v>387</v>
      </c>
      <c r="B403" s="181" t="s">
        <v>291</v>
      </c>
      <c r="C403" s="177" t="s">
        <v>233</v>
      </c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>
      <c r="A404" s="177" t="s">
        <v>387</v>
      </c>
      <c r="B404" s="181" t="s">
        <v>291</v>
      </c>
      <c r="C404" s="177" t="s">
        <v>233</v>
      </c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>
      <c r="A405" s="177" t="s">
        <v>387</v>
      </c>
      <c r="B405" s="181" t="s">
        <v>291</v>
      </c>
      <c r="C405" s="177" t="s">
        <v>233</v>
      </c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>
      <c r="A406" s="177" t="s">
        <v>387</v>
      </c>
      <c r="B406" s="181" t="s">
        <v>291</v>
      </c>
      <c r="C406" s="177" t="s">
        <v>233</v>
      </c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>
      <c r="A407" s="177" t="s">
        <v>387</v>
      </c>
      <c r="B407" s="181" t="s">
        <v>291</v>
      </c>
      <c r="C407" s="177" t="s">
        <v>233</v>
      </c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>
      <c r="A408" s="177" t="s">
        <v>387</v>
      </c>
      <c r="B408" s="181" t="s">
        <v>291</v>
      </c>
      <c r="C408" s="177" t="s">
        <v>233</v>
      </c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>
      <c r="A409" s="177" t="s">
        <v>387</v>
      </c>
      <c r="B409" s="181" t="s">
        <v>291</v>
      </c>
      <c r="C409" s="177" t="s">
        <v>233</v>
      </c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>
      <c r="A410" s="177" t="s">
        <v>387</v>
      </c>
      <c r="B410" s="181" t="s">
        <v>291</v>
      </c>
      <c r="C410" s="177" t="s">
        <v>233</v>
      </c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>
      <c r="A411" s="177" t="s">
        <v>387</v>
      </c>
      <c r="B411" s="181" t="s">
        <v>291</v>
      </c>
      <c r="C411" s="177" t="s">
        <v>233</v>
      </c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>
      <c r="A412" s="177" t="s">
        <v>387</v>
      </c>
      <c r="B412" s="181" t="s">
        <v>291</v>
      </c>
      <c r="C412" s="177" t="s">
        <v>233</v>
      </c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>
      <c r="A413" s="177" t="s">
        <v>387</v>
      </c>
      <c r="B413" s="187" t="s">
        <v>292</v>
      </c>
      <c r="C413" s="177" t="s">
        <v>233</v>
      </c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>
      <c r="A414" s="177" t="s">
        <v>387</v>
      </c>
      <c r="B414" s="187" t="s">
        <v>292</v>
      </c>
      <c r="C414" s="177" t="s">
        <v>233</v>
      </c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>
      <c r="A415" s="177" t="s">
        <v>387</v>
      </c>
      <c r="B415" s="186" t="s">
        <v>292</v>
      </c>
      <c r="C415" s="177" t="s">
        <v>233</v>
      </c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>
      <c r="A416" s="177" t="s">
        <v>387</v>
      </c>
      <c r="B416" s="181" t="s">
        <v>293</v>
      </c>
      <c r="C416" s="177" t="s">
        <v>233</v>
      </c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>
      <c r="A417" s="177" t="s">
        <v>387</v>
      </c>
      <c r="B417" s="181" t="s">
        <v>293</v>
      </c>
      <c r="C417" s="177" t="s">
        <v>233</v>
      </c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>
      <c r="A418" s="177" t="s">
        <v>387</v>
      </c>
      <c r="B418" s="181" t="s">
        <v>293</v>
      </c>
      <c r="C418" s="177" t="s">
        <v>233</v>
      </c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>
      <c r="A419" s="177" t="s">
        <v>387</v>
      </c>
      <c r="B419" s="181" t="s">
        <v>293</v>
      </c>
      <c r="C419" s="177" t="s">
        <v>233</v>
      </c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>
      <c r="A420" s="177" t="s">
        <v>387</v>
      </c>
      <c r="B420" s="181" t="s">
        <v>293</v>
      </c>
      <c r="C420" s="177" t="s">
        <v>233</v>
      </c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>
      <c r="A421" s="177" t="s">
        <v>387</v>
      </c>
      <c r="B421" s="181" t="s">
        <v>293</v>
      </c>
      <c r="C421" s="177" t="s">
        <v>233</v>
      </c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>
      <c r="A422" s="177" t="s">
        <v>387</v>
      </c>
      <c r="B422" s="181" t="s">
        <v>293</v>
      </c>
      <c r="C422" s="177" t="s">
        <v>233</v>
      </c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>
      <c r="A423" s="177" t="s">
        <v>387</v>
      </c>
      <c r="B423" s="181" t="s">
        <v>293</v>
      </c>
      <c r="C423" s="177" t="s">
        <v>233</v>
      </c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>
      <c r="A424" s="177" t="s">
        <v>387</v>
      </c>
      <c r="B424" s="181" t="s">
        <v>293</v>
      </c>
      <c r="C424" s="177" t="s">
        <v>233</v>
      </c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>
      <c r="A425" s="177" t="s">
        <v>387</v>
      </c>
      <c r="B425" s="181" t="s">
        <v>293</v>
      </c>
      <c r="C425" s="177" t="s">
        <v>233</v>
      </c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>
      <c r="A426" s="177" t="s">
        <v>387</v>
      </c>
      <c r="B426" s="177" t="s">
        <v>294</v>
      </c>
      <c r="C426" s="177" t="s">
        <v>233</v>
      </c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>
      <c r="A427" s="177" t="s">
        <v>387</v>
      </c>
      <c r="B427" s="177" t="s">
        <v>294</v>
      </c>
      <c r="C427" s="177" t="s">
        <v>233</v>
      </c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>
      <c r="A428" s="177" t="s">
        <v>387</v>
      </c>
      <c r="B428" s="181" t="s">
        <v>294</v>
      </c>
      <c r="C428" s="177" t="s">
        <v>233</v>
      </c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>
      <c r="A429" s="177" t="s">
        <v>387</v>
      </c>
      <c r="B429" s="181" t="s">
        <v>295</v>
      </c>
      <c r="C429" s="177" t="s">
        <v>233</v>
      </c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>
      <c r="A430" s="177" t="s">
        <v>387</v>
      </c>
      <c r="B430" s="181" t="s">
        <v>295</v>
      </c>
      <c r="C430" s="177" t="s">
        <v>233</v>
      </c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>
      <c r="A431" s="177" t="s">
        <v>387</v>
      </c>
      <c r="B431" s="181" t="s">
        <v>295</v>
      </c>
      <c r="C431" s="177" t="s">
        <v>233</v>
      </c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>
      <c r="A432" s="177" t="s">
        <v>387</v>
      </c>
      <c r="B432" s="181" t="s">
        <v>295</v>
      </c>
      <c r="C432" s="177" t="s">
        <v>233</v>
      </c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>
      <c r="A433" s="177" t="s">
        <v>387</v>
      </c>
      <c r="B433" s="181" t="s">
        <v>295</v>
      </c>
      <c r="C433" s="177" t="s">
        <v>233</v>
      </c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>
      <c r="A434" s="177" t="s">
        <v>387</v>
      </c>
      <c r="B434" s="181" t="s">
        <v>295</v>
      </c>
      <c r="C434" s="177" t="s">
        <v>233</v>
      </c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>
      <c r="A435" s="177" t="s">
        <v>387</v>
      </c>
      <c r="B435" s="181" t="s">
        <v>295</v>
      </c>
      <c r="C435" s="177" t="s">
        <v>233</v>
      </c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>
      <c r="A436" s="177" t="s">
        <v>387</v>
      </c>
      <c r="B436" s="181" t="s">
        <v>295</v>
      </c>
      <c r="C436" s="177" t="s">
        <v>233</v>
      </c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>
      <c r="A437" s="177" t="s">
        <v>387</v>
      </c>
      <c r="B437" s="181" t="s">
        <v>295</v>
      </c>
      <c r="C437" s="177" t="s">
        <v>233</v>
      </c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>
      <c r="A438" s="177" t="s">
        <v>387</v>
      </c>
      <c r="B438" s="181" t="s">
        <v>295</v>
      </c>
      <c r="C438" s="177" t="s">
        <v>233</v>
      </c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>
      <c r="A439" s="177" t="s">
        <v>387</v>
      </c>
      <c r="B439" s="181" t="s">
        <v>296</v>
      </c>
      <c r="C439" s="177" t="s">
        <v>233</v>
      </c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>
      <c r="A440" s="177" t="s">
        <v>387</v>
      </c>
      <c r="B440" s="181" t="s">
        <v>296</v>
      </c>
      <c r="C440" s="177" t="s">
        <v>233</v>
      </c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>
      <c r="A441" s="177" t="s">
        <v>387</v>
      </c>
      <c r="B441" s="181" t="s">
        <v>296</v>
      </c>
      <c r="C441" s="177" t="s">
        <v>233</v>
      </c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>
      <c r="A442" s="177" t="s">
        <v>387</v>
      </c>
      <c r="B442" s="181" t="s">
        <v>296</v>
      </c>
      <c r="C442" s="177" t="s">
        <v>233</v>
      </c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>
      <c r="A443" s="177" t="s">
        <v>387</v>
      </c>
      <c r="B443" s="181" t="s">
        <v>296</v>
      </c>
      <c r="C443" s="177" t="s">
        <v>233</v>
      </c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>
      <c r="A444" s="177" t="s">
        <v>387</v>
      </c>
      <c r="B444" s="181" t="s">
        <v>296</v>
      </c>
      <c r="C444" s="177" t="s">
        <v>233</v>
      </c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>
      <c r="A445" s="177" t="s">
        <v>387</v>
      </c>
      <c r="B445" s="181" t="s">
        <v>296</v>
      </c>
      <c r="C445" s="177" t="s">
        <v>233</v>
      </c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>
      <c r="A446" s="177" t="s">
        <v>387</v>
      </c>
      <c r="B446" s="181" t="s">
        <v>296</v>
      </c>
      <c r="C446" s="177" t="s">
        <v>233</v>
      </c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>
      <c r="A447" s="177" t="s">
        <v>387</v>
      </c>
      <c r="B447" s="181" t="s">
        <v>296</v>
      </c>
      <c r="C447" s="177" t="s">
        <v>233</v>
      </c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>
      <c r="A448" s="177" t="s">
        <v>387</v>
      </c>
      <c r="B448" s="181" t="s">
        <v>296</v>
      </c>
      <c r="C448" s="177" t="s">
        <v>233</v>
      </c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>
      <c r="A449" s="177" t="s">
        <v>387</v>
      </c>
      <c r="B449" s="181" t="s">
        <v>296</v>
      </c>
      <c r="C449" s="177" t="s">
        <v>233</v>
      </c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>
      <c r="A450" s="177" t="s">
        <v>387</v>
      </c>
      <c r="B450" s="181" t="s">
        <v>296</v>
      </c>
      <c r="C450" s="177" t="s">
        <v>233</v>
      </c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>
      <c r="A451" s="177" t="s">
        <v>387</v>
      </c>
      <c r="B451" s="181" t="s">
        <v>296</v>
      </c>
      <c r="C451" s="177" t="s">
        <v>233</v>
      </c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>
      <c r="A452" s="177" t="s">
        <v>387</v>
      </c>
      <c r="B452" s="181" t="s">
        <v>297</v>
      </c>
      <c r="C452" s="177" t="s">
        <v>233</v>
      </c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>
      <c r="A453" s="177" t="s">
        <v>387</v>
      </c>
      <c r="B453" s="177" t="s">
        <v>297</v>
      </c>
      <c r="C453" s="177" t="s">
        <v>233</v>
      </c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>
      <c r="A454" s="177" t="s">
        <v>387</v>
      </c>
      <c r="B454" s="177" t="s">
        <v>297</v>
      </c>
      <c r="C454" s="177" t="s">
        <v>233</v>
      </c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>
      <c r="A455" s="177" t="s">
        <v>387</v>
      </c>
      <c r="B455" s="181" t="s">
        <v>297</v>
      </c>
      <c r="C455" s="177" t="s">
        <v>233</v>
      </c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>
      <c r="A456" s="177" t="s">
        <v>387</v>
      </c>
      <c r="B456" s="181" t="s">
        <v>297</v>
      </c>
      <c r="C456" s="177" t="s">
        <v>233</v>
      </c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>
      <c r="A457" s="177" t="s">
        <v>387</v>
      </c>
      <c r="B457" s="181" t="s">
        <v>297</v>
      </c>
      <c r="C457" s="177" t="s">
        <v>233</v>
      </c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>
      <c r="A458" s="177" t="s">
        <v>387</v>
      </c>
      <c r="B458" s="181" t="s">
        <v>298</v>
      </c>
      <c r="C458" s="177" t="s">
        <v>241</v>
      </c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>
      <c r="A459" s="177" t="s">
        <v>387</v>
      </c>
      <c r="B459" s="177" t="s">
        <v>298</v>
      </c>
      <c r="C459" s="177" t="s">
        <v>233</v>
      </c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>
      <c r="A460" s="177" t="s">
        <v>387</v>
      </c>
      <c r="B460" s="181" t="s">
        <v>298</v>
      </c>
      <c r="C460" s="177" t="s">
        <v>233</v>
      </c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>
      <c r="A461" s="177" t="s">
        <v>387</v>
      </c>
      <c r="B461" s="181" t="s">
        <v>299</v>
      </c>
      <c r="C461" s="177" t="s">
        <v>233</v>
      </c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>
      <c r="A462" s="177" t="s">
        <v>387</v>
      </c>
      <c r="B462" s="181" t="s">
        <v>299</v>
      </c>
      <c r="C462" s="177" t="s">
        <v>233</v>
      </c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>
      <c r="A463" s="177" t="s">
        <v>387</v>
      </c>
      <c r="B463" s="181" t="s">
        <v>299</v>
      </c>
      <c r="C463" s="177" t="s">
        <v>233</v>
      </c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>
      <c r="A464" s="177" t="s">
        <v>387</v>
      </c>
      <c r="B464" s="181" t="s">
        <v>299</v>
      </c>
      <c r="C464" s="177" t="s">
        <v>233</v>
      </c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>
      <c r="A465" s="177" t="s">
        <v>387</v>
      </c>
      <c r="B465" s="181" t="s">
        <v>299</v>
      </c>
      <c r="C465" s="177" t="s">
        <v>233</v>
      </c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>
      <c r="A466" s="177" t="s">
        <v>387</v>
      </c>
      <c r="B466" s="181" t="s">
        <v>299</v>
      </c>
      <c r="C466" s="177" t="s">
        <v>233</v>
      </c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>
      <c r="A467" s="177" t="s">
        <v>387</v>
      </c>
      <c r="B467" s="181" t="s">
        <v>300</v>
      </c>
      <c r="C467" s="177" t="s">
        <v>233</v>
      </c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>
      <c r="A468" s="177" t="s">
        <v>387</v>
      </c>
      <c r="B468" s="177" t="s">
        <v>300</v>
      </c>
      <c r="C468" s="177" t="s">
        <v>233</v>
      </c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>
      <c r="A469" s="177" t="s">
        <v>387</v>
      </c>
      <c r="B469" s="181" t="s">
        <v>300</v>
      </c>
      <c r="C469" s="177" t="s">
        <v>233</v>
      </c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>
      <c r="A470" s="177" t="s">
        <v>387</v>
      </c>
      <c r="B470" s="177" t="s">
        <v>300</v>
      </c>
      <c r="C470" s="177" t="s">
        <v>233</v>
      </c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>
      <c r="A471" s="177" t="s">
        <v>387</v>
      </c>
      <c r="B471" s="181" t="s">
        <v>300</v>
      </c>
      <c r="C471" s="177" t="s">
        <v>302</v>
      </c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>
      <c r="A472" s="177" t="s">
        <v>387</v>
      </c>
      <c r="B472" s="181" t="s">
        <v>300</v>
      </c>
      <c r="C472" s="177" t="s">
        <v>302</v>
      </c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>
      <c r="A473" s="177" t="s">
        <v>387</v>
      </c>
      <c r="B473" s="181" t="s">
        <v>303</v>
      </c>
      <c r="C473" s="177" t="s">
        <v>233</v>
      </c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>
      <c r="A474" s="177" t="s">
        <v>387</v>
      </c>
      <c r="B474" s="181" t="s">
        <v>303</v>
      </c>
      <c r="C474" s="177" t="s">
        <v>233</v>
      </c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>
      <c r="A475" s="177" t="s">
        <v>387</v>
      </c>
      <c r="B475" s="181" t="s">
        <v>303</v>
      </c>
      <c r="C475" s="177" t="s">
        <v>233</v>
      </c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>
      <c r="A476" s="177" t="s">
        <v>387</v>
      </c>
      <c r="B476" s="181" t="s">
        <v>303</v>
      </c>
      <c r="C476" s="177" t="s">
        <v>233</v>
      </c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>
      <c r="A477" s="177" t="s">
        <v>387</v>
      </c>
      <c r="B477" s="181" t="s">
        <v>303</v>
      </c>
      <c r="C477" s="177" t="s">
        <v>233</v>
      </c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>
      <c r="A478" s="177" t="s">
        <v>387</v>
      </c>
      <c r="B478" s="181" t="s">
        <v>303</v>
      </c>
      <c r="C478" s="177" t="s">
        <v>233</v>
      </c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>
      <c r="A479" s="177" t="s">
        <v>387</v>
      </c>
      <c r="B479" s="181" t="s">
        <v>303</v>
      </c>
      <c r="C479" s="177" t="s">
        <v>233</v>
      </c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>
      <c r="A480" s="177" t="s">
        <v>387</v>
      </c>
      <c r="B480" s="181" t="s">
        <v>304</v>
      </c>
      <c r="C480" s="177" t="s">
        <v>233</v>
      </c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>
      <c r="A481" s="177" t="s">
        <v>387</v>
      </c>
      <c r="B481" s="181" t="s">
        <v>304</v>
      </c>
      <c r="C481" s="177" t="s">
        <v>233</v>
      </c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>
      <c r="A482" s="177" t="s">
        <v>387</v>
      </c>
      <c r="B482" s="181" t="s">
        <v>304</v>
      </c>
      <c r="C482" s="177" t="s">
        <v>233</v>
      </c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>
      <c r="A483" s="177" t="s">
        <v>387</v>
      </c>
      <c r="B483" s="181" t="s">
        <v>304</v>
      </c>
      <c r="C483" s="177" t="s">
        <v>233</v>
      </c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>
      <c r="A484" s="177" t="s">
        <v>387</v>
      </c>
      <c r="B484" s="181" t="s">
        <v>304</v>
      </c>
      <c r="C484" s="177" t="s">
        <v>233</v>
      </c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>
      <c r="A485" s="177" t="s">
        <v>387</v>
      </c>
      <c r="B485" s="181" t="s">
        <v>304</v>
      </c>
      <c r="C485" s="177" t="s">
        <v>233</v>
      </c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>
      <c r="A486" s="177" t="s">
        <v>387</v>
      </c>
      <c r="B486" s="181" t="s">
        <v>304</v>
      </c>
      <c r="C486" s="177" t="s">
        <v>233</v>
      </c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>
      <c r="A487" s="177" t="s">
        <v>387</v>
      </c>
      <c r="B487" s="181" t="s">
        <v>304</v>
      </c>
      <c r="C487" s="177" t="s">
        <v>233</v>
      </c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>
      <c r="A488" s="177" t="s">
        <v>387</v>
      </c>
      <c r="B488" s="181" t="s">
        <v>304</v>
      </c>
      <c r="C488" s="177" t="s">
        <v>233</v>
      </c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>
      <c r="A489" s="177" t="s">
        <v>387</v>
      </c>
      <c r="B489" s="181" t="s">
        <v>304</v>
      </c>
      <c r="C489" s="177" t="s">
        <v>233</v>
      </c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>
      <c r="A490" s="177" t="s">
        <v>387</v>
      </c>
      <c r="B490" s="181" t="s">
        <v>305</v>
      </c>
      <c r="C490" s="177" t="s">
        <v>233</v>
      </c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>
      <c r="A491" s="177" t="s">
        <v>387</v>
      </c>
      <c r="B491" s="181" t="s">
        <v>305</v>
      </c>
      <c r="C491" s="177" t="s">
        <v>241</v>
      </c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>
      <c r="A492" s="177" t="s">
        <v>387</v>
      </c>
      <c r="B492" s="177" t="s">
        <v>305</v>
      </c>
      <c r="C492" s="177" t="s">
        <v>233</v>
      </c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>
      <c r="A493" s="177" t="s">
        <v>387</v>
      </c>
      <c r="B493" s="181" t="s">
        <v>305</v>
      </c>
      <c r="C493" s="177" t="s">
        <v>241</v>
      </c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>
      <c r="A494" s="177" t="s">
        <v>387</v>
      </c>
      <c r="B494" s="181" t="s">
        <v>305</v>
      </c>
      <c r="C494" s="177" t="s">
        <v>241</v>
      </c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>
      <c r="A495" s="177" t="s">
        <v>387</v>
      </c>
      <c r="B495" s="181" t="s">
        <v>305</v>
      </c>
      <c r="C495" s="177" t="s">
        <v>241</v>
      </c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>
      <c r="A496" s="177" t="s">
        <v>387</v>
      </c>
      <c r="B496" s="181" t="s">
        <v>305</v>
      </c>
      <c r="C496" s="177" t="s">
        <v>233</v>
      </c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>
      <c r="A497" s="177" t="s">
        <v>387</v>
      </c>
      <c r="B497" s="181" t="s">
        <v>305</v>
      </c>
      <c r="C497" s="177" t="s">
        <v>233</v>
      </c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>
      <c r="A498" s="177" t="s">
        <v>387</v>
      </c>
      <c r="B498" s="181" t="s">
        <v>305</v>
      </c>
      <c r="C498" s="177" t="s">
        <v>233</v>
      </c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>
      <c r="A499" s="177" t="s">
        <v>387</v>
      </c>
      <c r="B499" s="181" t="s">
        <v>305</v>
      </c>
      <c r="C499" s="177" t="s">
        <v>233</v>
      </c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>
      <c r="A500" s="177" t="s">
        <v>387</v>
      </c>
      <c r="B500" s="181" t="s">
        <v>306</v>
      </c>
      <c r="C500" s="177" t="s">
        <v>233</v>
      </c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>
      <c r="A501" s="177" t="s">
        <v>387</v>
      </c>
      <c r="B501" s="181" t="s">
        <v>306</v>
      </c>
      <c r="C501" s="177" t="s">
        <v>233</v>
      </c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>
      <c r="A502" s="177" t="s">
        <v>387</v>
      </c>
      <c r="B502" s="181" t="s">
        <v>306</v>
      </c>
      <c r="C502" s="177" t="s">
        <v>233</v>
      </c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>
      <c r="A503" s="177" t="s">
        <v>387</v>
      </c>
      <c r="B503" s="181" t="s">
        <v>306</v>
      </c>
      <c r="C503" s="177" t="s">
        <v>388</v>
      </c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>
      <c r="A504" s="177" t="s">
        <v>387</v>
      </c>
      <c r="B504" s="181" t="s">
        <v>306</v>
      </c>
      <c r="C504" s="177" t="s">
        <v>388</v>
      </c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>
      <c r="A505" s="177" t="s">
        <v>387</v>
      </c>
      <c r="B505" s="181" t="s">
        <v>306</v>
      </c>
      <c r="C505" s="177" t="s">
        <v>233</v>
      </c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>
      <c r="A506" s="177" t="s">
        <v>387</v>
      </c>
      <c r="B506" s="181" t="s">
        <v>308</v>
      </c>
      <c r="C506" s="177" t="s">
        <v>233</v>
      </c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>
      <c r="A507" s="177" t="s">
        <v>387</v>
      </c>
      <c r="B507" s="181" t="s">
        <v>308</v>
      </c>
      <c r="C507" s="177" t="s">
        <v>233</v>
      </c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>
      <c r="A508" s="177" t="s">
        <v>387</v>
      </c>
      <c r="B508" s="181" t="s">
        <v>308</v>
      </c>
      <c r="C508" s="177" t="s">
        <v>233</v>
      </c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>
      <c r="A509" s="177" t="s">
        <v>387</v>
      </c>
      <c r="B509" s="181" t="s">
        <v>308</v>
      </c>
      <c r="C509" s="177" t="s">
        <v>233</v>
      </c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>
      <c r="A510" s="177" t="s">
        <v>387</v>
      </c>
      <c r="B510" s="181" t="s">
        <v>309</v>
      </c>
      <c r="C510" s="177" t="s">
        <v>233</v>
      </c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>
      <c r="A511" s="177" t="s">
        <v>387</v>
      </c>
      <c r="B511" s="181" t="s">
        <v>309</v>
      </c>
      <c r="C511" s="177" t="s">
        <v>233</v>
      </c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>
      <c r="A512" s="177" t="s">
        <v>387</v>
      </c>
      <c r="B512" s="181" t="s">
        <v>309</v>
      </c>
      <c r="C512" s="177" t="s">
        <v>233</v>
      </c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>
      <c r="A513" s="177" t="s">
        <v>387</v>
      </c>
      <c r="B513" s="181" t="s">
        <v>309</v>
      </c>
      <c r="C513" s="177" t="s">
        <v>233</v>
      </c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>
      <c r="A514" s="177" t="s">
        <v>387</v>
      </c>
      <c r="B514" s="181" t="s">
        <v>309</v>
      </c>
      <c r="C514" s="177" t="s">
        <v>233</v>
      </c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>
      <c r="A515" s="177" t="s">
        <v>387</v>
      </c>
      <c r="B515" s="181" t="s">
        <v>309</v>
      </c>
      <c r="C515" s="177" t="s">
        <v>233</v>
      </c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>
      <c r="A516" s="177" t="s">
        <v>387</v>
      </c>
      <c r="B516" s="181" t="s">
        <v>309</v>
      </c>
      <c r="C516" s="177" t="s">
        <v>233</v>
      </c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>
      <c r="A517" s="177" t="s">
        <v>387</v>
      </c>
      <c r="B517" s="181" t="s">
        <v>309</v>
      </c>
      <c r="C517" s="177" t="s">
        <v>233</v>
      </c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>
      <c r="A518" s="177" t="s">
        <v>387</v>
      </c>
      <c r="B518" s="181" t="s">
        <v>309</v>
      </c>
      <c r="C518" s="177" t="s">
        <v>233</v>
      </c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>
      <c r="A519" s="177" t="s">
        <v>387</v>
      </c>
      <c r="B519" s="181" t="s">
        <v>309</v>
      </c>
      <c r="C519" s="177" t="s">
        <v>233</v>
      </c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>
      <c r="A520" s="177" t="s">
        <v>387</v>
      </c>
      <c r="B520" s="181" t="s">
        <v>310</v>
      </c>
      <c r="C520" s="177" t="s">
        <v>233</v>
      </c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>
      <c r="A521" s="177" t="s">
        <v>387</v>
      </c>
      <c r="B521" s="181" t="s">
        <v>310</v>
      </c>
      <c r="C521" s="177" t="s">
        <v>233</v>
      </c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>
      <c r="A522" s="177" t="s">
        <v>387</v>
      </c>
      <c r="B522" s="181" t="s">
        <v>310</v>
      </c>
      <c r="C522" s="177" t="s">
        <v>233</v>
      </c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>
      <c r="A523" s="177" t="s">
        <v>387</v>
      </c>
      <c r="B523" s="181" t="s">
        <v>310</v>
      </c>
      <c r="C523" s="177" t="s">
        <v>233</v>
      </c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>
      <c r="A524" s="177" t="s">
        <v>387</v>
      </c>
      <c r="B524" s="181" t="s">
        <v>310</v>
      </c>
      <c r="C524" s="177" t="s">
        <v>233</v>
      </c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>
      <c r="A525" s="177" t="s">
        <v>387</v>
      </c>
      <c r="B525" s="181" t="s">
        <v>310</v>
      </c>
      <c r="C525" s="177" t="s">
        <v>233</v>
      </c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>
      <c r="A526" s="177" t="s">
        <v>387</v>
      </c>
      <c r="B526" s="181" t="s">
        <v>310</v>
      </c>
      <c r="C526" s="177" t="s">
        <v>233</v>
      </c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>
      <c r="A527" s="177" t="s">
        <v>387</v>
      </c>
      <c r="B527" s="181" t="s">
        <v>311</v>
      </c>
      <c r="C527" s="177" t="s">
        <v>233</v>
      </c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>
      <c r="A528" s="177" t="s">
        <v>387</v>
      </c>
      <c r="B528" s="181" t="s">
        <v>311</v>
      </c>
      <c r="C528" s="177" t="s">
        <v>233</v>
      </c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>
      <c r="A529" s="177" t="s">
        <v>387</v>
      </c>
      <c r="B529" s="181" t="s">
        <v>311</v>
      </c>
      <c r="C529" s="177" t="s">
        <v>233</v>
      </c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>
      <c r="A530" s="177" t="s">
        <v>387</v>
      </c>
      <c r="B530" s="181" t="s">
        <v>311</v>
      </c>
      <c r="C530" s="177" t="s">
        <v>233</v>
      </c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>
      <c r="A531" s="177" t="s">
        <v>387</v>
      </c>
      <c r="B531" s="181" t="s">
        <v>311</v>
      </c>
      <c r="C531" s="177" t="s">
        <v>233</v>
      </c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>
      <c r="A532" s="177" t="s">
        <v>387</v>
      </c>
      <c r="B532" s="181" t="s">
        <v>311</v>
      </c>
      <c r="C532" s="177" t="s">
        <v>233</v>
      </c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>
      <c r="A533" s="177" t="s">
        <v>387</v>
      </c>
      <c r="B533" s="181" t="s">
        <v>311</v>
      </c>
      <c r="C533" s="177" t="s">
        <v>233</v>
      </c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>
      <c r="A534" s="177" t="s">
        <v>387</v>
      </c>
      <c r="B534" s="181" t="s">
        <v>311</v>
      </c>
      <c r="C534" s="177" t="s">
        <v>233</v>
      </c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>
      <c r="A535" s="177" t="s">
        <v>387</v>
      </c>
      <c r="B535" s="181" t="s">
        <v>311</v>
      </c>
      <c r="C535" s="177" t="s">
        <v>233</v>
      </c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>
      <c r="A536" s="177" t="s">
        <v>387</v>
      </c>
      <c r="B536" s="181" t="s">
        <v>311</v>
      </c>
      <c r="C536" s="177" t="s">
        <v>233</v>
      </c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>
      <c r="A537" s="177" t="s">
        <v>387</v>
      </c>
      <c r="B537" s="177" t="s">
        <v>313</v>
      </c>
      <c r="C537" s="177" t="s">
        <v>233</v>
      </c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>
      <c r="A538" s="177" t="s">
        <v>387</v>
      </c>
      <c r="B538" s="181" t="s">
        <v>313</v>
      </c>
      <c r="C538" s="177" t="s">
        <v>233</v>
      </c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>
      <c r="A539" s="177" t="s">
        <v>387</v>
      </c>
      <c r="B539" s="181" t="s">
        <v>314</v>
      </c>
      <c r="C539" s="177" t="s">
        <v>233</v>
      </c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>
      <c r="A540" s="177" t="s">
        <v>387</v>
      </c>
      <c r="B540" s="181" t="s">
        <v>314</v>
      </c>
      <c r="C540" s="177" t="s">
        <v>233</v>
      </c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>
      <c r="A541" s="177" t="s">
        <v>387</v>
      </c>
      <c r="B541" s="181" t="s">
        <v>314</v>
      </c>
      <c r="C541" s="177" t="s">
        <v>233</v>
      </c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>
      <c r="A542" s="177" t="s">
        <v>387</v>
      </c>
      <c r="B542" s="181" t="s">
        <v>314</v>
      </c>
      <c r="C542" s="177" t="s">
        <v>233</v>
      </c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>
      <c r="A543" s="177" t="s">
        <v>387</v>
      </c>
      <c r="B543" s="181" t="s">
        <v>314</v>
      </c>
      <c r="C543" s="177" t="s">
        <v>233</v>
      </c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>
      <c r="A544" s="177" t="s">
        <v>387</v>
      </c>
      <c r="B544" s="181" t="s">
        <v>314</v>
      </c>
      <c r="C544" s="177" t="s">
        <v>233</v>
      </c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>
      <c r="A545" s="177" t="s">
        <v>387</v>
      </c>
      <c r="B545" s="181" t="s">
        <v>314</v>
      </c>
      <c r="C545" s="177" t="s">
        <v>233</v>
      </c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>
      <c r="A546" s="177" t="s">
        <v>387</v>
      </c>
      <c r="B546" s="181" t="s">
        <v>314</v>
      </c>
      <c r="C546" s="177" t="s">
        <v>233</v>
      </c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>
      <c r="A547" s="177" t="s">
        <v>387</v>
      </c>
      <c r="B547" s="181" t="s">
        <v>314</v>
      </c>
      <c r="C547" s="177" t="s">
        <v>233</v>
      </c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>
      <c r="A548" s="177" t="s">
        <v>387</v>
      </c>
      <c r="B548" s="181" t="s">
        <v>314</v>
      </c>
      <c r="C548" s="177" t="s">
        <v>233</v>
      </c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>
      <c r="A549" s="177" t="s">
        <v>387</v>
      </c>
      <c r="B549" s="181" t="s">
        <v>314</v>
      </c>
      <c r="C549" s="177" t="s">
        <v>233</v>
      </c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>
      <c r="A550" s="177" t="s">
        <v>387</v>
      </c>
      <c r="B550" s="181" t="s">
        <v>314</v>
      </c>
      <c r="C550" s="177" t="s">
        <v>233</v>
      </c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>
      <c r="A551" s="177" t="s">
        <v>387</v>
      </c>
      <c r="B551" s="181" t="s">
        <v>315</v>
      </c>
      <c r="C551" s="177" t="s">
        <v>233</v>
      </c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>
      <c r="A552" s="177" t="s">
        <v>387</v>
      </c>
      <c r="B552" s="181" t="s">
        <v>315</v>
      </c>
      <c r="C552" s="177" t="s">
        <v>233</v>
      </c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>
      <c r="A553" s="177" t="s">
        <v>387</v>
      </c>
      <c r="B553" s="181" t="s">
        <v>315</v>
      </c>
      <c r="C553" s="177" t="s">
        <v>233</v>
      </c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>
      <c r="A554" s="177" t="s">
        <v>387</v>
      </c>
      <c r="B554" s="181" t="s">
        <v>315</v>
      </c>
      <c r="C554" s="177" t="s">
        <v>233</v>
      </c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>
      <c r="A555" s="177" t="s">
        <v>387</v>
      </c>
      <c r="B555" s="181" t="s">
        <v>315</v>
      </c>
      <c r="C555" s="177" t="s">
        <v>233</v>
      </c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>
      <c r="A556" s="177" t="s">
        <v>387</v>
      </c>
      <c r="B556" s="181" t="s">
        <v>315</v>
      </c>
      <c r="C556" s="177" t="s">
        <v>302</v>
      </c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>
      <c r="A557" s="177" t="s">
        <v>387</v>
      </c>
      <c r="B557" s="181" t="s">
        <v>315</v>
      </c>
      <c r="C557" s="177" t="s">
        <v>233</v>
      </c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>
      <c r="A558" s="177" t="s">
        <v>387</v>
      </c>
      <c r="B558" s="181" t="s">
        <v>315</v>
      </c>
      <c r="C558" s="177" t="s">
        <v>233</v>
      </c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>
      <c r="A559" s="177" t="s">
        <v>387</v>
      </c>
      <c r="B559" s="181" t="s">
        <v>318</v>
      </c>
      <c r="C559" s="177" t="s">
        <v>233</v>
      </c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>
      <c r="A560" s="177" t="s">
        <v>387</v>
      </c>
      <c r="B560" s="181" t="s">
        <v>318</v>
      </c>
      <c r="C560" s="177" t="s">
        <v>233</v>
      </c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>
      <c r="A561" s="177" t="s">
        <v>387</v>
      </c>
      <c r="B561" s="188" t="s">
        <v>318</v>
      </c>
      <c r="C561" s="177" t="s">
        <v>233</v>
      </c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>
      <c r="A562" s="177" t="s">
        <v>387</v>
      </c>
      <c r="B562" s="188" t="s">
        <v>318</v>
      </c>
      <c r="C562" s="177" t="s">
        <v>222</v>
      </c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>
      <c r="A563" s="177" t="s">
        <v>387</v>
      </c>
      <c r="B563" s="188" t="s">
        <v>318</v>
      </c>
      <c r="C563" s="177" t="s">
        <v>233</v>
      </c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>
      <c r="A564" s="177" t="s">
        <v>387</v>
      </c>
      <c r="B564" s="188" t="s">
        <v>318</v>
      </c>
      <c r="C564" s="177" t="s">
        <v>222</v>
      </c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>
      <c r="A565" s="177" t="s">
        <v>387</v>
      </c>
      <c r="B565" s="188" t="s">
        <v>318</v>
      </c>
      <c r="C565" s="177" t="s">
        <v>233</v>
      </c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>
      <c r="A566" s="177" t="s">
        <v>387</v>
      </c>
      <c r="B566" s="189" t="s">
        <v>318</v>
      </c>
      <c r="C566" s="177" t="s">
        <v>233</v>
      </c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>
      <c r="A567" s="177" t="s">
        <v>387</v>
      </c>
      <c r="B567" s="189" t="s">
        <v>318</v>
      </c>
      <c r="C567" s="177" t="s">
        <v>219</v>
      </c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>
      <c r="A568" s="177" t="s">
        <v>387</v>
      </c>
      <c r="B568" s="181" t="s">
        <v>320</v>
      </c>
      <c r="C568" s="177" t="s">
        <v>233</v>
      </c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>
      <c r="A569" s="177" t="s">
        <v>387</v>
      </c>
      <c r="B569" s="181" t="s">
        <v>320</v>
      </c>
      <c r="C569" s="177" t="s">
        <v>233</v>
      </c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>
      <c r="A570" s="177" t="s">
        <v>387</v>
      </c>
      <c r="B570" s="181" t="s">
        <v>320</v>
      </c>
      <c r="C570" s="177" t="s">
        <v>233</v>
      </c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>
      <c r="A571" s="177" t="s">
        <v>387</v>
      </c>
      <c r="B571" s="181" t="s">
        <v>320</v>
      </c>
      <c r="C571" s="177" t="s">
        <v>302</v>
      </c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>
      <c r="A572" s="177" t="s">
        <v>387</v>
      </c>
      <c r="B572" s="181" t="s">
        <v>320</v>
      </c>
      <c r="C572" s="177" t="s">
        <v>233</v>
      </c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>
      <c r="A573" s="177" t="s">
        <v>387</v>
      </c>
      <c r="B573" s="181" t="s">
        <v>320</v>
      </c>
      <c r="C573" s="177" t="s">
        <v>233</v>
      </c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>
      <c r="A574" s="177" t="s">
        <v>387</v>
      </c>
      <c r="B574" s="181" t="s">
        <v>320</v>
      </c>
      <c r="C574" s="177" t="s">
        <v>219</v>
      </c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>
      <c r="A575" s="177" t="s">
        <v>387</v>
      </c>
      <c r="B575" s="181" t="s">
        <v>320</v>
      </c>
      <c r="C575" s="177" t="s">
        <v>233</v>
      </c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>
      <c r="A576" s="177" t="s">
        <v>387</v>
      </c>
      <c r="B576" s="181" t="s">
        <v>320</v>
      </c>
      <c r="C576" s="177" t="s">
        <v>233</v>
      </c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>
      <c r="A577" s="177" t="s">
        <v>387</v>
      </c>
      <c r="B577" s="181" t="s">
        <v>320</v>
      </c>
      <c r="C577" s="177" t="s">
        <v>233</v>
      </c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>
      <c r="A578" s="177" t="s">
        <v>387</v>
      </c>
      <c r="B578" s="181" t="s">
        <v>320</v>
      </c>
      <c r="C578" s="177" t="s">
        <v>233</v>
      </c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>
      <c r="A579" s="177" t="s">
        <v>387</v>
      </c>
      <c r="B579" s="181" t="s">
        <v>320</v>
      </c>
      <c r="C579" s="177" t="s">
        <v>233</v>
      </c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>
      <c r="A580" s="190" t="s">
        <v>386</v>
      </c>
      <c r="B580" s="191" t="s">
        <v>323</v>
      </c>
      <c r="C580" s="190" t="s">
        <v>222</v>
      </c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>
      <c r="A581" s="190" t="s">
        <v>386</v>
      </c>
      <c r="B581" s="191" t="s">
        <v>323</v>
      </c>
      <c r="C581" s="190" t="s">
        <v>222</v>
      </c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>
      <c r="A582" s="190" t="s">
        <v>386</v>
      </c>
      <c r="B582" s="191" t="s">
        <v>323</v>
      </c>
      <c r="C582" s="190" t="s">
        <v>222</v>
      </c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>
      <c r="A583" s="190" t="s">
        <v>386</v>
      </c>
      <c r="B583" s="191" t="s">
        <v>323</v>
      </c>
      <c r="C583" s="190" t="s">
        <v>224</v>
      </c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>
      <c r="A584" s="190" t="s">
        <v>386</v>
      </c>
      <c r="B584" s="191" t="s">
        <v>323</v>
      </c>
      <c r="C584" s="190" t="s">
        <v>244</v>
      </c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>
      <c r="A585" s="190" t="s">
        <v>386</v>
      </c>
      <c r="B585" s="191" t="s">
        <v>323</v>
      </c>
      <c r="C585" s="190" t="s">
        <v>222</v>
      </c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>
      <c r="A586" s="190" t="s">
        <v>386</v>
      </c>
      <c r="B586" s="191" t="s">
        <v>323</v>
      </c>
      <c r="C586" s="190" t="s">
        <v>222</v>
      </c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>
      <c r="A587" s="190" t="s">
        <v>386</v>
      </c>
      <c r="B587" s="191" t="s">
        <v>323</v>
      </c>
      <c r="C587" s="190" t="s">
        <v>222</v>
      </c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>
      <c r="A588" s="190" t="s">
        <v>386</v>
      </c>
      <c r="B588" s="191" t="s">
        <v>323</v>
      </c>
      <c r="C588" s="190" t="s">
        <v>222</v>
      </c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>
      <c r="A589" s="190" t="s">
        <v>386</v>
      </c>
      <c r="B589" s="191" t="s">
        <v>323</v>
      </c>
      <c r="C589" s="190" t="s">
        <v>244</v>
      </c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>
      <c r="A590" s="190" t="s">
        <v>386</v>
      </c>
      <c r="B590" s="191" t="s">
        <v>324</v>
      </c>
      <c r="C590" s="190" t="s">
        <v>231</v>
      </c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>
      <c r="A591" s="190" t="s">
        <v>386</v>
      </c>
      <c r="B591" s="191" t="s">
        <v>324</v>
      </c>
      <c r="C591" s="190" t="s">
        <v>231</v>
      </c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>
      <c r="A592" s="190" t="s">
        <v>386</v>
      </c>
      <c r="B592" s="191" t="s">
        <v>324</v>
      </c>
      <c r="C592" s="190" t="s">
        <v>220</v>
      </c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>
      <c r="A593" s="190" t="s">
        <v>386</v>
      </c>
      <c r="B593" s="191" t="s">
        <v>324</v>
      </c>
      <c r="C593" s="190" t="s">
        <v>222</v>
      </c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>
      <c r="A594" s="190" t="s">
        <v>386</v>
      </c>
      <c r="B594" s="191" t="s">
        <v>324</v>
      </c>
      <c r="C594" s="190" t="s">
        <v>222</v>
      </c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>
      <c r="A595" s="190" t="s">
        <v>386</v>
      </c>
      <c r="B595" s="191" t="s">
        <v>324</v>
      </c>
      <c r="C595" s="190" t="s">
        <v>222</v>
      </c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>
      <c r="A596" s="190" t="s">
        <v>386</v>
      </c>
      <c r="B596" s="191" t="s">
        <v>324</v>
      </c>
      <c r="C596" s="190" t="s">
        <v>220</v>
      </c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>
      <c r="A597" s="190" t="s">
        <v>386</v>
      </c>
      <c r="B597" s="191" t="s">
        <v>324</v>
      </c>
      <c r="C597" s="190" t="s">
        <v>222</v>
      </c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>
      <c r="A598" s="190" t="s">
        <v>386</v>
      </c>
      <c r="B598" s="191" t="s">
        <v>325</v>
      </c>
      <c r="C598" s="190" t="s">
        <v>222</v>
      </c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>
      <c r="A599" s="190" t="s">
        <v>386</v>
      </c>
      <c r="B599" s="191" t="s">
        <v>325</v>
      </c>
      <c r="C599" s="190" t="s">
        <v>222</v>
      </c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>
      <c r="A600" s="190" t="s">
        <v>386</v>
      </c>
      <c r="B600" s="191" t="s">
        <v>325</v>
      </c>
      <c r="C600" s="190" t="s">
        <v>231</v>
      </c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>
      <c r="A601" s="190" t="s">
        <v>386</v>
      </c>
      <c r="B601" s="191" t="s">
        <v>325</v>
      </c>
      <c r="C601" s="190" t="s">
        <v>222</v>
      </c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>
      <c r="A602" s="190" t="s">
        <v>386</v>
      </c>
      <c r="B602" s="191" t="s">
        <v>325</v>
      </c>
      <c r="C602" s="190" t="s">
        <v>222</v>
      </c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>
      <c r="A603" s="190" t="s">
        <v>386</v>
      </c>
      <c r="B603" s="191" t="s">
        <v>325</v>
      </c>
      <c r="C603" s="190" t="s">
        <v>220</v>
      </c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>
      <c r="A604" s="190" t="s">
        <v>386</v>
      </c>
      <c r="B604" s="191" t="s">
        <v>325</v>
      </c>
      <c r="C604" s="190" t="s">
        <v>222</v>
      </c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>
      <c r="A605" s="190" t="s">
        <v>386</v>
      </c>
      <c r="B605" s="191" t="s">
        <v>325</v>
      </c>
      <c r="C605" s="190" t="s">
        <v>222</v>
      </c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>
      <c r="A606" s="190" t="s">
        <v>386</v>
      </c>
      <c r="B606" s="191" t="s">
        <v>325</v>
      </c>
      <c r="C606" s="190" t="s">
        <v>222</v>
      </c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>
      <c r="A607" s="190" t="s">
        <v>386</v>
      </c>
      <c r="B607" s="191" t="s">
        <v>325</v>
      </c>
      <c r="C607" s="190" t="s">
        <v>222</v>
      </c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>
      <c r="A608" s="190" t="s">
        <v>386</v>
      </c>
      <c r="B608" s="191" t="s">
        <v>325</v>
      </c>
      <c r="C608" s="190" t="s">
        <v>222</v>
      </c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>
      <c r="A609" s="190" t="s">
        <v>386</v>
      </c>
      <c r="B609" s="191" t="s">
        <v>325</v>
      </c>
      <c r="C609" s="190" t="s">
        <v>222</v>
      </c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>
      <c r="A610" s="190" t="s">
        <v>386</v>
      </c>
      <c r="B610" s="191" t="s">
        <v>325</v>
      </c>
      <c r="C610" s="190" t="s">
        <v>222</v>
      </c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>
      <c r="A611" s="190" t="s">
        <v>386</v>
      </c>
      <c r="B611" s="191" t="s">
        <v>326</v>
      </c>
      <c r="C611" s="190" t="s">
        <v>233</v>
      </c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>
      <c r="A612" s="190" t="s">
        <v>386</v>
      </c>
      <c r="B612" s="191" t="s">
        <v>326</v>
      </c>
      <c r="C612" s="190" t="s">
        <v>220</v>
      </c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>
      <c r="A613" s="190" t="s">
        <v>386</v>
      </c>
      <c r="B613" s="191" t="s">
        <v>326</v>
      </c>
      <c r="C613" s="190" t="s">
        <v>220</v>
      </c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>
      <c r="A614" s="190" t="s">
        <v>386</v>
      </c>
      <c r="B614" s="191" t="s">
        <v>326</v>
      </c>
      <c r="C614" s="190" t="s">
        <v>273</v>
      </c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>
      <c r="A615" s="190" t="s">
        <v>386</v>
      </c>
      <c r="B615" s="191" t="s">
        <v>326</v>
      </c>
      <c r="C615" s="190" t="s">
        <v>222</v>
      </c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>
      <c r="A616" s="190" t="s">
        <v>386</v>
      </c>
      <c r="B616" s="191" t="s">
        <v>326</v>
      </c>
      <c r="C616" s="190" t="s">
        <v>224</v>
      </c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>
      <c r="A617" s="190" t="s">
        <v>386</v>
      </c>
      <c r="B617" s="191" t="s">
        <v>326</v>
      </c>
      <c r="C617" s="190" t="s">
        <v>233</v>
      </c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>
      <c r="A618" s="190" t="s">
        <v>386</v>
      </c>
      <c r="B618" s="191" t="s">
        <v>326</v>
      </c>
      <c r="C618" s="190" t="s">
        <v>222</v>
      </c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>
      <c r="A619" s="190" t="s">
        <v>386</v>
      </c>
      <c r="B619" s="191" t="s">
        <v>326</v>
      </c>
      <c r="C619" s="190" t="s">
        <v>222</v>
      </c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>
      <c r="A620" s="190" t="s">
        <v>386</v>
      </c>
      <c r="B620" s="191" t="s">
        <v>326</v>
      </c>
      <c r="C620" s="190" t="s">
        <v>222</v>
      </c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>
      <c r="A621" s="190" t="s">
        <v>386</v>
      </c>
      <c r="B621" s="191" t="s">
        <v>326</v>
      </c>
      <c r="C621" s="190" t="s">
        <v>222</v>
      </c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>
      <c r="A622" s="190" t="s">
        <v>386</v>
      </c>
      <c r="B622" s="191" t="s">
        <v>326</v>
      </c>
      <c r="C622" s="190" t="s">
        <v>222</v>
      </c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>
      <c r="A623" s="190" t="s">
        <v>386</v>
      </c>
      <c r="B623" s="191" t="s">
        <v>327</v>
      </c>
      <c r="C623" s="190" t="s">
        <v>244</v>
      </c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>
      <c r="A624" s="190" t="s">
        <v>386</v>
      </c>
      <c r="B624" s="191" t="s">
        <v>327</v>
      </c>
      <c r="C624" s="190" t="s">
        <v>244</v>
      </c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>
      <c r="A625" s="190" t="s">
        <v>386</v>
      </c>
      <c r="B625" s="191" t="s">
        <v>327</v>
      </c>
      <c r="C625" s="190" t="s">
        <v>219</v>
      </c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>
      <c r="A626" s="190" t="s">
        <v>386</v>
      </c>
      <c r="B626" s="191" t="s">
        <v>327</v>
      </c>
      <c r="C626" s="190" t="s">
        <v>231</v>
      </c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>
      <c r="A627" s="190" t="s">
        <v>386</v>
      </c>
      <c r="B627" s="191" t="s">
        <v>327</v>
      </c>
      <c r="C627" s="190" t="s">
        <v>231</v>
      </c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>
      <c r="A628" s="190" t="s">
        <v>386</v>
      </c>
      <c r="B628" s="191" t="s">
        <v>327</v>
      </c>
      <c r="C628" s="190" t="s">
        <v>222</v>
      </c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>
      <c r="A629" s="190" t="s">
        <v>386</v>
      </c>
      <c r="B629" s="191" t="s">
        <v>328</v>
      </c>
      <c r="C629" s="190" t="s">
        <v>222</v>
      </c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>
      <c r="A630" s="190" t="s">
        <v>386</v>
      </c>
      <c r="B630" s="191" t="s">
        <v>328</v>
      </c>
      <c r="C630" s="190" t="s">
        <v>231</v>
      </c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>
      <c r="A631" s="190" t="s">
        <v>386</v>
      </c>
      <c r="B631" s="191" t="s">
        <v>328</v>
      </c>
      <c r="C631" s="190" t="s">
        <v>231</v>
      </c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>
      <c r="A632" s="190" t="s">
        <v>386</v>
      </c>
      <c r="B632" s="191" t="s">
        <v>328</v>
      </c>
      <c r="C632" s="190" t="s">
        <v>222</v>
      </c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>
      <c r="A633" s="190" t="s">
        <v>386</v>
      </c>
      <c r="B633" s="191" t="s">
        <v>328</v>
      </c>
      <c r="C633" s="190" t="s">
        <v>273</v>
      </c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>
      <c r="A634" s="190" t="s">
        <v>386</v>
      </c>
      <c r="B634" s="191" t="s">
        <v>328</v>
      </c>
      <c r="C634" s="190" t="s">
        <v>273</v>
      </c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>
      <c r="A635" s="190" t="s">
        <v>386</v>
      </c>
      <c r="B635" s="191" t="s">
        <v>328</v>
      </c>
      <c r="C635" s="190" t="s">
        <v>222</v>
      </c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>
      <c r="A636" s="190" t="s">
        <v>386</v>
      </c>
      <c r="B636" s="191" t="s">
        <v>328</v>
      </c>
      <c r="C636" s="190" t="s">
        <v>222</v>
      </c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>
      <c r="A637" s="190" t="s">
        <v>386</v>
      </c>
      <c r="B637" s="191" t="s">
        <v>328</v>
      </c>
      <c r="C637" s="190" t="s">
        <v>222</v>
      </c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>
      <c r="A638" s="190" t="s">
        <v>386</v>
      </c>
      <c r="B638" s="191" t="s">
        <v>328</v>
      </c>
      <c r="C638" s="190" t="s">
        <v>222</v>
      </c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>
      <c r="A639" s="190" t="s">
        <v>386</v>
      </c>
      <c r="B639" s="191" t="s">
        <v>328</v>
      </c>
      <c r="C639" s="190" t="s">
        <v>222</v>
      </c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>
      <c r="A640" s="190" t="s">
        <v>386</v>
      </c>
      <c r="B640" s="191" t="s">
        <v>329</v>
      </c>
      <c r="C640" s="190" t="s">
        <v>222</v>
      </c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>
      <c r="A641" s="190" t="s">
        <v>386</v>
      </c>
      <c r="B641" s="190" t="s">
        <v>329</v>
      </c>
      <c r="C641" s="190" t="s">
        <v>273</v>
      </c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>
      <c r="A642" s="190" t="s">
        <v>386</v>
      </c>
      <c r="B642" s="191" t="s">
        <v>329</v>
      </c>
      <c r="C642" s="190" t="s">
        <v>220</v>
      </c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>
      <c r="A643" s="190" t="s">
        <v>386</v>
      </c>
      <c r="B643" s="190" t="s">
        <v>329</v>
      </c>
      <c r="C643" s="190" t="s">
        <v>389</v>
      </c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>
      <c r="A644" s="190" t="s">
        <v>386</v>
      </c>
      <c r="B644" s="191" t="s">
        <v>329</v>
      </c>
      <c r="C644" s="190" t="s">
        <v>222</v>
      </c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>
      <c r="A645" s="190" t="s">
        <v>386</v>
      </c>
      <c r="B645" s="190" t="s">
        <v>329</v>
      </c>
      <c r="C645" s="190" t="s">
        <v>236</v>
      </c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>
      <c r="A646" s="190" t="s">
        <v>386</v>
      </c>
      <c r="B646" s="191" t="s">
        <v>329</v>
      </c>
      <c r="C646" s="190" t="s">
        <v>273</v>
      </c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>
      <c r="A647" s="190" t="s">
        <v>386</v>
      </c>
      <c r="B647" s="191" t="s">
        <v>329</v>
      </c>
      <c r="C647" s="190" t="s">
        <v>222</v>
      </c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>
      <c r="A648" s="190" t="s">
        <v>386</v>
      </c>
      <c r="B648" s="191" t="s">
        <v>331</v>
      </c>
      <c r="C648" s="190" t="s">
        <v>222</v>
      </c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>
      <c r="A649" s="190" t="s">
        <v>386</v>
      </c>
      <c r="B649" s="191" t="s">
        <v>331</v>
      </c>
      <c r="C649" s="190" t="s">
        <v>222</v>
      </c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>
      <c r="A650" s="190" t="s">
        <v>386</v>
      </c>
      <c r="B650" s="191" t="s">
        <v>331</v>
      </c>
      <c r="C650" s="190" t="s">
        <v>273</v>
      </c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>
      <c r="A651" s="190" t="s">
        <v>386</v>
      </c>
      <c r="B651" s="191" t="s">
        <v>331</v>
      </c>
      <c r="C651" s="190" t="s">
        <v>273</v>
      </c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>
      <c r="A652" s="190" t="s">
        <v>386</v>
      </c>
      <c r="B652" s="191" t="s">
        <v>331</v>
      </c>
      <c r="C652" s="190" t="s">
        <v>389</v>
      </c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>
      <c r="A653" s="190" t="s">
        <v>386</v>
      </c>
      <c r="B653" s="191" t="s">
        <v>331</v>
      </c>
      <c r="C653" s="190" t="s">
        <v>222</v>
      </c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>
      <c r="A654" s="190" t="s">
        <v>386</v>
      </c>
      <c r="B654" s="191" t="s">
        <v>331</v>
      </c>
      <c r="C654" s="190" t="s">
        <v>389</v>
      </c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>
      <c r="A655" s="190" t="s">
        <v>386</v>
      </c>
      <c r="B655" s="191" t="s">
        <v>331</v>
      </c>
      <c r="C655" s="190" t="s">
        <v>224</v>
      </c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>
      <c r="A656" s="190" t="s">
        <v>386</v>
      </c>
      <c r="B656" s="191" t="s">
        <v>331</v>
      </c>
      <c r="C656" s="190" t="s">
        <v>222</v>
      </c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>
      <c r="A657" s="190" t="s">
        <v>386</v>
      </c>
      <c r="B657" s="191" t="s">
        <v>331</v>
      </c>
      <c r="C657" s="190" t="s">
        <v>222</v>
      </c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>
      <c r="A658" s="190" t="s">
        <v>386</v>
      </c>
      <c r="B658" s="191" t="s">
        <v>331</v>
      </c>
      <c r="C658" s="190" t="s">
        <v>222</v>
      </c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>
      <c r="A659" s="190" t="s">
        <v>386</v>
      </c>
      <c r="B659" s="191" t="s">
        <v>332</v>
      </c>
      <c r="C659" s="190" t="s">
        <v>222</v>
      </c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>
      <c r="A660" s="190" t="s">
        <v>386</v>
      </c>
      <c r="B660" s="190" t="s">
        <v>332</v>
      </c>
      <c r="C660" s="190" t="s">
        <v>273</v>
      </c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>
      <c r="A661" s="190" t="s">
        <v>386</v>
      </c>
      <c r="B661" s="191" t="s">
        <v>332</v>
      </c>
      <c r="C661" s="190" t="s">
        <v>235</v>
      </c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>
      <c r="A662" s="190" t="s">
        <v>386</v>
      </c>
      <c r="B662" s="190" t="s">
        <v>332</v>
      </c>
      <c r="C662" s="190" t="s">
        <v>233</v>
      </c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>
      <c r="A663" s="190" t="s">
        <v>386</v>
      </c>
      <c r="B663" s="191" t="s">
        <v>332</v>
      </c>
      <c r="C663" s="190" t="s">
        <v>233</v>
      </c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>
      <c r="A664" s="190" t="s">
        <v>386</v>
      </c>
      <c r="B664" s="190" t="s">
        <v>332</v>
      </c>
      <c r="C664" s="190" t="s">
        <v>233</v>
      </c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>
      <c r="A665" s="190" t="s">
        <v>386</v>
      </c>
      <c r="B665" s="191" t="s">
        <v>332</v>
      </c>
      <c r="C665" s="190" t="s">
        <v>222</v>
      </c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>
      <c r="A666" s="190" t="s">
        <v>386</v>
      </c>
      <c r="B666" s="191" t="s">
        <v>332</v>
      </c>
      <c r="C666" s="190" t="s">
        <v>222</v>
      </c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>
      <c r="A667" s="190" t="s">
        <v>386</v>
      </c>
      <c r="B667" s="191" t="s">
        <v>332</v>
      </c>
      <c r="C667" s="190" t="s">
        <v>233</v>
      </c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>
      <c r="A668" s="190" t="s">
        <v>386</v>
      </c>
      <c r="B668" s="191" t="s">
        <v>333</v>
      </c>
      <c r="C668" s="190" t="s">
        <v>222</v>
      </c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>
      <c r="A669" s="190" t="s">
        <v>386</v>
      </c>
      <c r="B669" s="191" t="s">
        <v>333</v>
      </c>
      <c r="C669" s="190" t="s">
        <v>222</v>
      </c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>
      <c r="A670" s="190" t="s">
        <v>386</v>
      </c>
      <c r="B670" s="191" t="s">
        <v>333</v>
      </c>
      <c r="C670" s="190" t="s">
        <v>244</v>
      </c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>
      <c r="A671" s="190" t="s">
        <v>386</v>
      </c>
      <c r="B671" s="191" t="s">
        <v>333</v>
      </c>
      <c r="C671" s="190" t="s">
        <v>273</v>
      </c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>
      <c r="A672" s="190" t="s">
        <v>386</v>
      </c>
      <c r="B672" s="191" t="s">
        <v>333</v>
      </c>
      <c r="C672" s="190" t="s">
        <v>222</v>
      </c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>
      <c r="A673" s="190" t="s">
        <v>386</v>
      </c>
      <c r="B673" s="191" t="s">
        <v>333</v>
      </c>
      <c r="C673" s="190" t="s">
        <v>231</v>
      </c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>
      <c r="A674" s="190" t="s">
        <v>386</v>
      </c>
      <c r="B674" s="191" t="s">
        <v>333</v>
      </c>
      <c r="C674" s="190" t="s">
        <v>231</v>
      </c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>
      <c r="A675" s="190" t="s">
        <v>386</v>
      </c>
      <c r="B675" s="191" t="s">
        <v>333</v>
      </c>
      <c r="C675" s="190" t="s">
        <v>222</v>
      </c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>
      <c r="A676" s="190" t="s">
        <v>386</v>
      </c>
      <c r="B676" s="191" t="s">
        <v>333</v>
      </c>
      <c r="C676" s="190" t="s">
        <v>222</v>
      </c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>
      <c r="A677" s="190" t="s">
        <v>386</v>
      </c>
      <c r="B677" s="191" t="s">
        <v>333</v>
      </c>
      <c r="C677" s="190" t="s">
        <v>222</v>
      </c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>
      <c r="A678" s="190" t="s">
        <v>386</v>
      </c>
      <c r="B678" s="191" t="s">
        <v>333</v>
      </c>
      <c r="C678" s="190" t="s">
        <v>222</v>
      </c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>
      <c r="A679" s="190" t="s">
        <v>386</v>
      </c>
      <c r="B679" s="191" t="s">
        <v>334</v>
      </c>
      <c r="C679" s="190" t="s">
        <v>222</v>
      </c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>
      <c r="A680" s="190" t="s">
        <v>386</v>
      </c>
      <c r="B680" s="190" t="s">
        <v>334</v>
      </c>
      <c r="C680" s="190" t="s">
        <v>273</v>
      </c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>
      <c r="A681" s="190" t="s">
        <v>386</v>
      </c>
      <c r="B681" s="191" t="s">
        <v>334</v>
      </c>
      <c r="C681" s="190" t="s">
        <v>227</v>
      </c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>
      <c r="A682" s="190" t="s">
        <v>386</v>
      </c>
      <c r="B682" s="190" t="s">
        <v>334</v>
      </c>
      <c r="C682" s="190" t="s">
        <v>273</v>
      </c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>
      <c r="A683" s="190" t="s">
        <v>386</v>
      </c>
      <c r="B683" s="191" t="s">
        <v>334</v>
      </c>
      <c r="C683" s="190" t="s">
        <v>227</v>
      </c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>
      <c r="A684" s="190" t="s">
        <v>386</v>
      </c>
      <c r="B684" s="191" t="s">
        <v>334</v>
      </c>
      <c r="C684" s="190" t="s">
        <v>222</v>
      </c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>
      <c r="A685" s="190" t="s">
        <v>386</v>
      </c>
      <c r="B685" s="191" t="s">
        <v>334</v>
      </c>
      <c r="C685" s="190" t="s">
        <v>222</v>
      </c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>
      <c r="A686" s="190" t="s">
        <v>386</v>
      </c>
      <c r="B686" s="191" t="s">
        <v>335</v>
      </c>
      <c r="C686" s="190" t="s">
        <v>222</v>
      </c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>
      <c r="A687" s="190" t="s">
        <v>386</v>
      </c>
      <c r="B687" s="191" t="s">
        <v>335</v>
      </c>
      <c r="C687" s="190" t="s">
        <v>222</v>
      </c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>
      <c r="A688" s="190" t="s">
        <v>386</v>
      </c>
      <c r="B688" s="191" t="s">
        <v>335</v>
      </c>
      <c r="C688" s="190" t="s">
        <v>231</v>
      </c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>
      <c r="A689" s="190" t="s">
        <v>386</v>
      </c>
      <c r="B689" s="191" t="s">
        <v>335</v>
      </c>
      <c r="C689" s="190" t="s">
        <v>231</v>
      </c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>
      <c r="A690" s="190" t="s">
        <v>386</v>
      </c>
      <c r="B690" s="191" t="s">
        <v>335</v>
      </c>
      <c r="C690" s="190" t="s">
        <v>231</v>
      </c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>
      <c r="A691" s="190" t="s">
        <v>386</v>
      </c>
      <c r="B691" s="191" t="s">
        <v>335</v>
      </c>
      <c r="C691" s="190" t="s">
        <v>222</v>
      </c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>
      <c r="A692" s="190" t="s">
        <v>386</v>
      </c>
      <c r="B692" s="191" t="s">
        <v>335</v>
      </c>
      <c r="C692" s="190" t="s">
        <v>222</v>
      </c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>
      <c r="A693" s="190" t="s">
        <v>386</v>
      </c>
      <c r="B693" s="191" t="s">
        <v>335</v>
      </c>
      <c r="C693" s="190" t="s">
        <v>222</v>
      </c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>
      <c r="A694" s="190" t="s">
        <v>386</v>
      </c>
      <c r="B694" s="191" t="s">
        <v>335</v>
      </c>
      <c r="C694" s="190" t="s">
        <v>222</v>
      </c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>
      <c r="A695" s="190" t="s">
        <v>386</v>
      </c>
      <c r="B695" s="191" t="s">
        <v>336</v>
      </c>
      <c r="C695" s="190" t="s">
        <v>222</v>
      </c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>
      <c r="A696" s="190" t="s">
        <v>386</v>
      </c>
      <c r="B696" s="190" t="s">
        <v>336</v>
      </c>
      <c r="C696" s="190" t="s">
        <v>222</v>
      </c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>
      <c r="A697" s="190" t="s">
        <v>386</v>
      </c>
      <c r="B697" s="190" t="s">
        <v>336</v>
      </c>
      <c r="C697" s="190" t="s">
        <v>231</v>
      </c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>
      <c r="A698" s="190" t="s">
        <v>386</v>
      </c>
      <c r="B698" s="191" t="s">
        <v>336</v>
      </c>
      <c r="C698" s="190" t="s">
        <v>222</v>
      </c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>
      <c r="A699" s="190" t="s">
        <v>386</v>
      </c>
      <c r="B699" s="191" t="s">
        <v>336</v>
      </c>
      <c r="C699" s="190" t="s">
        <v>222</v>
      </c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>
      <c r="A700" s="190" t="s">
        <v>386</v>
      </c>
      <c r="B700" s="191" t="s">
        <v>336</v>
      </c>
      <c r="C700" s="190" t="s">
        <v>222</v>
      </c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>
      <c r="A701" s="190" t="s">
        <v>386</v>
      </c>
      <c r="B701" s="191" t="s">
        <v>336</v>
      </c>
      <c r="C701" s="190" t="s">
        <v>222</v>
      </c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>
      <c r="A702" s="190" t="s">
        <v>386</v>
      </c>
      <c r="B702" s="191" t="s">
        <v>337</v>
      </c>
      <c r="C702" s="190" t="s">
        <v>222</v>
      </c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>
      <c r="A703" s="190" t="s">
        <v>386</v>
      </c>
      <c r="B703" s="191" t="s">
        <v>337</v>
      </c>
      <c r="C703" s="190" t="s">
        <v>222</v>
      </c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>
      <c r="A704" s="190" t="s">
        <v>386</v>
      </c>
      <c r="B704" s="191" t="s">
        <v>337</v>
      </c>
      <c r="C704" s="190" t="s">
        <v>244</v>
      </c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>
      <c r="A705" s="190" t="s">
        <v>386</v>
      </c>
      <c r="B705" s="191" t="s">
        <v>337</v>
      </c>
      <c r="C705" s="190" t="s">
        <v>244</v>
      </c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>
      <c r="A706" s="190" t="s">
        <v>386</v>
      </c>
      <c r="B706" s="191" t="s">
        <v>337</v>
      </c>
      <c r="C706" s="190" t="s">
        <v>224</v>
      </c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>
      <c r="A707" s="190" t="s">
        <v>386</v>
      </c>
      <c r="B707" s="191" t="s">
        <v>337</v>
      </c>
      <c r="C707" s="190" t="s">
        <v>220</v>
      </c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>
      <c r="A708" s="190" t="s">
        <v>386</v>
      </c>
      <c r="B708" s="191" t="s">
        <v>337</v>
      </c>
      <c r="C708" s="190" t="s">
        <v>222</v>
      </c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>
      <c r="A709" s="190" t="s">
        <v>386</v>
      </c>
      <c r="B709" s="191" t="s">
        <v>337</v>
      </c>
      <c r="C709" s="190" t="s">
        <v>222</v>
      </c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>
      <c r="A710" s="190" t="s">
        <v>386</v>
      </c>
      <c r="B710" s="191" t="s">
        <v>337</v>
      </c>
      <c r="C710" s="190" t="s">
        <v>222</v>
      </c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>
      <c r="A711" s="190" t="s">
        <v>386</v>
      </c>
      <c r="B711" s="191" t="s">
        <v>337</v>
      </c>
      <c r="C711" s="190" t="s">
        <v>222</v>
      </c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>
      <c r="A712" s="190" t="s">
        <v>386</v>
      </c>
      <c r="B712" s="191" t="s">
        <v>337</v>
      </c>
      <c r="C712" s="190" t="s">
        <v>222</v>
      </c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>
      <c r="A713" s="190" t="s">
        <v>386</v>
      </c>
      <c r="B713" s="191" t="s">
        <v>338</v>
      </c>
      <c r="C713" s="190" t="s">
        <v>222</v>
      </c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>
      <c r="A714" s="190" t="s">
        <v>386</v>
      </c>
      <c r="B714" s="191" t="s">
        <v>338</v>
      </c>
      <c r="C714" s="190" t="s">
        <v>222</v>
      </c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>
      <c r="A715" s="190" t="s">
        <v>386</v>
      </c>
      <c r="B715" s="191" t="s">
        <v>338</v>
      </c>
      <c r="C715" s="190" t="s">
        <v>222</v>
      </c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>
      <c r="A716" s="190" t="s">
        <v>386</v>
      </c>
      <c r="B716" s="191" t="s">
        <v>338</v>
      </c>
      <c r="C716" s="190" t="s">
        <v>244</v>
      </c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>
      <c r="A717" s="190" t="s">
        <v>386</v>
      </c>
      <c r="B717" s="191" t="s">
        <v>338</v>
      </c>
      <c r="C717" s="190" t="s">
        <v>244</v>
      </c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>
      <c r="A718" s="190" t="s">
        <v>386</v>
      </c>
      <c r="B718" s="191" t="s">
        <v>338</v>
      </c>
      <c r="C718" s="190" t="s">
        <v>224</v>
      </c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>
      <c r="A719" s="190" t="s">
        <v>386</v>
      </c>
      <c r="B719" s="191" t="s">
        <v>338</v>
      </c>
      <c r="C719" s="190" t="s">
        <v>222</v>
      </c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>
      <c r="A720" s="190" t="s">
        <v>386</v>
      </c>
      <c r="B720" s="191" t="s">
        <v>338</v>
      </c>
      <c r="C720" s="190" t="s">
        <v>222</v>
      </c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>
      <c r="A721" s="190" t="s">
        <v>386</v>
      </c>
      <c r="B721" s="191" t="s">
        <v>338</v>
      </c>
      <c r="C721" s="190" t="s">
        <v>222</v>
      </c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>
      <c r="A722" s="190" t="s">
        <v>386</v>
      </c>
      <c r="B722" s="191" t="s">
        <v>338</v>
      </c>
      <c r="C722" s="190" t="s">
        <v>222</v>
      </c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>
      <c r="A723" s="190" t="s">
        <v>386</v>
      </c>
      <c r="B723" s="191" t="s">
        <v>338</v>
      </c>
      <c r="C723" s="190" t="s">
        <v>222</v>
      </c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>
      <c r="A724" s="190" t="s">
        <v>386</v>
      </c>
      <c r="B724" s="191" t="s">
        <v>338</v>
      </c>
      <c r="C724" s="190" t="s">
        <v>224</v>
      </c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>
      <c r="A725" s="190" t="s">
        <v>386</v>
      </c>
      <c r="B725" s="191" t="s">
        <v>339</v>
      </c>
      <c r="C725" s="190" t="s">
        <v>222</v>
      </c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>
      <c r="A726" s="190" t="s">
        <v>386</v>
      </c>
      <c r="B726" s="191" t="s">
        <v>339</v>
      </c>
      <c r="C726" s="190" t="s">
        <v>244</v>
      </c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>
      <c r="A727" s="190" t="s">
        <v>386</v>
      </c>
      <c r="B727" s="191" t="s">
        <v>339</v>
      </c>
      <c r="C727" s="190" t="s">
        <v>222</v>
      </c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>
      <c r="A728" s="190" t="s">
        <v>386</v>
      </c>
      <c r="B728" s="191" t="s">
        <v>339</v>
      </c>
      <c r="C728" s="190" t="s">
        <v>222</v>
      </c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>
      <c r="A729" s="190" t="s">
        <v>386</v>
      </c>
      <c r="B729" s="191" t="s">
        <v>339</v>
      </c>
      <c r="C729" s="190" t="s">
        <v>222</v>
      </c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>
      <c r="A730" s="190" t="s">
        <v>386</v>
      </c>
      <c r="B730" s="192" t="s">
        <v>339</v>
      </c>
      <c r="C730" s="193" t="s">
        <v>231</v>
      </c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>
      <c r="A731" s="190" t="s">
        <v>386</v>
      </c>
      <c r="B731" s="192" t="s">
        <v>339</v>
      </c>
      <c r="C731" s="193" t="s">
        <v>231</v>
      </c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>
      <c r="A732" s="190" t="s">
        <v>386</v>
      </c>
      <c r="B732" s="192" t="s">
        <v>339</v>
      </c>
      <c r="C732" s="192" t="s">
        <v>222</v>
      </c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>
      <c r="A733" s="190" t="s">
        <v>386</v>
      </c>
      <c r="B733" s="192" t="s">
        <v>339</v>
      </c>
      <c r="C733" s="192" t="s">
        <v>222</v>
      </c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>
      <c r="A734" s="190" t="s">
        <v>386</v>
      </c>
      <c r="B734" s="192" t="s">
        <v>339</v>
      </c>
      <c r="C734" s="192" t="s">
        <v>222</v>
      </c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>
      <c r="A735" s="190" t="s">
        <v>386</v>
      </c>
      <c r="B735" s="191" t="s">
        <v>339</v>
      </c>
      <c r="C735" s="190" t="s">
        <v>222</v>
      </c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>
      <c r="A736" s="190" t="s">
        <v>386</v>
      </c>
      <c r="B736" s="191" t="s">
        <v>340</v>
      </c>
      <c r="C736" s="190" t="s">
        <v>219</v>
      </c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>
      <c r="A737" s="190" t="s">
        <v>386</v>
      </c>
      <c r="B737" s="191" t="s">
        <v>340</v>
      </c>
      <c r="C737" s="190" t="s">
        <v>222</v>
      </c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>
      <c r="A738" s="190" t="s">
        <v>386</v>
      </c>
      <c r="B738" s="191" t="s">
        <v>340</v>
      </c>
      <c r="C738" s="190" t="s">
        <v>219</v>
      </c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>
      <c r="A739" s="190" t="s">
        <v>386</v>
      </c>
      <c r="B739" s="191" t="s">
        <v>340</v>
      </c>
      <c r="C739" s="190" t="s">
        <v>219</v>
      </c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>
      <c r="A740" s="190" t="s">
        <v>386</v>
      </c>
      <c r="B740" s="191" t="s">
        <v>340</v>
      </c>
      <c r="C740" s="190" t="s">
        <v>222</v>
      </c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>
      <c r="A741" s="190" t="s">
        <v>386</v>
      </c>
      <c r="B741" s="191" t="s">
        <v>340</v>
      </c>
      <c r="C741" s="190" t="s">
        <v>222</v>
      </c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>
      <c r="A742" s="190" t="s">
        <v>386</v>
      </c>
      <c r="B742" s="191" t="s">
        <v>340</v>
      </c>
      <c r="C742" s="190" t="s">
        <v>219</v>
      </c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>
      <c r="A743" s="190" t="s">
        <v>386</v>
      </c>
      <c r="B743" s="191" t="s">
        <v>340</v>
      </c>
      <c r="C743" s="190" t="s">
        <v>222</v>
      </c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>
      <c r="A744" s="190" t="s">
        <v>386</v>
      </c>
      <c r="B744" s="191" t="s">
        <v>340</v>
      </c>
      <c r="C744" s="190" t="s">
        <v>222</v>
      </c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>
      <c r="A745" s="190" t="s">
        <v>386</v>
      </c>
      <c r="B745" s="191" t="s">
        <v>340</v>
      </c>
      <c r="C745" s="190" t="s">
        <v>222</v>
      </c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>
      <c r="A746" s="190" t="s">
        <v>386</v>
      </c>
      <c r="B746" s="191" t="s">
        <v>340</v>
      </c>
      <c r="C746" s="190" t="s">
        <v>219</v>
      </c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>
      <c r="A747" s="190" t="s">
        <v>386</v>
      </c>
      <c r="B747" s="191" t="s">
        <v>340</v>
      </c>
      <c r="C747" s="190" t="s">
        <v>219</v>
      </c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>
      <c r="A748" s="190" t="s">
        <v>386</v>
      </c>
      <c r="B748" s="191" t="s">
        <v>340</v>
      </c>
      <c r="C748" s="190" t="s">
        <v>222</v>
      </c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>
      <c r="A749" s="190" t="s">
        <v>386</v>
      </c>
      <c r="B749" s="191" t="s">
        <v>341</v>
      </c>
      <c r="C749" s="190" t="s">
        <v>219</v>
      </c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>
      <c r="A750" s="190" t="s">
        <v>386</v>
      </c>
      <c r="B750" s="191" t="s">
        <v>341</v>
      </c>
      <c r="C750" s="190" t="s">
        <v>222</v>
      </c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>
      <c r="A751" s="190" t="s">
        <v>386</v>
      </c>
      <c r="B751" s="191" t="s">
        <v>341</v>
      </c>
      <c r="C751" s="190" t="s">
        <v>224</v>
      </c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>
      <c r="A752" s="190" t="s">
        <v>386</v>
      </c>
      <c r="B752" s="191" t="s">
        <v>341</v>
      </c>
      <c r="C752" s="190" t="s">
        <v>219</v>
      </c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>
      <c r="A753" s="190" t="s">
        <v>386</v>
      </c>
      <c r="B753" s="191" t="s">
        <v>341</v>
      </c>
      <c r="C753" s="190" t="s">
        <v>379</v>
      </c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>
      <c r="A754" s="190" t="s">
        <v>386</v>
      </c>
      <c r="B754" s="191" t="s">
        <v>341</v>
      </c>
      <c r="C754" s="190" t="s">
        <v>379</v>
      </c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>
      <c r="A755" s="190" t="s">
        <v>386</v>
      </c>
      <c r="B755" s="191" t="s">
        <v>341</v>
      </c>
      <c r="C755" s="190" t="s">
        <v>222</v>
      </c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>
      <c r="A756" s="190" t="s">
        <v>386</v>
      </c>
      <c r="B756" s="191" t="s">
        <v>341</v>
      </c>
      <c r="C756" s="190" t="s">
        <v>222</v>
      </c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>
      <c r="A757" s="190" t="s">
        <v>386</v>
      </c>
      <c r="B757" s="191" t="s">
        <v>341</v>
      </c>
      <c r="C757" s="190" t="s">
        <v>222</v>
      </c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>
      <c r="A758" s="190" t="s">
        <v>386</v>
      </c>
      <c r="B758" s="191" t="s">
        <v>341</v>
      </c>
      <c r="C758" s="190" t="s">
        <v>220</v>
      </c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>
      <c r="A759" s="190" t="s">
        <v>386</v>
      </c>
      <c r="B759" s="191" t="s">
        <v>341</v>
      </c>
      <c r="C759" s="190" t="s">
        <v>222</v>
      </c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>
      <c r="A760" s="190" t="s">
        <v>386</v>
      </c>
      <c r="B760" s="191" t="s">
        <v>341</v>
      </c>
      <c r="C760" s="190" t="s">
        <v>222</v>
      </c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>
      <c r="A761" s="190" t="s">
        <v>386</v>
      </c>
      <c r="B761" s="193" t="s">
        <v>344</v>
      </c>
      <c r="C761" s="193" t="s">
        <v>222</v>
      </c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>
      <c r="A762" s="190" t="s">
        <v>386</v>
      </c>
      <c r="B762" s="193" t="s">
        <v>344</v>
      </c>
      <c r="C762" s="193" t="s">
        <v>222</v>
      </c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>
      <c r="A763" s="190" t="s">
        <v>386</v>
      </c>
      <c r="B763" s="193" t="s">
        <v>344</v>
      </c>
      <c r="C763" s="192" t="s">
        <v>222</v>
      </c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>
      <c r="A764" s="190" t="s">
        <v>386</v>
      </c>
      <c r="B764" s="193" t="s">
        <v>344</v>
      </c>
      <c r="C764" s="192" t="s">
        <v>222</v>
      </c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>
      <c r="A765" s="190" t="s">
        <v>386</v>
      </c>
      <c r="B765" s="193" t="s">
        <v>344</v>
      </c>
      <c r="C765" s="193" t="s">
        <v>379</v>
      </c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>
      <c r="A766" s="190" t="s">
        <v>386</v>
      </c>
      <c r="B766" s="193" t="s">
        <v>344</v>
      </c>
      <c r="C766" s="192" t="s">
        <v>222</v>
      </c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>
      <c r="A767" s="190" t="s">
        <v>386</v>
      </c>
      <c r="B767" s="193" t="s">
        <v>344</v>
      </c>
      <c r="C767" s="192" t="s">
        <v>219</v>
      </c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>
      <c r="A768" s="190" t="s">
        <v>386</v>
      </c>
      <c r="B768" s="193" t="s">
        <v>344</v>
      </c>
      <c r="C768" s="192" t="s">
        <v>222</v>
      </c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>
      <c r="A769" s="190" t="s">
        <v>386</v>
      </c>
      <c r="B769" s="193" t="s">
        <v>344</v>
      </c>
      <c r="C769" s="192" t="s">
        <v>222</v>
      </c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>
      <c r="A770" s="190" t="s">
        <v>386</v>
      </c>
      <c r="B770" s="193" t="s">
        <v>344</v>
      </c>
      <c r="C770" s="192" t="s">
        <v>222</v>
      </c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>
      <c r="A771" s="190" t="s">
        <v>386</v>
      </c>
      <c r="B771" s="191" t="s">
        <v>345</v>
      </c>
      <c r="C771" s="190" t="s">
        <v>222</v>
      </c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>
      <c r="A772" s="190" t="s">
        <v>386</v>
      </c>
      <c r="B772" s="191" t="s">
        <v>345</v>
      </c>
      <c r="C772" s="190" t="s">
        <v>222</v>
      </c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>
      <c r="A773" s="190" t="s">
        <v>386</v>
      </c>
      <c r="B773" s="191" t="s">
        <v>345</v>
      </c>
      <c r="C773" s="190" t="s">
        <v>222</v>
      </c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>
      <c r="A774" s="190" t="s">
        <v>386</v>
      </c>
      <c r="B774" s="191" t="s">
        <v>345</v>
      </c>
      <c r="C774" s="190" t="s">
        <v>222</v>
      </c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>
      <c r="A775" s="190" t="s">
        <v>386</v>
      </c>
      <c r="B775" s="191" t="s">
        <v>345</v>
      </c>
      <c r="C775" s="190" t="s">
        <v>222</v>
      </c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>
      <c r="A776" s="190" t="s">
        <v>386</v>
      </c>
      <c r="B776" s="191" t="s">
        <v>345</v>
      </c>
      <c r="C776" s="190" t="s">
        <v>222</v>
      </c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>
      <c r="A777" s="190" t="s">
        <v>386</v>
      </c>
      <c r="B777" s="191" t="s">
        <v>346</v>
      </c>
      <c r="C777" s="190" t="s">
        <v>222</v>
      </c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>
      <c r="A778" s="190" t="s">
        <v>386</v>
      </c>
      <c r="B778" s="190" t="s">
        <v>346</v>
      </c>
      <c r="C778" s="190" t="s">
        <v>220</v>
      </c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>
      <c r="A779" s="190" t="s">
        <v>386</v>
      </c>
      <c r="B779" s="191" t="s">
        <v>346</v>
      </c>
      <c r="C779" s="190" t="s">
        <v>222</v>
      </c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>
      <c r="A780" s="190" t="s">
        <v>386</v>
      </c>
      <c r="B780" s="190" t="s">
        <v>346</v>
      </c>
      <c r="C780" s="190" t="s">
        <v>231</v>
      </c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>
      <c r="A781" s="190" t="s">
        <v>386</v>
      </c>
      <c r="B781" s="191" t="s">
        <v>346</v>
      </c>
      <c r="C781" s="190" t="s">
        <v>224</v>
      </c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>
      <c r="A782" s="190" t="s">
        <v>386</v>
      </c>
      <c r="B782" s="190" t="s">
        <v>346</v>
      </c>
      <c r="C782" s="190" t="s">
        <v>220</v>
      </c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>
      <c r="A783" s="190" t="s">
        <v>386</v>
      </c>
      <c r="B783" s="191" t="s">
        <v>346</v>
      </c>
      <c r="C783" s="190" t="s">
        <v>222</v>
      </c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>
      <c r="A784" s="190" t="s">
        <v>386</v>
      </c>
      <c r="B784" s="190" t="s">
        <v>347</v>
      </c>
      <c r="C784" s="190" t="s">
        <v>220</v>
      </c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>
      <c r="A785" s="190" t="s">
        <v>386</v>
      </c>
      <c r="B785" s="190" t="s">
        <v>347</v>
      </c>
      <c r="C785" s="190" t="s">
        <v>220</v>
      </c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>
      <c r="A786" s="190" t="s">
        <v>386</v>
      </c>
      <c r="B786" s="190" t="s">
        <v>347</v>
      </c>
      <c r="C786" s="190" t="s">
        <v>273</v>
      </c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>
      <c r="A787" s="190" t="s">
        <v>386</v>
      </c>
      <c r="B787" s="190" t="s">
        <v>347</v>
      </c>
      <c r="C787" s="190" t="s">
        <v>220</v>
      </c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>
      <c r="A788" s="190" t="s">
        <v>386</v>
      </c>
      <c r="B788" s="190" t="s">
        <v>347</v>
      </c>
      <c r="C788" s="190" t="s">
        <v>224</v>
      </c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>
      <c r="A789" s="190" t="s">
        <v>386</v>
      </c>
      <c r="B789" s="190" t="s">
        <v>347</v>
      </c>
      <c r="C789" s="190" t="s">
        <v>222</v>
      </c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>
      <c r="A790" s="190" t="s">
        <v>386</v>
      </c>
      <c r="B790" s="191" t="s">
        <v>348</v>
      </c>
      <c r="C790" s="190" t="s">
        <v>222</v>
      </c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>
      <c r="A791" s="190" t="s">
        <v>386</v>
      </c>
      <c r="B791" s="191" t="s">
        <v>348</v>
      </c>
      <c r="C791" s="190" t="s">
        <v>224</v>
      </c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>
      <c r="A792" s="190" t="s">
        <v>386</v>
      </c>
      <c r="B792" s="191" t="s">
        <v>348</v>
      </c>
      <c r="C792" s="190" t="s">
        <v>224</v>
      </c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>
      <c r="A793" s="190" t="s">
        <v>386</v>
      </c>
      <c r="B793" s="191" t="s">
        <v>348</v>
      </c>
      <c r="C793" s="190" t="s">
        <v>222</v>
      </c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>
      <c r="A794" s="190" t="s">
        <v>386</v>
      </c>
      <c r="B794" s="191" t="s">
        <v>348</v>
      </c>
      <c r="C794" s="190" t="s">
        <v>222</v>
      </c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>
      <c r="A795" s="190" t="s">
        <v>386</v>
      </c>
      <c r="B795" s="191" t="s">
        <v>348</v>
      </c>
      <c r="C795" s="190" t="s">
        <v>222</v>
      </c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>
      <c r="A796" s="190" t="s">
        <v>386</v>
      </c>
      <c r="B796" s="191" t="s">
        <v>348</v>
      </c>
      <c r="C796" s="190" t="s">
        <v>222</v>
      </c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>
      <c r="A797" s="190" t="s">
        <v>386</v>
      </c>
      <c r="B797" s="191" t="s">
        <v>348</v>
      </c>
      <c r="C797" s="190" t="s">
        <v>222</v>
      </c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>
      <c r="A798" s="190" t="s">
        <v>386</v>
      </c>
      <c r="B798" s="191" t="s">
        <v>348</v>
      </c>
      <c r="C798" s="190" t="s">
        <v>222</v>
      </c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>
      <c r="A799" s="190" t="s">
        <v>386</v>
      </c>
      <c r="B799" s="191" t="s">
        <v>348</v>
      </c>
      <c r="C799" s="190" t="s">
        <v>222</v>
      </c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>
      <c r="A800" s="190" t="s">
        <v>386</v>
      </c>
      <c r="B800" s="191" t="s">
        <v>348</v>
      </c>
      <c r="C800" s="190" t="s">
        <v>222</v>
      </c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>
      <c r="A801" s="190" t="s">
        <v>386</v>
      </c>
      <c r="B801" s="191" t="s">
        <v>348</v>
      </c>
      <c r="C801" s="190" t="s">
        <v>222</v>
      </c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>
      <c r="A802" s="190" t="s">
        <v>386</v>
      </c>
      <c r="B802" s="191" t="s">
        <v>348</v>
      </c>
      <c r="C802" s="190" t="s">
        <v>222</v>
      </c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>
      <c r="A803" s="190" t="s">
        <v>386</v>
      </c>
      <c r="B803" s="191" t="s">
        <v>348</v>
      </c>
      <c r="C803" s="190" t="s">
        <v>222</v>
      </c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>
      <c r="A804" s="190" t="s">
        <v>386</v>
      </c>
      <c r="B804" s="191" t="s">
        <v>349</v>
      </c>
      <c r="C804" s="190" t="s">
        <v>231</v>
      </c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>
      <c r="A805" s="190" t="s">
        <v>386</v>
      </c>
      <c r="B805" s="190" t="s">
        <v>349</v>
      </c>
      <c r="C805" s="190" t="s">
        <v>231</v>
      </c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>
      <c r="A806" s="190" t="s">
        <v>386</v>
      </c>
      <c r="B806" s="191" t="s">
        <v>349</v>
      </c>
      <c r="C806" s="190" t="s">
        <v>219</v>
      </c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>
      <c r="A807" s="190" t="s">
        <v>386</v>
      </c>
      <c r="B807" s="190" t="s">
        <v>349</v>
      </c>
      <c r="C807" s="190" t="s">
        <v>224</v>
      </c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>
      <c r="A808" s="190" t="s">
        <v>386</v>
      </c>
      <c r="B808" s="191" t="s">
        <v>349</v>
      </c>
      <c r="C808" s="190" t="s">
        <v>227</v>
      </c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>
      <c r="A809" s="190" t="s">
        <v>386</v>
      </c>
      <c r="B809" s="190" t="s">
        <v>349</v>
      </c>
      <c r="C809" s="190" t="s">
        <v>222</v>
      </c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>
      <c r="A810" s="190" t="s">
        <v>386</v>
      </c>
      <c r="B810" s="191" t="s">
        <v>350</v>
      </c>
      <c r="C810" s="190" t="s">
        <v>222</v>
      </c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>
      <c r="A811" s="190" t="s">
        <v>386</v>
      </c>
      <c r="B811" s="191" t="s">
        <v>350</v>
      </c>
      <c r="C811" s="190" t="s">
        <v>222</v>
      </c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>
      <c r="A812" s="190" t="s">
        <v>386</v>
      </c>
      <c r="B812" s="191" t="s">
        <v>350</v>
      </c>
      <c r="C812" s="190" t="s">
        <v>222</v>
      </c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>
      <c r="A813" s="190" t="s">
        <v>386</v>
      </c>
      <c r="B813" s="191" t="s">
        <v>350</v>
      </c>
      <c r="C813" s="190" t="s">
        <v>222</v>
      </c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>
      <c r="A814" s="190" t="s">
        <v>386</v>
      </c>
      <c r="B814" s="191" t="s">
        <v>350</v>
      </c>
      <c r="C814" s="190" t="s">
        <v>273</v>
      </c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>
      <c r="A815" s="190" t="s">
        <v>386</v>
      </c>
      <c r="B815" s="191" t="s">
        <v>350</v>
      </c>
      <c r="C815" s="190" t="s">
        <v>222</v>
      </c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>
      <c r="A816" s="190" t="s">
        <v>386</v>
      </c>
      <c r="B816" s="191" t="s">
        <v>350</v>
      </c>
      <c r="C816" s="190" t="s">
        <v>222</v>
      </c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>
      <c r="A817" s="190" t="s">
        <v>386</v>
      </c>
      <c r="B817" s="191" t="s">
        <v>350</v>
      </c>
      <c r="C817" s="190" t="s">
        <v>222</v>
      </c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>
      <c r="A818" s="190" t="s">
        <v>386</v>
      </c>
      <c r="B818" s="191" t="s">
        <v>350</v>
      </c>
      <c r="C818" s="190" t="s">
        <v>222</v>
      </c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>
      <c r="A819" s="190" t="s">
        <v>386</v>
      </c>
      <c r="B819" s="191" t="s">
        <v>350</v>
      </c>
      <c r="C819" s="190" t="s">
        <v>222</v>
      </c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>
      <c r="A820" s="190" t="s">
        <v>386</v>
      </c>
      <c r="B820" s="191" t="s">
        <v>350</v>
      </c>
      <c r="C820" s="190" t="s">
        <v>222</v>
      </c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>
      <c r="A821" s="190" t="s">
        <v>386</v>
      </c>
      <c r="B821" s="191" t="s">
        <v>350</v>
      </c>
      <c r="C821" s="190" t="s">
        <v>220</v>
      </c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>
      <c r="A822" s="190" t="s">
        <v>386</v>
      </c>
      <c r="B822" s="191" t="s">
        <v>353</v>
      </c>
      <c r="C822" s="190" t="s">
        <v>222</v>
      </c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>
      <c r="A823" s="190" t="s">
        <v>386</v>
      </c>
      <c r="B823" s="191" t="s">
        <v>353</v>
      </c>
      <c r="C823" s="190" t="s">
        <v>222</v>
      </c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>
      <c r="A824" s="190" t="s">
        <v>386</v>
      </c>
      <c r="B824" s="191" t="s">
        <v>353</v>
      </c>
      <c r="C824" s="190" t="s">
        <v>224</v>
      </c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>
      <c r="A825" s="190" t="s">
        <v>386</v>
      </c>
      <c r="B825" s="191" t="s">
        <v>353</v>
      </c>
      <c r="C825" s="190" t="s">
        <v>222</v>
      </c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>
      <c r="A826" s="190" t="s">
        <v>386</v>
      </c>
      <c r="B826" s="191" t="s">
        <v>353</v>
      </c>
      <c r="C826" s="190" t="s">
        <v>231</v>
      </c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>
      <c r="A827" s="190" t="s">
        <v>386</v>
      </c>
      <c r="B827" s="191" t="s">
        <v>353</v>
      </c>
      <c r="C827" s="190" t="s">
        <v>231</v>
      </c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>
      <c r="A828" s="190" t="s">
        <v>386</v>
      </c>
      <c r="B828" s="191" t="s">
        <v>353</v>
      </c>
      <c r="C828" s="190" t="s">
        <v>273</v>
      </c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>
      <c r="A829" s="190" t="s">
        <v>386</v>
      </c>
      <c r="B829" s="191" t="s">
        <v>353</v>
      </c>
      <c r="C829" s="190" t="s">
        <v>389</v>
      </c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>
      <c r="A830" s="190" t="s">
        <v>386</v>
      </c>
      <c r="B830" s="191" t="s">
        <v>353</v>
      </c>
      <c r="C830" s="190" t="s">
        <v>222</v>
      </c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>
      <c r="A831" s="190" t="s">
        <v>386</v>
      </c>
      <c r="B831" s="191" t="s">
        <v>353</v>
      </c>
      <c r="C831" s="190" t="s">
        <v>222</v>
      </c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>
      <c r="A832" s="190" t="s">
        <v>386</v>
      </c>
      <c r="B832" s="191" t="s">
        <v>353</v>
      </c>
      <c r="C832" s="190" t="s">
        <v>222</v>
      </c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>
      <c r="A833" s="190" t="s">
        <v>386</v>
      </c>
      <c r="B833" s="191" t="s">
        <v>353</v>
      </c>
      <c r="C833" s="190" t="s">
        <v>222</v>
      </c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>
      <c r="A834" s="190" t="s">
        <v>386</v>
      </c>
      <c r="B834" s="191" t="s">
        <v>353</v>
      </c>
      <c r="C834" s="190" t="s">
        <v>222</v>
      </c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>
      <c r="A835" s="190" t="s">
        <v>386</v>
      </c>
      <c r="B835" s="191" t="s">
        <v>353</v>
      </c>
      <c r="C835" s="190" t="s">
        <v>224</v>
      </c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>
      <c r="A836" s="190" t="s">
        <v>386</v>
      </c>
      <c r="B836" s="191" t="s">
        <v>353</v>
      </c>
      <c r="C836" s="190" t="s">
        <v>224</v>
      </c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>
      <c r="A837" s="190" t="s">
        <v>386</v>
      </c>
      <c r="B837" s="191" t="s">
        <v>355</v>
      </c>
      <c r="C837" s="190" t="s">
        <v>222</v>
      </c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>
      <c r="A838" s="190" t="s">
        <v>386</v>
      </c>
      <c r="B838" s="191" t="s">
        <v>355</v>
      </c>
      <c r="C838" s="190" t="s">
        <v>233</v>
      </c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>
      <c r="A839" s="190" t="s">
        <v>386</v>
      </c>
      <c r="B839" s="191" t="s">
        <v>355</v>
      </c>
      <c r="C839" s="190" t="s">
        <v>220</v>
      </c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>
      <c r="A840" s="190" t="s">
        <v>386</v>
      </c>
      <c r="B840" s="191" t="s">
        <v>355</v>
      </c>
      <c r="C840" s="190" t="s">
        <v>220</v>
      </c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>
      <c r="A841" s="190" t="s">
        <v>386</v>
      </c>
      <c r="B841" s="191" t="s">
        <v>355</v>
      </c>
      <c r="C841" s="190" t="s">
        <v>379</v>
      </c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>
      <c r="A842" s="190" t="s">
        <v>386</v>
      </c>
      <c r="B842" s="191" t="s">
        <v>355</v>
      </c>
      <c r="C842" s="190" t="s">
        <v>222</v>
      </c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>
      <c r="A843" s="190" t="s">
        <v>386</v>
      </c>
      <c r="B843" s="191" t="s">
        <v>355</v>
      </c>
      <c r="C843" s="190" t="s">
        <v>222</v>
      </c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>
      <c r="A844" s="190" t="s">
        <v>386</v>
      </c>
      <c r="B844" s="191" t="s">
        <v>355</v>
      </c>
      <c r="C844" s="190" t="s">
        <v>222</v>
      </c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>
      <c r="A845" s="190" t="s">
        <v>386</v>
      </c>
      <c r="B845" s="191" t="s">
        <v>355</v>
      </c>
      <c r="C845" s="190" t="s">
        <v>222</v>
      </c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  <row r="990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</row>
    <row r="99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</row>
    <row r="992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</row>
    <row r="993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</row>
    <row r="994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</row>
    <row r="995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</row>
    <row r="996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</row>
    <row r="997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</row>
    <row r="998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</row>
    <row r="999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</row>
    <row r="1000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207</v>
      </c>
      <c r="B1" s="45" t="s">
        <v>208</v>
      </c>
      <c r="C1" s="45" t="s">
        <v>209</v>
      </c>
      <c r="D1" s="194" t="s">
        <v>203</v>
      </c>
      <c r="E1" s="45" t="s">
        <v>210</v>
      </c>
      <c r="F1" s="45" t="s">
        <v>211</v>
      </c>
      <c r="G1" s="45" t="s">
        <v>212</v>
      </c>
      <c r="H1" s="45" t="s">
        <v>213</v>
      </c>
    </row>
    <row r="2">
      <c r="A2" s="195" t="s">
        <v>217</v>
      </c>
      <c r="B2" s="45" t="s">
        <v>218</v>
      </c>
      <c r="C2" s="45" t="s">
        <v>219</v>
      </c>
      <c r="D2" s="194">
        <v>34.37738731856379</v>
      </c>
      <c r="E2" s="45">
        <v>1.0</v>
      </c>
      <c r="F2" s="45">
        <v>1.0</v>
      </c>
      <c r="G2" s="45">
        <v>0.0</v>
      </c>
      <c r="H2" s="45">
        <v>0.0</v>
      </c>
    </row>
    <row r="3">
      <c r="A3" s="195" t="s">
        <v>217</v>
      </c>
      <c r="B3" s="45" t="s">
        <v>218</v>
      </c>
      <c r="C3" s="45" t="s">
        <v>220</v>
      </c>
      <c r="D3" s="194">
        <v>43.0</v>
      </c>
      <c r="E3" s="45">
        <v>1.0</v>
      </c>
      <c r="F3" s="45">
        <v>1.0</v>
      </c>
      <c r="G3" s="45">
        <v>0.0</v>
      </c>
      <c r="H3" s="45">
        <v>0.0</v>
      </c>
      <c r="J3" s="196"/>
    </row>
    <row r="4">
      <c r="A4" s="195" t="s">
        <v>217</v>
      </c>
      <c r="B4" s="45" t="s">
        <v>218</v>
      </c>
      <c r="C4" s="45" t="s">
        <v>220</v>
      </c>
      <c r="D4" s="194">
        <v>41.0</v>
      </c>
      <c r="E4" s="45">
        <v>2.0</v>
      </c>
      <c r="F4" s="45">
        <v>1.0</v>
      </c>
      <c r="G4" s="45">
        <v>0.0</v>
      </c>
      <c r="H4" s="45">
        <v>0.0</v>
      </c>
    </row>
    <row r="5">
      <c r="A5" s="195" t="s">
        <v>217</v>
      </c>
      <c r="B5" s="45" t="s">
        <v>221</v>
      </c>
      <c r="C5" s="45" t="s">
        <v>222</v>
      </c>
      <c r="D5" s="194">
        <v>98.0</v>
      </c>
      <c r="E5" s="45">
        <v>1.0</v>
      </c>
      <c r="F5" s="45">
        <v>1.0</v>
      </c>
      <c r="G5" s="45">
        <v>2.0</v>
      </c>
      <c r="H5" s="45" t="s">
        <v>223</v>
      </c>
    </row>
    <row r="6">
      <c r="A6" s="195" t="s">
        <v>217</v>
      </c>
      <c r="B6" s="45" t="s">
        <v>221</v>
      </c>
      <c r="C6" s="45" t="s">
        <v>220</v>
      </c>
      <c r="D6" s="194">
        <v>58.0</v>
      </c>
      <c r="E6" s="45">
        <v>1.0</v>
      </c>
      <c r="F6" s="45">
        <v>1.0</v>
      </c>
      <c r="G6" s="45">
        <v>0.0</v>
      </c>
      <c r="H6" s="45">
        <v>0.0</v>
      </c>
    </row>
    <row r="7">
      <c r="A7" s="195" t="s">
        <v>217</v>
      </c>
      <c r="B7" s="45" t="s">
        <v>221</v>
      </c>
      <c r="C7" s="45" t="s">
        <v>224</v>
      </c>
      <c r="D7" s="194">
        <v>74.0</v>
      </c>
      <c r="E7" s="45">
        <v>1.0</v>
      </c>
      <c r="F7" s="45">
        <v>1.0</v>
      </c>
      <c r="G7" s="45">
        <v>0.0</v>
      </c>
      <c r="H7" s="45">
        <v>0.0</v>
      </c>
    </row>
    <row r="8">
      <c r="A8" s="195" t="s">
        <v>217</v>
      </c>
      <c r="B8" s="45" t="s">
        <v>225</v>
      </c>
      <c r="C8" s="45" t="s">
        <v>222</v>
      </c>
      <c r="D8" s="194">
        <v>135.0</v>
      </c>
      <c r="E8" s="45">
        <v>1.0</v>
      </c>
      <c r="F8" s="45">
        <v>0.0</v>
      </c>
      <c r="G8" s="45">
        <v>0.0</v>
      </c>
      <c r="H8" s="45">
        <v>0.0</v>
      </c>
    </row>
    <row r="9">
      <c r="A9" s="195" t="s">
        <v>217</v>
      </c>
      <c r="B9" s="45" t="s">
        <v>225</v>
      </c>
      <c r="C9" s="45" t="s">
        <v>222</v>
      </c>
      <c r="D9" s="194">
        <v>165.0</v>
      </c>
      <c r="E9" s="45">
        <v>1.0</v>
      </c>
      <c r="F9" s="45">
        <v>0.0</v>
      </c>
      <c r="G9" s="45">
        <v>0.0</v>
      </c>
      <c r="H9" s="45">
        <v>0.0</v>
      </c>
    </row>
    <row r="10">
      <c r="A10" s="195" t="s">
        <v>217</v>
      </c>
      <c r="B10" s="45" t="s">
        <v>226</v>
      </c>
      <c r="C10" s="45" t="s">
        <v>227</v>
      </c>
      <c r="D10" s="194">
        <v>84.0</v>
      </c>
      <c r="E10" s="45">
        <v>2.0</v>
      </c>
      <c r="F10" s="45">
        <v>0.0</v>
      </c>
      <c r="G10" s="45">
        <v>2.0</v>
      </c>
      <c r="H10" s="45" t="s">
        <v>223</v>
      </c>
    </row>
    <row r="11">
      <c r="A11" s="195" t="s">
        <v>228</v>
      </c>
      <c r="B11" s="45" t="s">
        <v>226</v>
      </c>
      <c r="C11" s="45" t="s">
        <v>220</v>
      </c>
      <c r="D11" s="194">
        <v>12.573211102622867</v>
      </c>
      <c r="E11" s="45">
        <v>1.0</v>
      </c>
      <c r="F11" s="45">
        <v>1.0</v>
      </c>
      <c r="G11" s="45">
        <v>0.0</v>
      </c>
      <c r="H11" s="45">
        <v>0.0</v>
      </c>
    </row>
    <row r="12">
      <c r="A12" s="195" t="s">
        <v>228</v>
      </c>
      <c r="B12" s="45" t="s">
        <v>225</v>
      </c>
      <c r="C12" s="45" t="s">
        <v>224</v>
      </c>
      <c r="D12" s="194">
        <v>22.281639928698752</v>
      </c>
      <c r="E12" s="45">
        <v>1.0</v>
      </c>
      <c r="F12" s="45">
        <v>0.0</v>
      </c>
      <c r="G12" s="45">
        <v>0.0</v>
      </c>
      <c r="H12" s="45">
        <v>0.0</v>
      </c>
    </row>
    <row r="13">
      <c r="A13" s="195" t="s">
        <v>230</v>
      </c>
      <c r="B13" s="45" t="s">
        <v>221</v>
      </c>
      <c r="C13" s="45" t="s">
        <v>220</v>
      </c>
      <c r="D13" s="46">
        <v>12.732365673542144</v>
      </c>
      <c r="E13" s="45">
        <v>1.0</v>
      </c>
      <c r="F13" s="45">
        <v>1.0</v>
      </c>
      <c r="G13" s="45">
        <v>0.0</v>
      </c>
      <c r="H13" s="45">
        <v>0.0</v>
      </c>
    </row>
    <row r="14">
      <c r="A14" s="195" t="s">
        <v>230</v>
      </c>
      <c r="B14" s="45" t="s">
        <v>221</v>
      </c>
      <c r="C14" s="45" t="s">
        <v>231</v>
      </c>
      <c r="D14" s="194">
        <v>21.0</v>
      </c>
      <c r="E14" s="45">
        <v>1.0</v>
      </c>
      <c r="F14" s="45">
        <v>0.0</v>
      </c>
      <c r="G14" s="45">
        <v>0.0</v>
      </c>
      <c r="H14" s="45">
        <v>0.0</v>
      </c>
    </row>
    <row r="15">
      <c r="A15" s="195" t="s">
        <v>230</v>
      </c>
      <c r="B15" s="45" t="s">
        <v>226</v>
      </c>
      <c r="C15" s="45" t="s">
        <v>222</v>
      </c>
      <c r="D15" s="194">
        <v>62.0</v>
      </c>
      <c r="E15" s="45">
        <v>1.0</v>
      </c>
      <c r="F15" s="45">
        <v>0.0</v>
      </c>
      <c r="G15" s="45">
        <v>2.0</v>
      </c>
      <c r="H15" s="45" t="s">
        <v>223</v>
      </c>
    </row>
    <row r="16">
      <c r="A16" s="195" t="s">
        <v>232</v>
      </c>
      <c r="B16" s="45" t="s">
        <v>218</v>
      </c>
      <c r="C16" s="45" t="s">
        <v>233</v>
      </c>
      <c r="D16" s="194">
        <v>17.0</v>
      </c>
      <c r="E16" s="45">
        <v>1.0</v>
      </c>
      <c r="F16" s="45">
        <v>1.0</v>
      </c>
      <c r="G16" s="45">
        <v>1.0</v>
      </c>
      <c r="H16" s="45" t="s">
        <v>234</v>
      </c>
    </row>
    <row r="17">
      <c r="A17" s="195" t="s">
        <v>232</v>
      </c>
      <c r="B17" s="45" t="s">
        <v>218</v>
      </c>
      <c r="C17" s="45" t="s">
        <v>222</v>
      </c>
      <c r="D17" s="46">
        <v>28.966131907308377</v>
      </c>
      <c r="E17" s="45">
        <v>1.0</v>
      </c>
      <c r="F17" s="45">
        <v>1.0</v>
      </c>
      <c r="G17" s="45">
        <v>0.0</v>
      </c>
      <c r="H17" s="45">
        <v>0.0</v>
      </c>
    </row>
    <row r="18">
      <c r="A18" s="195" t="s">
        <v>232</v>
      </c>
      <c r="B18" s="45" t="s">
        <v>218</v>
      </c>
      <c r="C18" s="45" t="s">
        <v>222</v>
      </c>
      <c r="D18" s="194">
        <v>15.597147950089127</v>
      </c>
      <c r="E18" s="45">
        <v>2.0</v>
      </c>
      <c r="F18" s="45">
        <v>1.0</v>
      </c>
      <c r="G18" s="45">
        <v>0.0</v>
      </c>
      <c r="H18" s="45">
        <v>0.0</v>
      </c>
    </row>
    <row r="19">
      <c r="A19" s="195" t="s">
        <v>232</v>
      </c>
      <c r="B19" s="45" t="s">
        <v>226</v>
      </c>
      <c r="C19" s="45" t="s">
        <v>235</v>
      </c>
      <c r="D19" s="46">
        <v>17.50700280112045</v>
      </c>
      <c r="E19" s="45">
        <v>1.0</v>
      </c>
      <c r="F19" s="45">
        <v>1.0</v>
      </c>
      <c r="G19" s="45">
        <v>1.0</v>
      </c>
      <c r="H19" s="45" t="s">
        <v>234</v>
      </c>
    </row>
    <row r="20">
      <c r="A20" s="195" t="s">
        <v>232</v>
      </c>
      <c r="B20" s="45" t="s">
        <v>226</v>
      </c>
      <c r="C20" s="45" t="s">
        <v>235</v>
      </c>
      <c r="D20" s="46">
        <v>14.012738853503183</v>
      </c>
      <c r="E20" s="45">
        <v>3.0</v>
      </c>
      <c r="F20" s="45">
        <v>0.0</v>
      </c>
      <c r="G20" s="45">
        <v>0.0</v>
      </c>
      <c r="H20" s="45">
        <v>0.0</v>
      </c>
    </row>
    <row r="21">
      <c r="A21" s="195" t="s">
        <v>232</v>
      </c>
      <c r="B21" s="45" t="s">
        <v>225</v>
      </c>
      <c r="C21" s="45" t="s">
        <v>236</v>
      </c>
      <c r="D21" s="194">
        <v>13.0</v>
      </c>
      <c r="E21" s="45">
        <v>2.0</v>
      </c>
      <c r="F21" s="45">
        <v>1.0</v>
      </c>
      <c r="G21" s="45">
        <v>1.0</v>
      </c>
      <c r="H21" s="45" t="s">
        <v>234</v>
      </c>
    </row>
    <row r="22">
      <c r="A22" s="195" t="s">
        <v>232</v>
      </c>
      <c r="B22" s="45" t="s">
        <v>225</v>
      </c>
      <c r="C22" s="45" t="s">
        <v>220</v>
      </c>
      <c r="D22" s="194">
        <v>64.0</v>
      </c>
      <c r="E22" s="45">
        <v>1.0</v>
      </c>
      <c r="F22" s="45">
        <v>0.0</v>
      </c>
      <c r="G22" s="45">
        <v>0.0</v>
      </c>
      <c r="H22" s="45">
        <v>0.0</v>
      </c>
    </row>
    <row r="23">
      <c r="A23" s="195" t="s">
        <v>232</v>
      </c>
      <c r="B23" s="45" t="s">
        <v>225</v>
      </c>
      <c r="C23" s="45" t="s">
        <v>220</v>
      </c>
      <c r="D23" s="194">
        <v>60.0</v>
      </c>
      <c r="E23" s="45">
        <v>1.0</v>
      </c>
      <c r="F23" s="45">
        <v>0.0</v>
      </c>
      <c r="G23" s="45">
        <v>0.0</v>
      </c>
      <c r="H23" s="45">
        <v>0.0</v>
      </c>
    </row>
    <row r="24">
      <c r="A24" s="195" t="s">
        <v>237</v>
      </c>
      <c r="B24" s="45" t="s">
        <v>225</v>
      </c>
      <c r="C24" s="45" t="s">
        <v>222</v>
      </c>
      <c r="D24" s="194">
        <v>85.0</v>
      </c>
      <c r="E24" s="45">
        <v>2.0</v>
      </c>
      <c r="F24" s="45">
        <v>1.0</v>
      </c>
      <c r="G24" s="45">
        <v>2.0</v>
      </c>
      <c r="H24" s="45" t="s">
        <v>223</v>
      </c>
    </row>
    <row r="25">
      <c r="A25" s="195" t="s">
        <v>237</v>
      </c>
      <c r="B25" s="45" t="s">
        <v>225</v>
      </c>
      <c r="C25" s="45" t="s">
        <v>220</v>
      </c>
      <c r="D25" s="194">
        <v>36.0</v>
      </c>
      <c r="E25" s="45">
        <v>1.0</v>
      </c>
      <c r="F25" s="45">
        <v>1.0</v>
      </c>
      <c r="G25" s="45">
        <v>0.0</v>
      </c>
      <c r="H25" s="45">
        <v>0.0</v>
      </c>
    </row>
    <row r="26">
      <c r="A26" s="195" t="s">
        <v>237</v>
      </c>
      <c r="B26" s="45" t="s">
        <v>225</v>
      </c>
      <c r="C26" s="45" t="s">
        <v>220</v>
      </c>
      <c r="D26" s="46">
        <v>25.30557677616501</v>
      </c>
      <c r="E26" s="45">
        <v>2.0</v>
      </c>
      <c r="F26" s="45">
        <v>0.0</v>
      </c>
      <c r="G26" s="45">
        <v>1.0</v>
      </c>
      <c r="H26" s="45" t="s">
        <v>234</v>
      </c>
    </row>
    <row r="27">
      <c r="A27" s="195" t="s">
        <v>237</v>
      </c>
      <c r="B27" s="45" t="s">
        <v>226</v>
      </c>
      <c r="C27" s="45" t="s">
        <v>220</v>
      </c>
      <c r="D27" s="46">
        <v>10.345047109752992</v>
      </c>
      <c r="E27" s="45">
        <v>2.0</v>
      </c>
      <c r="F27" s="45">
        <v>0.0</v>
      </c>
      <c r="G27" s="45">
        <v>0.0</v>
      </c>
      <c r="H27" s="45">
        <v>0.0</v>
      </c>
    </row>
    <row r="28">
      <c r="A28" s="195" t="s">
        <v>237</v>
      </c>
      <c r="B28" s="45" t="s">
        <v>226</v>
      </c>
      <c r="C28" s="45" t="s">
        <v>220</v>
      </c>
      <c r="D28" s="46">
        <v>14.801375095492743</v>
      </c>
      <c r="E28" s="45">
        <v>2.0</v>
      </c>
      <c r="F28" s="45">
        <v>1.0</v>
      </c>
      <c r="G28" s="45">
        <v>0.0</v>
      </c>
      <c r="H28" s="45">
        <v>0.0</v>
      </c>
    </row>
    <row r="29">
      <c r="A29" s="195" t="s">
        <v>237</v>
      </c>
      <c r="B29" s="45" t="s">
        <v>226</v>
      </c>
      <c r="C29" s="45" t="s">
        <v>220</v>
      </c>
      <c r="D29" s="46">
        <v>22.44079449961803</v>
      </c>
      <c r="E29" s="45">
        <v>2.0</v>
      </c>
      <c r="F29" s="45">
        <v>1.0</v>
      </c>
      <c r="G29" s="45">
        <v>0.0</v>
      </c>
      <c r="H29" s="45">
        <v>0.0</v>
      </c>
    </row>
    <row r="30">
      <c r="A30" s="195" t="s">
        <v>237</v>
      </c>
      <c r="B30" s="45" t="s">
        <v>218</v>
      </c>
      <c r="C30" s="45" t="s">
        <v>222</v>
      </c>
      <c r="D30" s="194">
        <v>54.2</v>
      </c>
      <c r="E30" s="45">
        <v>1.0</v>
      </c>
      <c r="F30" s="45">
        <v>0.0</v>
      </c>
      <c r="G30" s="45">
        <v>0.0</v>
      </c>
      <c r="H30" s="45">
        <v>0.0</v>
      </c>
    </row>
    <row r="31">
      <c r="A31" s="195" t="s">
        <v>238</v>
      </c>
      <c r="B31" s="45" t="s">
        <v>218</v>
      </c>
      <c r="C31" s="45" t="s">
        <v>222</v>
      </c>
      <c r="D31" s="194">
        <v>62.4</v>
      </c>
      <c r="E31" s="45">
        <v>1.0</v>
      </c>
      <c r="F31" s="45">
        <v>0.0</v>
      </c>
      <c r="G31" s="45">
        <v>0.0</v>
      </c>
      <c r="H31" s="45">
        <v>0.0</v>
      </c>
    </row>
    <row r="32">
      <c r="A32" s="195" t="s">
        <v>238</v>
      </c>
      <c r="B32" s="45" t="s">
        <v>221</v>
      </c>
      <c r="C32" s="45" t="s">
        <v>222</v>
      </c>
      <c r="D32" s="194">
        <v>63.69</v>
      </c>
      <c r="E32" s="45">
        <v>1.0</v>
      </c>
      <c r="F32" s="45">
        <v>0.0</v>
      </c>
      <c r="G32" s="45">
        <v>0.0</v>
      </c>
      <c r="H32" s="45">
        <v>0.0</v>
      </c>
    </row>
    <row r="33">
      <c r="A33" s="195" t="s">
        <v>238</v>
      </c>
      <c r="B33" s="45" t="s">
        <v>226</v>
      </c>
      <c r="C33" s="45" t="s">
        <v>227</v>
      </c>
      <c r="D33" s="194">
        <v>22.0</v>
      </c>
      <c r="E33" s="45">
        <v>1.0</v>
      </c>
      <c r="F33" s="45">
        <v>1.0</v>
      </c>
      <c r="G33" s="45">
        <v>0.0</v>
      </c>
      <c r="H33" s="45">
        <v>0.0</v>
      </c>
    </row>
    <row r="34">
      <c r="A34" s="195" t="s">
        <v>238</v>
      </c>
      <c r="B34" s="45" t="s">
        <v>225</v>
      </c>
      <c r="C34" s="45" t="s">
        <v>239</v>
      </c>
      <c r="D34" s="46">
        <v>12.573211102622867</v>
      </c>
      <c r="E34" s="45">
        <v>1.0</v>
      </c>
      <c r="F34" s="45">
        <v>0.0</v>
      </c>
      <c r="G34" s="45">
        <v>0.0</v>
      </c>
      <c r="H34" s="45">
        <v>0.0</v>
      </c>
    </row>
    <row r="35">
      <c r="A35" s="195" t="s">
        <v>238</v>
      </c>
      <c r="B35" s="45" t="s">
        <v>225</v>
      </c>
      <c r="C35" s="45" t="s">
        <v>227</v>
      </c>
      <c r="D35" s="46">
        <v>14.801375095492743</v>
      </c>
      <c r="E35" s="45">
        <v>1.0</v>
      </c>
      <c r="F35" s="45">
        <v>0.0</v>
      </c>
      <c r="G35" s="45">
        <v>0.0</v>
      </c>
      <c r="H35" s="45">
        <v>0.0</v>
      </c>
    </row>
    <row r="36">
      <c r="A36" s="195" t="s">
        <v>240</v>
      </c>
      <c r="B36" s="45" t="s">
        <v>218</v>
      </c>
      <c r="C36" s="45" t="s">
        <v>241</v>
      </c>
      <c r="D36" s="46">
        <v>15.91545709192768</v>
      </c>
      <c r="E36" s="45">
        <v>2.0</v>
      </c>
      <c r="F36" s="45">
        <v>0.0</v>
      </c>
      <c r="G36" s="45">
        <v>0.0</v>
      </c>
      <c r="H36" s="45">
        <v>0.0</v>
      </c>
    </row>
    <row r="37">
      <c r="A37" s="195" t="s">
        <v>240</v>
      </c>
      <c r="B37" s="45" t="s">
        <v>218</v>
      </c>
      <c r="C37" s="45" t="s">
        <v>241</v>
      </c>
      <c r="D37" s="46">
        <v>16.07461166284696</v>
      </c>
      <c r="E37" s="45">
        <v>2.0</v>
      </c>
      <c r="F37" s="45">
        <v>0.0</v>
      </c>
      <c r="G37" s="45">
        <v>0.0</v>
      </c>
      <c r="H37" s="45">
        <v>0.0</v>
      </c>
    </row>
    <row r="38">
      <c r="A38" s="195" t="s">
        <v>240</v>
      </c>
      <c r="B38" s="45" t="s">
        <v>218</v>
      </c>
      <c r="C38" s="45" t="s">
        <v>241</v>
      </c>
      <c r="D38" s="46">
        <v>15.91545709192768</v>
      </c>
      <c r="E38" s="45">
        <v>2.0</v>
      </c>
      <c r="F38" s="45">
        <v>0.0</v>
      </c>
      <c r="G38" s="45">
        <v>0.0</v>
      </c>
      <c r="H38" s="45">
        <v>0.0</v>
      </c>
    </row>
    <row r="39">
      <c r="A39" s="195" t="s">
        <v>240</v>
      </c>
      <c r="B39" s="45" t="s">
        <v>242</v>
      </c>
      <c r="C39" s="45" t="s">
        <v>235</v>
      </c>
      <c r="D39" s="46">
        <v>17.825311942959</v>
      </c>
      <c r="E39" s="45">
        <v>1.0</v>
      </c>
      <c r="F39" s="45">
        <v>0.0</v>
      </c>
      <c r="G39" s="45">
        <v>0.0</v>
      </c>
      <c r="H39" s="45">
        <v>0.0</v>
      </c>
    </row>
    <row r="40">
      <c r="A40" s="195" t="s">
        <v>240</v>
      </c>
      <c r="B40" s="45" t="s">
        <v>225</v>
      </c>
      <c r="C40" s="45" t="s">
        <v>235</v>
      </c>
      <c r="D40" s="46">
        <v>19.41685765215177</v>
      </c>
      <c r="E40" s="45">
        <v>2.0</v>
      </c>
      <c r="F40" s="45">
        <v>0.0</v>
      </c>
      <c r="G40" s="45">
        <v>1.0</v>
      </c>
      <c r="H40" s="45" t="s">
        <v>234</v>
      </c>
    </row>
    <row r="41">
      <c r="A41" s="195" t="s">
        <v>240</v>
      </c>
      <c r="B41" s="45" t="s">
        <v>225</v>
      </c>
      <c r="C41" s="45" t="s">
        <v>220</v>
      </c>
      <c r="D41" s="46">
        <v>18.780239368474664</v>
      </c>
      <c r="E41" s="45">
        <v>1.0</v>
      </c>
      <c r="F41" s="45">
        <v>1.0</v>
      </c>
      <c r="G41" s="45">
        <v>0.0</v>
      </c>
      <c r="H41" s="45">
        <v>0.0</v>
      </c>
    </row>
    <row r="42">
      <c r="A42" s="195" t="s">
        <v>240</v>
      </c>
      <c r="B42" s="45" t="s">
        <v>225</v>
      </c>
      <c r="C42" s="45" t="s">
        <v>222</v>
      </c>
      <c r="D42" s="46">
        <v>14.323911382734913</v>
      </c>
      <c r="E42" s="45">
        <v>1.0</v>
      </c>
      <c r="F42" s="45">
        <v>0.0</v>
      </c>
      <c r="G42" s="45">
        <v>0.0</v>
      </c>
      <c r="H42" s="45">
        <v>0.0</v>
      </c>
    </row>
    <row r="43">
      <c r="A43" s="195" t="s">
        <v>240</v>
      </c>
      <c r="B43" s="45" t="s">
        <v>226</v>
      </c>
      <c r="C43" s="45" t="s">
        <v>220</v>
      </c>
      <c r="D43" s="46">
        <v>15.756302521008404</v>
      </c>
      <c r="E43" s="45">
        <v>1.0</v>
      </c>
      <c r="F43" s="45">
        <v>1.0</v>
      </c>
      <c r="G43" s="45">
        <v>0.0</v>
      </c>
      <c r="H43" s="45">
        <v>0.0</v>
      </c>
    </row>
    <row r="44">
      <c r="A44" s="195" t="s">
        <v>240</v>
      </c>
      <c r="B44" s="45" t="s">
        <v>226</v>
      </c>
      <c r="C44" s="45" t="s">
        <v>220</v>
      </c>
      <c r="D44" s="46">
        <v>16.552075375604787</v>
      </c>
      <c r="E44" s="45">
        <v>1.0</v>
      </c>
      <c r="F44" s="45">
        <v>0.0</v>
      </c>
      <c r="G44" s="45">
        <v>0.0</v>
      </c>
      <c r="H44" s="45">
        <v>0.0</v>
      </c>
    </row>
    <row r="45">
      <c r="A45" s="195" t="s">
        <v>240</v>
      </c>
      <c r="B45" s="45" t="s">
        <v>226</v>
      </c>
      <c r="C45" s="45" t="s">
        <v>220</v>
      </c>
      <c r="D45" s="46">
        <v>15.91545709192768</v>
      </c>
      <c r="E45" s="45">
        <v>1.0</v>
      </c>
      <c r="F45" s="45">
        <v>0.0</v>
      </c>
      <c r="G45" s="45">
        <v>0.0</v>
      </c>
      <c r="H45" s="45">
        <v>0.0</v>
      </c>
    </row>
    <row r="46">
      <c r="A46" s="195" t="s">
        <v>243</v>
      </c>
      <c r="B46" s="45" t="s">
        <v>218</v>
      </c>
      <c r="C46" s="45" t="s">
        <v>244</v>
      </c>
      <c r="D46" s="46">
        <v>21.326712503183092</v>
      </c>
      <c r="E46" s="45">
        <v>2.0</v>
      </c>
      <c r="F46" s="45">
        <v>0.0</v>
      </c>
      <c r="G46" s="45">
        <v>0.0</v>
      </c>
      <c r="H46" s="45">
        <v>0.0</v>
      </c>
    </row>
    <row r="47">
      <c r="A47" s="195" t="s">
        <v>243</v>
      </c>
      <c r="B47" s="45" t="s">
        <v>218</v>
      </c>
      <c r="C47" s="45" t="s">
        <v>244</v>
      </c>
      <c r="D47" s="46">
        <v>22.44079449961803</v>
      </c>
      <c r="E47" s="45">
        <v>2.0</v>
      </c>
      <c r="F47" s="45">
        <v>1.0</v>
      </c>
      <c r="G47" s="45">
        <v>1.0</v>
      </c>
      <c r="H47" s="45" t="s">
        <v>234</v>
      </c>
    </row>
    <row r="48">
      <c r="A48" s="195" t="s">
        <v>243</v>
      </c>
      <c r="B48" s="45" t="s">
        <v>218</v>
      </c>
      <c r="C48" s="45" t="s">
        <v>220</v>
      </c>
      <c r="D48" s="46">
        <v>12.41405653170359</v>
      </c>
      <c r="E48" s="45">
        <v>1.0</v>
      </c>
      <c r="F48" s="45">
        <v>1.0</v>
      </c>
      <c r="G48" s="45">
        <v>0.0</v>
      </c>
      <c r="H48" s="45">
        <v>0.0</v>
      </c>
    </row>
    <row r="49">
      <c r="A49" s="195" t="s">
        <v>243</v>
      </c>
      <c r="B49" s="45" t="s">
        <v>221</v>
      </c>
      <c r="C49" s="45" t="s">
        <v>244</v>
      </c>
      <c r="D49" s="46">
        <v>55.5</v>
      </c>
      <c r="E49" s="45">
        <v>1.0</v>
      </c>
      <c r="F49" s="45">
        <v>1.0</v>
      </c>
      <c r="G49" s="45">
        <v>0.0</v>
      </c>
      <c r="H49" s="45">
        <v>0.0</v>
      </c>
    </row>
    <row r="50">
      <c r="A50" s="195" t="s">
        <v>243</v>
      </c>
      <c r="B50" s="45" t="s">
        <v>221</v>
      </c>
      <c r="C50" s="45" t="s">
        <v>244</v>
      </c>
      <c r="D50" s="194">
        <v>42.0</v>
      </c>
      <c r="E50" s="45">
        <v>1.0</v>
      </c>
      <c r="F50" s="45">
        <v>1.0</v>
      </c>
      <c r="G50" s="45">
        <v>0.0</v>
      </c>
      <c r="H50" s="45">
        <v>0.0</v>
      </c>
    </row>
    <row r="51">
      <c r="A51" s="195" t="s">
        <v>243</v>
      </c>
      <c r="B51" s="45" t="s">
        <v>225</v>
      </c>
      <c r="C51" s="45" t="s">
        <v>244</v>
      </c>
      <c r="D51" s="46">
        <v>14.005602240896359</v>
      </c>
      <c r="E51" s="45">
        <v>1.0</v>
      </c>
      <c r="F51" s="45">
        <v>1.0</v>
      </c>
      <c r="G51" s="45">
        <v>0.0</v>
      </c>
      <c r="H51" s="45">
        <v>0.0</v>
      </c>
    </row>
    <row r="52">
      <c r="A52" s="195" t="s">
        <v>243</v>
      </c>
      <c r="B52" s="45" t="s">
        <v>225</v>
      </c>
      <c r="C52" s="45" t="s">
        <v>244</v>
      </c>
      <c r="D52" s="46">
        <v>15.43799337916985</v>
      </c>
      <c r="E52" s="45">
        <v>2.0</v>
      </c>
      <c r="F52" s="45">
        <v>0.0</v>
      </c>
      <c r="G52" s="45">
        <v>2.0</v>
      </c>
      <c r="H52" s="45" t="s">
        <v>223</v>
      </c>
    </row>
    <row r="53">
      <c r="A53" s="195" t="s">
        <v>243</v>
      </c>
      <c r="B53" s="45" t="s">
        <v>225</v>
      </c>
      <c r="C53" s="45" t="s">
        <v>220</v>
      </c>
      <c r="D53" s="46">
        <v>24.032340208810798</v>
      </c>
      <c r="E53" s="45">
        <v>1.0</v>
      </c>
      <c r="F53" s="45">
        <v>1.0</v>
      </c>
      <c r="G53" s="45">
        <v>0.0</v>
      </c>
      <c r="H53" s="45">
        <v>0.0</v>
      </c>
    </row>
    <row r="54">
      <c r="A54" s="195" t="s">
        <v>243</v>
      </c>
      <c r="B54" s="45" t="s">
        <v>226</v>
      </c>
      <c r="C54" s="45" t="s">
        <v>244</v>
      </c>
      <c r="D54" s="46">
        <v>13.368983957219251</v>
      </c>
      <c r="E54" s="45">
        <v>1.0</v>
      </c>
      <c r="F54" s="45">
        <v>1.0</v>
      </c>
      <c r="G54" s="45">
        <v>0.0</v>
      </c>
      <c r="H54" s="45">
        <v>0.0</v>
      </c>
    </row>
    <row r="55">
      <c r="A55" s="195" t="s">
        <v>243</v>
      </c>
      <c r="B55" s="45" t="s">
        <v>226</v>
      </c>
      <c r="C55" s="45" t="s">
        <v>244</v>
      </c>
      <c r="D55" s="46">
        <v>17.188693659281896</v>
      </c>
      <c r="E55" s="45">
        <v>1.0</v>
      </c>
      <c r="F55" s="45">
        <v>1.0</v>
      </c>
      <c r="G55" s="45">
        <v>0.0</v>
      </c>
      <c r="H55" s="45">
        <v>0.0</v>
      </c>
    </row>
    <row r="56">
      <c r="A56" s="195" t="s">
        <v>245</v>
      </c>
      <c r="B56" s="45" t="s">
        <v>221</v>
      </c>
      <c r="C56" s="45" t="s">
        <v>222</v>
      </c>
      <c r="D56" s="194">
        <v>68.0</v>
      </c>
      <c r="E56" s="45">
        <v>1.0</v>
      </c>
      <c r="F56" s="45">
        <v>1.0</v>
      </c>
      <c r="G56" s="45">
        <v>0.0</v>
      </c>
      <c r="H56" s="45">
        <v>0.0</v>
      </c>
    </row>
    <row r="57">
      <c r="A57" s="195" t="s">
        <v>245</v>
      </c>
      <c r="B57" s="45" t="s">
        <v>221</v>
      </c>
      <c r="C57" s="45" t="s">
        <v>222</v>
      </c>
      <c r="D57" s="194">
        <v>43.0</v>
      </c>
      <c r="E57" s="45">
        <v>1.0</v>
      </c>
      <c r="F57" s="45">
        <v>0.0</v>
      </c>
      <c r="G57" s="45">
        <v>0.0</v>
      </c>
      <c r="H57" s="45">
        <v>0.0</v>
      </c>
    </row>
    <row r="58">
      <c r="A58" s="195" t="s">
        <v>245</v>
      </c>
      <c r="B58" s="45" t="s">
        <v>221</v>
      </c>
      <c r="C58" s="45" t="s">
        <v>222</v>
      </c>
      <c r="D58" s="194">
        <v>70.0</v>
      </c>
      <c r="E58" s="45">
        <v>1.0</v>
      </c>
      <c r="F58" s="45">
        <v>0.0</v>
      </c>
      <c r="G58" s="45">
        <v>0.0</v>
      </c>
      <c r="H58" s="45">
        <v>0.0</v>
      </c>
    </row>
    <row r="59">
      <c r="A59" s="195" t="s">
        <v>245</v>
      </c>
      <c r="B59" s="45" t="s">
        <v>225</v>
      </c>
      <c r="C59" s="45" t="s">
        <v>220</v>
      </c>
      <c r="D59" s="46">
        <v>20.690094219505983</v>
      </c>
      <c r="E59" s="45">
        <v>1.0</v>
      </c>
      <c r="F59" s="45">
        <v>0.0</v>
      </c>
      <c r="G59" s="45">
        <v>0.0</v>
      </c>
      <c r="H59" s="45">
        <v>0.0</v>
      </c>
    </row>
    <row r="60">
      <c r="A60" s="195" t="s">
        <v>245</v>
      </c>
      <c r="B60" s="45" t="s">
        <v>226</v>
      </c>
      <c r="C60" s="45" t="s">
        <v>220</v>
      </c>
      <c r="D60" s="46">
        <v>15.278838808250573</v>
      </c>
      <c r="E60" s="45">
        <v>2.0</v>
      </c>
      <c r="F60" s="45">
        <v>0.0</v>
      </c>
      <c r="G60" s="45">
        <v>0.0</v>
      </c>
      <c r="H60" s="45">
        <v>0.0</v>
      </c>
    </row>
    <row r="61">
      <c r="A61" s="195" t="s">
        <v>245</v>
      </c>
      <c r="B61" s="45" t="s">
        <v>226</v>
      </c>
      <c r="C61" s="45" t="s">
        <v>246</v>
      </c>
      <c r="D61" s="46">
        <v>19.8943213649096</v>
      </c>
      <c r="E61" s="45">
        <v>1.0</v>
      </c>
      <c r="F61" s="45">
        <v>1.0</v>
      </c>
      <c r="G61" s="45">
        <v>0.0</v>
      </c>
      <c r="H61" s="45">
        <v>0.0</v>
      </c>
    </row>
    <row r="62">
      <c r="A62" s="195" t="s">
        <v>245</v>
      </c>
      <c r="B62" s="45" t="s">
        <v>226</v>
      </c>
      <c r="C62" s="45" t="s">
        <v>246</v>
      </c>
      <c r="D62" s="46">
        <v>13.528138528138529</v>
      </c>
      <c r="E62" s="45">
        <v>1.0</v>
      </c>
      <c r="F62" s="45">
        <v>0.0</v>
      </c>
      <c r="G62" s="45">
        <v>1.0</v>
      </c>
      <c r="H62" s="45" t="s">
        <v>234</v>
      </c>
    </row>
    <row r="63">
      <c r="A63" s="195" t="s">
        <v>247</v>
      </c>
      <c r="B63" s="45" t="s">
        <v>218</v>
      </c>
      <c r="C63" s="45" t="s">
        <v>220</v>
      </c>
      <c r="D63" s="46">
        <v>14.323911382734913</v>
      </c>
      <c r="E63" s="45">
        <v>1.0</v>
      </c>
      <c r="F63" s="45">
        <v>1.0</v>
      </c>
      <c r="G63" s="45">
        <v>2.0</v>
      </c>
      <c r="H63" s="45" t="s">
        <v>223</v>
      </c>
    </row>
    <row r="64">
      <c r="A64" s="195" t="s">
        <v>247</v>
      </c>
      <c r="B64" s="45" t="s">
        <v>218</v>
      </c>
      <c r="C64" s="45" t="s">
        <v>220</v>
      </c>
      <c r="D64" s="46">
        <v>12.732365673542144</v>
      </c>
      <c r="E64" s="45">
        <v>1.0</v>
      </c>
      <c r="F64" s="45">
        <v>0.0</v>
      </c>
      <c r="G64" s="45">
        <v>0.0</v>
      </c>
      <c r="H64" s="45">
        <v>0.0</v>
      </c>
    </row>
    <row r="65">
      <c r="A65" s="195" t="s">
        <v>247</v>
      </c>
      <c r="B65" s="45" t="s">
        <v>221</v>
      </c>
      <c r="C65" s="45" t="s">
        <v>244</v>
      </c>
      <c r="D65" s="46">
        <v>15.278838808250573</v>
      </c>
      <c r="E65" s="45">
        <v>1.0</v>
      </c>
      <c r="F65" s="45">
        <v>0.0</v>
      </c>
      <c r="G65" s="45">
        <v>0.0</v>
      </c>
      <c r="H65" s="45">
        <v>0.0</v>
      </c>
    </row>
    <row r="66">
      <c r="A66" s="195" t="s">
        <v>247</v>
      </c>
      <c r="B66" s="45" t="s">
        <v>221</v>
      </c>
      <c r="C66" s="45" t="s">
        <v>222</v>
      </c>
      <c r="D66" s="46">
        <v>33.74076903488668</v>
      </c>
      <c r="E66" s="45">
        <v>1.0</v>
      </c>
      <c r="F66" s="45">
        <v>1.0</v>
      </c>
      <c r="G66" s="45">
        <v>1.0</v>
      </c>
      <c r="H66" s="45" t="s">
        <v>234</v>
      </c>
    </row>
    <row r="67">
      <c r="A67" s="195" t="s">
        <v>247</v>
      </c>
      <c r="B67" s="45" t="s">
        <v>221</v>
      </c>
      <c r="C67" s="45" t="s">
        <v>244</v>
      </c>
      <c r="D67" s="46">
        <v>20.053475935828878</v>
      </c>
      <c r="E67" s="45">
        <v>1.0</v>
      </c>
      <c r="F67" s="45">
        <v>0.0</v>
      </c>
      <c r="G67" s="45">
        <v>1.0</v>
      </c>
      <c r="H67" s="45" t="s">
        <v>234</v>
      </c>
    </row>
    <row r="68">
      <c r="A68" s="195" t="s">
        <v>247</v>
      </c>
      <c r="B68" s="45" t="s">
        <v>225</v>
      </c>
      <c r="C68" s="45" t="s">
        <v>220</v>
      </c>
      <c r="D68" s="46">
        <v>15.278838808250573</v>
      </c>
      <c r="E68" s="45">
        <v>1.0</v>
      </c>
      <c r="F68" s="45">
        <v>0.0</v>
      </c>
      <c r="G68" s="45">
        <v>0.0</v>
      </c>
      <c r="H68" s="45">
        <v>0.0</v>
      </c>
    </row>
    <row r="69">
      <c r="A69" s="195" t="s">
        <v>247</v>
      </c>
      <c r="B69" s="45" t="s">
        <v>226</v>
      </c>
      <c r="C69" s="45" t="s">
        <v>244</v>
      </c>
      <c r="D69" s="46">
        <v>15.43799337916985</v>
      </c>
      <c r="E69" s="45">
        <v>1.0</v>
      </c>
      <c r="F69" s="45">
        <v>0.0</v>
      </c>
      <c r="G69" s="45">
        <v>0.0</v>
      </c>
      <c r="H69" s="45">
        <v>0.0</v>
      </c>
    </row>
    <row r="70">
      <c r="A70" s="195" t="s">
        <v>247</v>
      </c>
      <c r="B70" s="45" t="s">
        <v>226</v>
      </c>
      <c r="C70" s="45" t="s">
        <v>244</v>
      </c>
      <c r="D70" s="46">
        <v>15.151515151515152</v>
      </c>
      <c r="E70" s="45">
        <v>1.0</v>
      </c>
      <c r="F70" s="45">
        <v>1.0</v>
      </c>
      <c r="G70" s="45">
        <v>0.0</v>
      </c>
      <c r="H70" s="45">
        <v>0.0</v>
      </c>
    </row>
    <row r="71">
      <c r="A71" s="45" t="s">
        <v>248</v>
      </c>
      <c r="B71" s="45" t="s">
        <v>218</v>
      </c>
      <c r="C71" s="45" t="s">
        <v>219</v>
      </c>
      <c r="D71" s="46">
        <v>37.242169595110774</v>
      </c>
      <c r="E71" s="45">
        <v>2.0</v>
      </c>
      <c r="F71" s="45">
        <v>0.0</v>
      </c>
      <c r="G71" s="45">
        <v>0.0</v>
      </c>
      <c r="H71" s="45">
        <v>0.0</v>
      </c>
    </row>
    <row r="72">
      <c r="A72" s="45" t="s">
        <v>248</v>
      </c>
      <c r="B72" s="45" t="s">
        <v>218</v>
      </c>
      <c r="C72" s="45" t="s">
        <v>220</v>
      </c>
      <c r="D72" s="46">
        <v>14.323911382734913</v>
      </c>
      <c r="E72" s="45">
        <v>2.0</v>
      </c>
      <c r="F72" s="45">
        <v>1.0</v>
      </c>
      <c r="G72" s="45">
        <v>0.0</v>
      </c>
      <c r="H72" s="45">
        <v>0.0</v>
      </c>
    </row>
    <row r="73">
      <c r="A73" s="45" t="s">
        <v>248</v>
      </c>
      <c r="B73" s="45" t="s">
        <v>218</v>
      </c>
      <c r="C73" s="45" t="s">
        <v>219</v>
      </c>
      <c r="D73" s="46">
        <v>28.32951362363127</v>
      </c>
      <c r="E73" s="45">
        <v>1.0</v>
      </c>
      <c r="F73" s="45">
        <v>0.0</v>
      </c>
      <c r="G73" s="45">
        <v>0.0</v>
      </c>
      <c r="H73" s="45">
        <v>0.0</v>
      </c>
    </row>
    <row r="74">
      <c r="A74" s="45" t="s">
        <v>248</v>
      </c>
      <c r="B74" s="45" t="s">
        <v>221</v>
      </c>
      <c r="C74" s="45" t="s">
        <v>220</v>
      </c>
      <c r="D74" s="46">
        <v>16.552075375604787</v>
      </c>
      <c r="E74" s="45">
        <v>1.0</v>
      </c>
      <c r="F74" s="45">
        <v>0.0</v>
      </c>
      <c r="G74" s="45">
        <v>0.0</v>
      </c>
      <c r="H74" s="45">
        <v>0.0</v>
      </c>
    </row>
    <row r="75">
      <c r="A75" s="45" t="s">
        <v>248</v>
      </c>
      <c r="B75" s="45" t="s">
        <v>225</v>
      </c>
      <c r="C75" s="45" t="s">
        <v>219</v>
      </c>
      <c r="D75" s="46">
        <v>17.188693659281896</v>
      </c>
      <c r="E75" s="45">
        <v>2.0</v>
      </c>
      <c r="F75" s="45">
        <v>1.0</v>
      </c>
      <c r="G75" s="45">
        <v>1.0</v>
      </c>
      <c r="H75" s="45" t="s">
        <v>234</v>
      </c>
    </row>
    <row r="76">
      <c r="A76" s="45" t="s">
        <v>248</v>
      </c>
      <c r="B76" s="45" t="s">
        <v>226</v>
      </c>
      <c r="C76" s="45" t="s">
        <v>222</v>
      </c>
      <c r="D76" s="46">
        <v>16.74306086070792</v>
      </c>
      <c r="E76" s="45">
        <v>1.0</v>
      </c>
      <c r="F76" s="45">
        <v>1.0</v>
      </c>
      <c r="G76" s="45">
        <v>0.0</v>
      </c>
      <c r="H76" s="45">
        <v>0.0</v>
      </c>
    </row>
    <row r="77">
      <c r="A77" s="45" t="s">
        <v>248</v>
      </c>
      <c r="B77" s="45" t="s">
        <v>226</v>
      </c>
      <c r="C77" s="45" t="s">
        <v>222</v>
      </c>
      <c r="D77" s="46">
        <v>20.59460147695442</v>
      </c>
      <c r="E77" s="45">
        <v>1.0</v>
      </c>
      <c r="F77" s="45">
        <v>0.0</v>
      </c>
      <c r="G77" s="45">
        <v>0.0</v>
      </c>
      <c r="H77" s="45">
        <v>0.0</v>
      </c>
    </row>
    <row r="78">
      <c r="A78" s="45" t="s">
        <v>248</v>
      </c>
      <c r="B78" s="45" t="s">
        <v>226</v>
      </c>
      <c r="C78" s="45" t="s">
        <v>222</v>
      </c>
      <c r="D78" s="46">
        <v>22.759103641456583</v>
      </c>
      <c r="E78" s="45">
        <v>2.0</v>
      </c>
      <c r="F78" s="45">
        <v>0.0</v>
      </c>
      <c r="G78" s="45">
        <v>2.0</v>
      </c>
      <c r="H78" s="45" t="s">
        <v>223</v>
      </c>
    </row>
    <row r="79">
      <c r="A79" s="195" t="s">
        <v>249</v>
      </c>
      <c r="B79" s="45" t="s">
        <v>218</v>
      </c>
      <c r="C79" s="45" t="s">
        <v>222</v>
      </c>
      <c r="D79" s="46">
        <v>16.233766233766232</v>
      </c>
      <c r="E79" s="45">
        <v>2.0</v>
      </c>
      <c r="F79" s="45">
        <v>0.0</v>
      </c>
      <c r="G79" s="45">
        <v>0.0</v>
      </c>
      <c r="H79" s="45">
        <v>0.0</v>
      </c>
    </row>
    <row r="80">
      <c r="A80" s="195" t="s">
        <v>249</v>
      </c>
      <c r="B80" s="45" t="s">
        <v>218</v>
      </c>
      <c r="C80" s="45" t="s">
        <v>222</v>
      </c>
      <c r="D80" s="46">
        <v>13.050674815380697</v>
      </c>
      <c r="E80" s="45">
        <v>1.0</v>
      </c>
      <c r="F80" s="45">
        <v>0.0</v>
      </c>
      <c r="G80" s="45">
        <v>0.0</v>
      </c>
      <c r="H80" s="45">
        <v>0.0</v>
      </c>
    </row>
    <row r="81">
      <c r="A81" s="195" t="s">
        <v>249</v>
      </c>
      <c r="B81" s="45" t="s">
        <v>221</v>
      </c>
      <c r="C81" s="45" t="s">
        <v>220</v>
      </c>
      <c r="D81" s="46">
        <v>22.313470842882605</v>
      </c>
      <c r="E81" s="45">
        <v>1.0</v>
      </c>
      <c r="F81" s="45">
        <v>1.0</v>
      </c>
      <c r="G81" s="45">
        <v>1.0</v>
      </c>
      <c r="H81" s="45" t="s">
        <v>234</v>
      </c>
    </row>
    <row r="82">
      <c r="A82" s="195" t="s">
        <v>249</v>
      </c>
      <c r="B82" s="45" t="s">
        <v>225</v>
      </c>
      <c r="C82" s="45" t="s">
        <v>222</v>
      </c>
      <c r="D82" s="46">
        <v>3.692386045327222</v>
      </c>
      <c r="E82" s="45">
        <v>2.0</v>
      </c>
      <c r="F82" s="45">
        <v>0.0</v>
      </c>
      <c r="G82" s="45">
        <v>3.0</v>
      </c>
      <c r="H82" s="45" t="s">
        <v>250</v>
      </c>
    </row>
    <row r="83">
      <c r="A83" s="195" t="s">
        <v>249</v>
      </c>
      <c r="B83" s="45" t="s">
        <v>225</v>
      </c>
      <c r="C83" s="45" t="s">
        <v>222</v>
      </c>
      <c r="D83" s="46">
        <v>32.467532467532465</v>
      </c>
      <c r="E83" s="45">
        <v>1.0</v>
      </c>
      <c r="F83" s="45">
        <v>0.0</v>
      </c>
      <c r="G83" s="45">
        <v>1.0</v>
      </c>
      <c r="H83" s="45" t="s">
        <v>234</v>
      </c>
    </row>
    <row r="84">
      <c r="A84" s="195" t="s">
        <v>249</v>
      </c>
      <c r="B84" s="45" t="s">
        <v>226</v>
      </c>
      <c r="C84" s="45" t="s">
        <v>251</v>
      </c>
      <c r="D84" s="46">
        <v>28.647822765469826</v>
      </c>
      <c r="E84" s="45">
        <v>1.0</v>
      </c>
      <c r="F84" s="45">
        <v>0.0</v>
      </c>
      <c r="G84" s="45">
        <v>2.0</v>
      </c>
      <c r="H84" s="45" t="s">
        <v>223</v>
      </c>
    </row>
    <row r="85">
      <c r="A85" s="195" t="s">
        <v>249</v>
      </c>
      <c r="B85" s="45" t="s">
        <v>226</v>
      </c>
      <c r="C85" s="45" t="s">
        <v>233</v>
      </c>
      <c r="D85" s="46">
        <v>16.552075375604787</v>
      </c>
      <c r="E85" s="45">
        <v>1.0</v>
      </c>
      <c r="F85" s="45">
        <v>0.0</v>
      </c>
      <c r="G85" s="45">
        <v>1.0</v>
      </c>
      <c r="H85" s="45" t="s">
        <v>234</v>
      </c>
    </row>
    <row r="86">
      <c r="A86" s="195" t="s">
        <v>249</v>
      </c>
      <c r="B86" s="45" t="s">
        <v>226</v>
      </c>
      <c r="C86" s="45" t="s">
        <v>233</v>
      </c>
      <c r="D86" s="46">
        <v>21.931499872676344</v>
      </c>
      <c r="E86" s="45">
        <v>2.0</v>
      </c>
      <c r="F86" s="45">
        <v>0.0</v>
      </c>
      <c r="G86" s="45">
        <v>3.0</v>
      </c>
      <c r="H86" s="45" t="s">
        <v>252</v>
      </c>
    </row>
    <row r="87">
      <c r="A87" s="195" t="s">
        <v>253</v>
      </c>
      <c r="B87" s="45" t="s">
        <v>218</v>
      </c>
      <c r="C87" s="45" t="s">
        <v>222</v>
      </c>
      <c r="D87" s="194">
        <v>48.0</v>
      </c>
      <c r="E87" s="45">
        <v>1.0</v>
      </c>
      <c r="F87" s="45">
        <v>0.0</v>
      </c>
      <c r="G87" s="45">
        <v>0.0</v>
      </c>
      <c r="H87" s="45">
        <v>0.0</v>
      </c>
    </row>
    <row r="88">
      <c r="A88" s="195" t="s">
        <v>253</v>
      </c>
      <c r="B88" s="45" t="s">
        <v>218</v>
      </c>
      <c r="C88" s="45" t="s">
        <v>222</v>
      </c>
      <c r="D88" s="194">
        <v>57.04</v>
      </c>
      <c r="E88" s="45">
        <v>1.0</v>
      </c>
      <c r="F88" s="45">
        <v>1.0</v>
      </c>
      <c r="G88" s="45">
        <v>0.0</v>
      </c>
      <c r="H88" s="45">
        <v>0.0</v>
      </c>
    </row>
    <row r="89">
      <c r="A89" s="195" t="s">
        <v>253</v>
      </c>
      <c r="B89" s="45" t="s">
        <v>218</v>
      </c>
      <c r="C89" s="45" t="s">
        <v>222</v>
      </c>
      <c r="D89" s="194">
        <v>86.0</v>
      </c>
      <c r="E89" s="45">
        <v>1.0</v>
      </c>
      <c r="F89" s="45">
        <v>0.0</v>
      </c>
      <c r="G89" s="45">
        <v>6.0</v>
      </c>
      <c r="H89" s="45" t="s">
        <v>254</v>
      </c>
    </row>
    <row r="90">
      <c r="A90" s="195" t="s">
        <v>253</v>
      </c>
      <c r="B90" s="45" t="s">
        <v>225</v>
      </c>
      <c r="C90" s="45" t="s">
        <v>231</v>
      </c>
      <c r="D90" s="194">
        <v>16.5</v>
      </c>
      <c r="E90" s="45">
        <v>2.0</v>
      </c>
      <c r="F90" s="45">
        <v>0.0</v>
      </c>
      <c r="G90" s="45">
        <v>0.0</v>
      </c>
      <c r="H90" s="45">
        <v>0.0</v>
      </c>
    </row>
    <row r="91">
      <c r="A91" s="195" t="s">
        <v>253</v>
      </c>
      <c r="B91" s="45" t="s">
        <v>225</v>
      </c>
      <c r="C91" s="45" t="s">
        <v>231</v>
      </c>
      <c r="D91" s="194">
        <v>13.0</v>
      </c>
      <c r="E91" s="45">
        <v>2.0</v>
      </c>
      <c r="F91" s="45">
        <v>0.0</v>
      </c>
      <c r="G91" s="45">
        <v>1.0</v>
      </c>
      <c r="H91" s="45" t="s">
        <v>234</v>
      </c>
    </row>
    <row r="92">
      <c r="A92" s="195" t="s">
        <v>253</v>
      </c>
      <c r="B92" s="45" t="s">
        <v>225</v>
      </c>
      <c r="C92" s="45" t="s">
        <v>220</v>
      </c>
      <c r="D92" s="194">
        <v>41.0</v>
      </c>
      <c r="E92" s="45">
        <v>3.0</v>
      </c>
      <c r="F92" s="45">
        <v>1.0</v>
      </c>
      <c r="G92" s="45">
        <v>0.0</v>
      </c>
      <c r="H92" s="45">
        <v>0.0</v>
      </c>
    </row>
    <row r="93">
      <c r="A93" s="195" t="s">
        <v>253</v>
      </c>
      <c r="B93" s="45" t="s">
        <v>226</v>
      </c>
      <c r="C93" s="45" t="s">
        <v>220</v>
      </c>
      <c r="D93" s="194">
        <v>76.8</v>
      </c>
      <c r="E93" s="45">
        <v>1.0</v>
      </c>
      <c r="F93" s="45">
        <v>0.0</v>
      </c>
      <c r="G93" s="45">
        <v>0.0</v>
      </c>
      <c r="H93" s="45">
        <v>0.0</v>
      </c>
    </row>
    <row r="94">
      <c r="A94" s="195" t="s">
        <v>253</v>
      </c>
      <c r="B94" s="45" t="s">
        <v>226</v>
      </c>
      <c r="C94" s="45" t="s">
        <v>235</v>
      </c>
      <c r="D94" s="194">
        <v>48.4</v>
      </c>
      <c r="E94" s="45">
        <v>1.0</v>
      </c>
      <c r="F94" s="45">
        <v>0.0</v>
      </c>
      <c r="G94" s="45">
        <v>0.0</v>
      </c>
      <c r="H94" s="45">
        <v>0.0</v>
      </c>
    </row>
    <row r="95">
      <c r="A95" s="195" t="s">
        <v>253</v>
      </c>
      <c r="B95" s="45" t="s">
        <v>226</v>
      </c>
      <c r="C95" s="45" t="s">
        <v>235</v>
      </c>
      <c r="D95" s="194">
        <v>55.0</v>
      </c>
      <c r="E95" s="45">
        <v>1.0</v>
      </c>
      <c r="F95" s="45">
        <v>0.0</v>
      </c>
      <c r="G95" s="45">
        <v>0.0</v>
      </c>
      <c r="H95" s="45">
        <v>0.0</v>
      </c>
    </row>
    <row r="96">
      <c r="A96" s="195" t="s">
        <v>255</v>
      </c>
      <c r="B96" s="45" t="s">
        <v>218</v>
      </c>
      <c r="C96" s="45" t="s">
        <v>236</v>
      </c>
      <c r="D96" s="46">
        <v>14.96052966641202</v>
      </c>
      <c r="E96" s="45">
        <v>1.0</v>
      </c>
      <c r="F96" s="45">
        <v>0.0</v>
      </c>
      <c r="G96" s="45">
        <v>0.0</v>
      </c>
      <c r="H96" s="45">
        <v>0.0</v>
      </c>
    </row>
    <row r="97">
      <c r="A97" s="195" t="s">
        <v>255</v>
      </c>
      <c r="B97" s="45" t="s">
        <v>218</v>
      </c>
      <c r="C97" s="45" t="s">
        <v>233</v>
      </c>
      <c r="D97" s="46">
        <v>21.963330786860197</v>
      </c>
      <c r="E97" s="45">
        <v>2.0</v>
      </c>
      <c r="F97" s="45">
        <v>0.0</v>
      </c>
      <c r="G97" s="45">
        <v>1.0</v>
      </c>
      <c r="H97" s="45">
        <v>1.0</v>
      </c>
    </row>
    <row r="98">
      <c r="A98" s="195" t="s">
        <v>255</v>
      </c>
      <c r="B98" s="45" t="s">
        <v>221</v>
      </c>
      <c r="C98" s="45" t="s">
        <v>233</v>
      </c>
      <c r="D98" s="46">
        <v>27.5974025974026</v>
      </c>
      <c r="E98" s="45">
        <v>1.0</v>
      </c>
      <c r="F98" s="45">
        <v>1.0</v>
      </c>
      <c r="G98" s="45">
        <v>1.0</v>
      </c>
      <c r="H98" s="45">
        <v>1.0</v>
      </c>
    </row>
    <row r="99">
      <c r="A99" s="195" t="s">
        <v>255</v>
      </c>
      <c r="B99" s="45" t="s">
        <v>225</v>
      </c>
      <c r="C99" s="45" t="s">
        <v>222</v>
      </c>
      <c r="D99" s="46">
        <v>19.735166793990324</v>
      </c>
      <c r="E99" s="45">
        <v>2.0</v>
      </c>
      <c r="F99" s="45">
        <v>0.0</v>
      </c>
      <c r="G99" s="45">
        <v>1.0</v>
      </c>
      <c r="H99" s="45">
        <v>1.0</v>
      </c>
    </row>
    <row r="100">
      <c r="A100" s="195" t="s">
        <v>255</v>
      </c>
      <c r="B100" s="45" t="s">
        <v>225</v>
      </c>
      <c r="C100" s="45" t="s">
        <v>222</v>
      </c>
      <c r="D100" s="46">
        <v>16.552075375604787</v>
      </c>
      <c r="E100" s="45">
        <v>2.0</v>
      </c>
      <c r="F100" s="45">
        <v>0.0</v>
      </c>
      <c r="G100" s="45">
        <v>5.0</v>
      </c>
      <c r="H100" s="45" t="s">
        <v>257</v>
      </c>
    </row>
    <row r="101">
      <c r="A101" s="195" t="s">
        <v>255</v>
      </c>
      <c r="B101" s="45" t="s">
        <v>225</v>
      </c>
      <c r="C101" s="45" t="s">
        <v>222</v>
      </c>
      <c r="D101" s="46">
        <v>54.0</v>
      </c>
      <c r="E101" s="45">
        <v>1.0</v>
      </c>
      <c r="F101" s="45">
        <v>0.0</v>
      </c>
      <c r="G101" s="45">
        <v>0.0</v>
      </c>
      <c r="H101" s="45">
        <v>0.0</v>
      </c>
    </row>
    <row r="102">
      <c r="A102" s="195" t="s">
        <v>255</v>
      </c>
      <c r="B102" s="45" t="s">
        <v>225</v>
      </c>
      <c r="C102" s="45" t="s">
        <v>220</v>
      </c>
      <c r="D102" s="46">
        <v>44.24497071555895</v>
      </c>
      <c r="E102" s="45">
        <v>1.0</v>
      </c>
      <c r="F102" s="45">
        <v>0.0</v>
      </c>
      <c r="G102" s="45">
        <v>2.0</v>
      </c>
      <c r="H102" s="45" t="s">
        <v>223</v>
      </c>
    </row>
    <row r="103">
      <c r="A103" s="195" t="s">
        <v>258</v>
      </c>
      <c r="B103" s="45" t="s">
        <v>218</v>
      </c>
      <c r="C103" s="45" t="s">
        <v>220</v>
      </c>
      <c r="D103" s="194">
        <v>25.0</v>
      </c>
      <c r="E103" s="45">
        <v>2.0</v>
      </c>
      <c r="F103" s="45">
        <v>1.0</v>
      </c>
      <c r="G103" s="45">
        <v>0.0</v>
      </c>
      <c r="H103" s="45">
        <v>0.0</v>
      </c>
    </row>
    <row r="104">
      <c r="A104" s="195" t="s">
        <v>258</v>
      </c>
      <c r="B104" s="45" t="s">
        <v>218</v>
      </c>
      <c r="C104" s="45" t="s">
        <v>220</v>
      </c>
      <c r="D104" s="194">
        <v>17.5</v>
      </c>
      <c r="E104" s="45">
        <v>2.0</v>
      </c>
      <c r="F104" s="45">
        <v>1.0</v>
      </c>
      <c r="G104" s="45">
        <v>0.0</v>
      </c>
      <c r="H104" s="45">
        <v>0.0</v>
      </c>
    </row>
    <row r="105">
      <c r="A105" s="195" t="s">
        <v>258</v>
      </c>
      <c r="B105" s="45" t="s">
        <v>218</v>
      </c>
      <c r="C105" s="45" t="s">
        <v>220</v>
      </c>
      <c r="D105" s="194">
        <v>26.0</v>
      </c>
      <c r="E105" s="45">
        <v>2.0</v>
      </c>
      <c r="F105" s="45">
        <v>0.0</v>
      </c>
      <c r="G105" s="45">
        <v>0.0</v>
      </c>
      <c r="H105" s="45">
        <v>0.0</v>
      </c>
    </row>
    <row r="106">
      <c r="A106" s="195" t="s">
        <v>258</v>
      </c>
      <c r="B106" s="45" t="s">
        <v>221</v>
      </c>
      <c r="C106" s="45" t="s">
        <v>241</v>
      </c>
      <c r="D106" s="46">
        <v>16.07461166284696</v>
      </c>
      <c r="E106" s="45">
        <v>1.0</v>
      </c>
      <c r="F106" s="45">
        <v>0.0</v>
      </c>
      <c r="G106" s="45">
        <v>0.0</v>
      </c>
      <c r="H106" s="45">
        <v>0.0</v>
      </c>
    </row>
    <row r="107">
      <c r="A107" s="195" t="s">
        <v>258</v>
      </c>
      <c r="B107" s="45" t="s">
        <v>221</v>
      </c>
      <c r="C107" s="45" t="s">
        <v>220</v>
      </c>
      <c r="D107" s="194">
        <v>12.732365673542144</v>
      </c>
      <c r="E107" s="45">
        <v>1.0</v>
      </c>
      <c r="F107" s="45">
        <v>1.0</v>
      </c>
      <c r="G107" s="45">
        <v>0.0</v>
      </c>
      <c r="H107" s="45">
        <v>0.0</v>
      </c>
    </row>
    <row r="108">
      <c r="A108" s="195" t="s">
        <v>258</v>
      </c>
      <c r="B108" s="45" t="s">
        <v>225</v>
      </c>
      <c r="C108" s="45" t="s">
        <v>244</v>
      </c>
      <c r="D108" s="46">
        <v>16.87038451744334</v>
      </c>
      <c r="E108" s="45">
        <v>1.0</v>
      </c>
      <c r="F108" s="45">
        <v>1.0</v>
      </c>
      <c r="G108" s="45">
        <v>1.0</v>
      </c>
      <c r="H108" s="45">
        <v>1.0</v>
      </c>
    </row>
    <row r="109">
      <c r="A109" s="195" t="s">
        <v>258</v>
      </c>
      <c r="B109" s="45" t="s">
        <v>226</v>
      </c>
      <c r="C109" s="45" t="s">
        <v>244</v>
      </c>
      <c r="D109" s="194">
        <v>25.65571683218742</v>
      </c>
      <c r="E109" s="45">
        <v>1.0</v>
      </c>
      <c r="F109" s="45">
        <v>1.0</v>
      </c>
      <c r="G109" s="45">
        <v>0.0</v>
      </c>
      <c r="H109" s="45">
        <v>0.0</v>
      </c>
    </row>
    <row r="110">
      <c r="A110" s="195" t="s">
        <v>258</v>
      </c>
      <c r="B110" s="45" t="s">
        <v>226</v>
      </c>
      <c r="C110" s="45" t="s">
        <v>220</v>
      </c>
      <c r="D110" s="46">
        <v>17.188693659281896</v>
      </c>
      <c r="E110" s="45">
        <v>2.0</v>
      </c>
      <c r="F110" s="45">
        <v>1.0</v>
      </c>
      <c r="G110" s="45">
        <v>0.0</v>
      </c>
      <c r="H110" s="45">
        <v>0.0</v>
      </c>
    </row>
    <row r="111">
      <c r="A111" s="195" t="s">
        <v>258</v>
      </c>
      <c r="B111" s="45" t="s">
        <v>226</v>
      </c>
      <c r="C111" s="45" t="s">
        <v>220</v>
      </c>
      <c r="D111" s="194">
        <v>18.33460656990069</v>
      </c>
      <c r="E111" s="45">
        <v>2.0</v>
      </c>
      <c r="F111" s="45">
        <v>1.0</v>
      </c>
      <c r="G111" s="45">
        <v>0.0</v>
      </c>
      <c r="H111" s="45">
        <v>0.0</v>
      </c>
    </row>
    <row r="112">
      <c r="A112" s="195" t="s">
        <v>259</v>
      </c>
      <c r="B112" s="45" t="s">
        <v>260</v>
      </c>
      <c r="C112" s="45" t="s">
        <v>222</v>
      </c>
      <c r="D112" s="46">
        <v>27.692895339954163</v>
      </c>
      <c r="E112" s="45">
        <v>2.0</v>
      </c>
      <c r="F112" s="45">
        <v>0.0</v>
      </c>
      <c r="G112" s="45">
        <v>0.0</v>
      </c>
      <c r="H112" s="45">
        <v>0.0</v>
      </c>
    </row>
    <row r="113">
      <c r="A113" s="195" t="s">
        <v>259</v>
      </c>
      <c r="B113" s="45" t="s">
        <v>225</v>
      </c>
      <c r="C113" s="45" t="s">
        <v>233</v>
      </c>
      <c r="D113" s="46">
        <v>15.151515151515152</v>
      </c>
      <c r="E113" s="45">
        <v>1.0</v>
      </c>
      <c r="F113" s="45">
        <v>0.0</v>
      </c>
      <c r="G113" s="45">
        <v>0.0</v>
      </c>
      <c r="H113" s="45">
        <v>0.0</v>
      </c>
    </row>
    <row r="114">
      <c r="A114" s="195" t="s">
        <v>259</v>
      </c>
      <c r="B114" s="45" t="s">
        <v>226</v>
      </c>
      <c r="C114" s="45" t="s">
        <v>222</v>
      </c>
      <c r="D114" s="194">
        <v>22.0</v>
      </c>
      <c r="E114" s="45">
        <v>1.0</v>
      </c>
      <c r="F114" s="45">
        <v>0.0</v>
      </c>
      <c r="G114" s="45">
        <v>3.0</v>
      </c>
      <c r="H114" s="45" t="s">
        <v>262</v>
      </c>
    </row>
    <row r="115">
      <c r="A115" s="195" t="s">
        <v>259</v>
      </c>
      <c r="B115" s="45" t="s">
        <v>226</v>
      </c>
      <c r="C115" s="45" t="s">
        <v>222</v>
      </c>
      <c r="D115" s="194">
        <v>68.0</v>
      </c>
      <c r="E115" s="45">
        <v>1.0</v>
      </c>
      <c r="F115" s="45">
        <v>1.0</v>
      </c>
      <c r="G115" s="45">
        <v>2.0</v>
      </c>
      <c r="H115" s="45" t="s">
        <v>263</v>
      </c>
    </row>
    <row r="116">
      <c r="A116" s="195" t="s">
        <v>259</v>
      </c>
      <c r="B116" s="45" t="s">
        <v>226</v>
      </c>
      <c r="C116" s="45" t="s">
        <v>222</v>
      </c>
      <c r="D116" s="46">
        <v>25.210084033613448</v>
      </c>
      <c r="E116" s="45">
        <v>1.0</v>
      </c>
      <c r="F116" s="45">
        <v>0.0</v>
      </c>
      <c r="G116" s="45">
        <v>0.0</v>
      </c>
      <c r="H116" s="45">
        <v>0.0</v>
      </c>
    </row>
    <row r="117">
      <c r="A117" s="195" t="s">
        <v>264</v>
      </c>
      <c r="B117" s="45" t="s">
        <v>221</v>
      </c>
      <c r="C117" s="45" t="s">
        <v>220</v>
      </c>
      <c r="D117" s="46">
        <v>22.44079449961803</v>
      </c>
      <c r="E117" s="45">
        <v>3.0</v>
      </c>
      <c r="F117" s="45">
        <v>0.0</v>
      </c>
      <c r="G117" s="45">
        <v>0.0</v>
      </c>
      <c r="H117" s="45">
        <v>0.0</v>
      </c>
    </row>
    <row r="118">
      <c r="A118" s="195" t="s">
        <v>264</v>
      </c>
      <c r="B118" s="45" t="s">
        <v>221</v>
      </c>
      <c r="C118" s="45" t="s">
        <v>220</v>
      </c>
      <c r="D118" s="46">
        <v>4.39266615737204</v>
      </c>
      <c r="E118" s="45">
        <v>1.0</v>
      </c>
      <c r="F118" s="45">
        <v>1.0</v>
      </c>
      <c r="G118" s="45">
        <v>1.0</v>
      </c>
      <c r="H118" s="45">
        <v>1.0</v>
      </c>
    </row>
    <row r="119">
      <c r="A119" s="195" t="s">
        <v>264</v>
      </c>
      <c r="B119" s="45" t="s">
        <v>225</v>
      </c>
      <c r="C119" s="45" t="s">
        <v>222</v>
      </c>
      <c r="D119" s="194">
        <v>57.0</v>
      </c>
      <c r="E119" s="45">
        <v>1.0</v>
      </c>
      <c r="F119" s="45">
        <v>0.0</v>
      </c>
      <c r="G119" s="45">
        <v>1.0</v>
      </c>
      <c r="H119" s="45">
        <v>1.0</v>
      </c>
    </row>
    <row r="120">
      <c r="A120" s="195" t="s">
        <v>264</v>
      </c>
      <c r="B120" s="45" t="s">
        <v>225</v>
      </c>
      <c r="C120" s="45" t="s">
        <v>251</v>
      </c>
      <c r="D120" s="46">
        <v>15.024191494779732</v>
      </c>
      <c r="E120" s="45">
        <v>1.0</v>
      </c>
      <c r="F120" s="45">
        <v>1.0</v>
      </c>
      <c r="G120" s="45">
        <v>1.0</v>
      </c>
      <c r="H120" s="45">
        <v>1.0</v>
      </c>
    </row>
    <row r="121">
      <c r="A121" s="195" t="s">
        <v>264</v>
      </c>
      <c r="B121" s="45" t="s">
        <v>225</v>
      </c>
      <c r="C121" s="45" t="s">
        <v>251</v>
      </c>
      <c r="D121" s="46">
        <v>16.233766233766232</v>
      </c>
      <c r="E121" s="45">
        <v>1.0</v>
      </c>
      <c r="F121" s="45">
        <v>0.0</v>
      </c>
      <c r="G121" s="45">
        <v>1.0</v>
      </c>
      <c r="H121" s="45">
        <v>1.0</v>
      </c>
    </row>
    <row r="122">
      <c r="A122" s="195" t="s">
        <v>264</v>
      </c>
      <c r="B122" s="45" t="s">
        <v>226</v>
      </c>
      <c r="C122" s="45" t="s">
        <v>233</v>
      </c>
      <c r="D122" s="46">
        <v>18.58925388337153</v>
      </c>
      <c r="E122" s="45">
        <v>1.0</v>
      </c>
      <c r="F122" s="45">
        <v>1.0</v>
      </c>
      <c r="G122" s="45">
        <v>1.0</v>
      </c>
      <c r="H122" s="45">
        <v>1.0</v>
      </c>
    </row>
    <row r="123">
      <c r="A123" s="195" t="s">
        <v>265</v>
      </c>
      <c r="B123" s="45" t="s">
        <v>218</v>
      </c>
      <c r="C123" s="45" t="s">
        <v>220</v>
      </c>
      <c r="D123" s="46">
        <v>21.867838044308634</v>
      </c>
      <c r="E123" s="45">
        <v>2.0</v>
      </c>
      <c r="F123" s="45">
        <v>0.0</v>
      </c>
      <c r="G123" s="45">
        <v>0.0</v>
      </c>
      <c r="H123" s="45">
        <v>0.0</v>
      </c>
    </row>
    <row r="124">
      <c r="A124" s="195" t="s">
        <v>265</v>
      </c>
      <c r="B124" s="45" t="s">
        <v>221</v>
      </c>
      <c r="C124" s="45" t="s">
        <v>220</v>
      </c>
      <c r="D124" s="194">
        <v>21.5</v>
      </c>
      <c r="E124" s="45">
        <v>1.0</v>
      </c>
      <c r="F124" s="45">
        <v>0.0</v>
      </c>
      <c r="G124" s="45">
        <v>0.0</v>
      </c>
      <c r="H124" s="45">
        <v>0.0</v>
      </c>
    </row>
    <row r="125">
      <c r="A125" s="195" t="s">
        <v>265</v>
      </c>
      <c r="B125" s="45" t="s">
        <v>221</v>
      </c>
      <c r="C125" s="45" t="s">
        <v>220</v>
      </c>
      <c r="D125" s="194">
        <v>21.0</v>
      </c>
      <c r="E125" s="45">
        <v>2.0</v>
      </c>
      <c r="F125" s="45">
        <v>0.0</v>
      </c>
      <c r="G125" s="45">
        <v>1.0</v>
      </c>
      <c r="H125" s="45" t="s">
        <v>234</v>
      </c>
    </row>
    <row r="126">
      <c r="A126" s="195" t="s">
        <v>265</v>
      </c>
      <c r="B126" s="45" t="s">
        <v>221</v>
      </c>
      <c r="C126" s="45" t="s">
        <v>219</v>
      </c>
      <c r="D126" s="194">
        <v>20.5</v>
      </c>
      <c r="E126" s="45">
        <v>1.0</v>
      </c>
      <c r="F126" s="45">
        <v>0.0</v>
      </c>
      <c r="G126" s="45">
        <v>0.0</v>
      </c>
      <c r="H126" s="45">
        <v>0.0</v>
      </c>
    </row>
    <row r="127">
      <c r="A127" s="195" t="s">
        <v>265</v>
      </c>
      <c r="B127" s="45" t="s">
        <v>225</v>
      </c>
      <c r="C127" s="45" t="s">
        <v>220</v>
      </c>
      <c r="D127" s="194">
        <v>27.0</v>
      </c>
      <c r="E127" s="45">
        <v>1.0</v>
      </c>
      <c r="F127" s="45">
        <v>0.0</v>
      </c>
      <c r="G127" s="45">
        <v>0.0</v>
      </c>
      <c r="H127" s="45">
        <v>0.0</v>
      </c>
    </row>
    <row r="128">
      <c r="A128" s="195" t="s">
        <v>265</v>
      </c>
      <c r="B128" s="45" t="s">
        <v>225</v>
      </c>
      <c r="C128" s="45" t="s">
        <v>220</v>
      </c>
      <c r="D128" s="194">
        <v>21.0</v>
      </c>
      <c r="E128" s="45">
        <v>1.0</v>
      </c>
      <c r="F128" s="45">
        <v>0.0</v>
      </c>
      <c r="G128" s="45">
        <v>0.0</v>
      </c>
      <c r="H128" s="45">
        <v>0.0</v>
      </c>
    </row>
    <row r="129">
      <c r="A129" s="195" t="s">
        <v>265</v>
      </c>
      <c r="B129" s="45" t="s">
        <v>225</v>
      </c>
      <c r="C129" s="45" t="s">
        <v>251</v>
      </c>
      <c r="D129" s="194">
        <v>19.0</v>
      </c>
      <c r="E129" s="45">
        <v>1.0</v>
      </c>
      <c r="F129" s="45">
        <v>0.0</v>
      </c>
      <c r="G129" s="45">
        <v>0.0</v>
      </c>
      <c r="H129" s="45">
        <v>0.0</v>
      </c>
    </row>
    <row r="130">
      <c r="A130" s="195" t="s">
        <v>265</v>
      </c>
      <c r="B130" s="45" t="s">
        <v>226</v>
      </c>
      <c r="C130" s="45" t="s">
        <v>251</v>
      </c>
      <c r="D130" s="194">
        <v>21.0</v>
      </c>
      <c r="E130" s="45">
        <v>1.0</v>
      </c>
      <c r="F130" s="45">
        <v>0.0</v>
      </c>
      <c r="G130" s="45">
        <v>0.0</v>
      </c>
      <c r="H130" s="45">
        <v>0.0</v>
      </c>
    </row>
    <row r="131">
      <c r="A131" s="195" t="s">
        <v>265</v>
      </c>
      <c r="B131" s="45" t="s">
        <v>226</v>
      </c>
      <c r="C131" s="45" t="s">
        <v>220</v>
      </c>
      <c r="D131" s="194">
        <v>20.0</v>
      </c>
      <c r="E131" s="45">
        <v>1.0</v>
      </c>
      <c r="F131" s="45">
        <v>1.0</v>
      </c>
      <c r="G131" s="45">
        <v>0.0</v>
      </c>
      <c r="H131" s="45">
        <v>0.0</v>
      </c>
    </row>
    <row r="132">
      <c r="A132" s="195" t="s">
        <v>265</v>
      </c>
      <c r="B132" s="45" t="s">
        <v>226</v>
      </c>
      <c r="C132" s="45" t="s">
        <v>220</v>
      </c>
      <c r="D132" s="194">
        <v>19.0</v>
      </c>
      <c r="E132" s="45">
        <v>1.0</v>
      </c>
      <c r="F132" s="45">
        <v>1.0</v>
      </c>
      <c r="G132" s="45">
        <v>0.0</v>
      </c>
      <c r="H132" s="45">
        <v>0.0</v>
      </c>
    </row>
    <row r="133">
      <c r="A133" s="195" t="s">
        <v>266</v>
      </c>
      <c r="B133" s="45" t="s">
        <v>218</v>
      </c>
      <c r="C133" s="45" t="s">
        <v>220</v>
      </c>
      <c r="D133" s="46">
        <v>17.02953908836262</v>
      </c>
      <c r="E133" s="45">
        <v>2.0</v>
      </c>
      <c r="F133" s="45">
        <v>0.0</v>
      </c>
      <c r="G133" s="45">
        <v>0.0</v>
      </c>
      <c r="H133" s="45">
        <v>0.0</v>
      </c>
    </row>
    <row r="134">
      <c r="A134" s="195" t="s">
        <v>266</v>
      </c>
      <c r="B134" s="45" t="s">
        <v>218</v>
      </c>
      <c r="C134" s="45" t="s">
        <v>220</v>
      </c>
      <c r="D134" s="194">
        <v>19.0</v>
      </c>
      <c r="E134" s="45">
        <v>1.0</v>
      </c>
      <c r="F134" s="45">
        <v>0.0</v>
      </c>
      <c r="G134" s="45">
        <v>0.0</v>
      </c>
      <c r="H134" s="45">
        <v>0.0</v>
      </c>
    </row>
    <row r="135">
      <c r="A135" s="195" t="s">
        <v>266</v>
      </c>
      <c r="B135" s="45" t="s">
        <v>221</v>
      </c>
      <c r="C135" s="45" t="s">
        <v>251</v>
      </c>
      <c r="D135" s="194">
        <v>17.0</v>
      </c>
      <c r="E135" s="45">
        <v>3.0</v>
      </c>
      <c r="F135" s="45">
        <v>0.0</v>
      </c>
      <c r="G135" s="45">
        <v>3.0</v>
      </c>
      <c r="H135" s="45" t="s">
        <v>262</v>
      </c>
    </row>
    <row r="136">
      <c r="A136" s="195" t="s">
        <v>266</v>
      </c>
      <c r="B136" s="45" t="s">
        <v>221</v>
      </c>
      <c r="C136" s="45" t="s">
        <v>233</v>
      </c>
      <c r="D136" s="194">
        <v>15.0</v>
      </c>
      <c r="E136" s="45">
        <v>1.0</v>
      </c>
      <c r="F136" s="45">
        <v>0.0</v>
      </c>
      <c r="G136" s="45">
        <v>0.0</v>
      </c>
      <c r="H136" s="45">
        <v>0.0</v>
      </c>
    </row>
    <row r="137">
      <c r="A137" s="195" t="s">
        <v>266</v>
      </c>
      <c r="B137" s="45" t="s">
        <v>221</v>
      </c>
      <c r="C137" s="45" t="s">
        <v>233</v>
      </c>
      <c r="D137" s="194">
        <v>29.0</v>
      </c>
      <c r="E137" s="45">
        <v>1.0</v>
      </c>
      <c r="F137" s="45">
        <v>1.0</v>
      </c>
      <c r="G137" s="45">
        <v>0.0</v>
      </c>
      <c r="H137" s="45">
        <v>0.0</v>
      </c>
    </row>
    <row r="138">
      <c r="A138" s="195" t="s">
        <v>266</v>
      </c>
      <c r="B138" s="45" t="s">
        <v>225</v>
      </c>
      <c r="C138" s="45" t="s">
        <v>251</v>
      </c>
      <c r="D138" s="194">
        <v>14.0</v>
      </c>
      <c r="E138" s="45">
        <v>2.0</v>
      </c>
      <c r="F138" s="45">
        <v>1.0</v>
      </c>
      <c r="G138" s="45">
        <v>1.0</v>
      </c>
      <c r="H138" s="45" t="s">
        <v>234</v>
      </c>
    </row>
    <row r="139">
      <c r="A139" s="195" t="s">
        <v>266</v>
      </c>
      <c r="B139" s="45" t="s">
        <v>225</v>
      </c>
      <c r="C139" s="45" t="s">
        <v>251</v>
      </c>
      <c r="D139" s="194">
        <v>18.0</v>
      </c>
      <c r="E139" s="45">
        <v>2.0</v>
      </c>
      <c r="F139" s="45">
        <v>1.0</v>
      </c>
      <c r="G139" s="45">
        <v>0.0</v>
      </c>
      <c r="H139" s="45">
        <v>0.0</v>
      </c>
    </row>
    <row r="140">
      <c r="A140" s="195" t="s">
        <v>267</v>
      </c>
      <c r="B140" s="45" t="s">
        <v>218</v>
      </c>
      <c r="C140" s="45" t="s">
        <v>220</v>
      </c>
      <c r="D140" s="194">
        <v>19.5</v>
      </c>
      <c r="E140" s="45">
        <v>1.0</v>
      </c>
      <c r="F140" s="45">
        <v>1.0</v>
      </c>
      <c r="G140" s="45">
        <v>0.0</v>
      </c>
      <c r="H140" s="45">
        <v>0.0</v>
      </c>
    </row>
    <row r="141">
      <c r="A141" s="195" t="s">
        <v>267</v>
      </c>
      <c r="B141" s="45" t="s">
        <v>218</v>
      </c>
      <c r="C141" s="45" t="s">
        <v>251</v>
      </c>
      <c r="D141" s="194">
        <v>15.5</v>
      </c>
      <c r="E141" s="45">
        <v>1.0</v>
      </c>
      <c r="F141" s="45">
        <v>1.0</v>
      </c>
      <c r="G141" s="45">
        <v>0.0</v>
      </c>
      <c r="H141" s="45">
        <v>0.0</v>
      </c>
    </row>
    <row r="142">
      <c r="A142" s="195" t="s">
        <v>267</v>
      </c>
      <c r="B142" s="45" t="s">
        <v>218</v>
      </c>
      <c r="C142" s="45" t="s">
        <v>244</v>
      </c>
      <c r="D142" s="194">
        <v>21.0</v>
      </c>
      <c r="E142" s="45">
        <v>1.0</v>
      </c>
      <c r="F142" s="45">
        <v>1.0</v>
      </c>
      <c r="G142" s="45">
        <v>0.0</v>
      </c>
      <c r="H142" s="45">
        <v>0.0</v>
      </c>
    </row>
    <row r="143">
      <c r="A143" s="195" t="s">
        <v>267</v>
      </c>
      <c r="B143" s="45" t="s">
        <v>221</v>
      </c>
      <c r="C143" s="45" t="s">
        <v>251</v>
      </c>
      <c r="D143" s="46">
        <v>14.323911382734913</v>
      </c>
      <c r="E143" s="45">
        <v>3.0</v>
      </c>
      <c r="F143" s="45">
        <v>1.0</v>
      </c>
      <c r="G143" s="45">
        <v>2.0</v>
      </c>
      <c r="H143" s="45" t="s">
        <v>223</v>
      </c>
    </row>
    <row r="144">
      <c r="A144" s="195" t="s">
        <v>267</v>
      </c>
      <c r="B144" s="45" t="s">
        <v>221</v>
      </c>
      <c r="C144" s="45" t="s">
        <v>251</v>
      </c>
      <c r="D144" s="46">
        <v>15.597147950089127</v>
      </c>
      <c r="E144" s="45">
        <v>2.0</v>
      </c>
      <c r="F144" s="45">
        <v>1.0</v>
      </c>
      <c r="G144" s="45">
        <v>0.0</v>
      </c>
      <c r="H144" s="45">
        <v>0.0</v>
      </c>
    </row>
    <row r="145">
      <c r="A145" s="195" t="s">
        <v>267</v>
      </c>
      <c r="B145" s="45" t="s">
        <v>221</v>
      </c>
      <c r="C145" s="45" t="s">
        <v>220</v>
      </c>
      <c r="D145" s="46">
        <v>4.138018843901197</v>
      </c>
      <c r="E145" s="45">
        <v>1.0</v>
      </c>
      <c r="F145" s="45">
        <v>1.0</v>
      </c>
      <c r="G145" s="45">
        <v>0.0</v>
      </c>
      <c r="H145" s="45">
        <v>0.0</v>
      </c>
    </row>
    <row r="146">
      <c r="A146" s="195" t="s">
        <v>267</v>
      </c>
      <c r="B146" s="45" t="s">
        <v>225</v>
      </c>
      <c r="C146" s="45" t="s">
        <v>244</v>
      </c>
      <c r="D146" s="46">
        <v>20.690094219505983</v>
      </c>
      <c r="E146" s="45">
        <v>1.0</v>
      </c>
      <c r="F146" s="45">
        <v>0.0</v>
      </c>
      <c r="G146" s="45">
        <v>0.0</v>
      </c>
      <c r="H146" s="45">
        <v>0.0</v>
      </c>
    </row>
    <row r="147">
      <c r="A147" s="195" t="s">
        <v>267</v>
      </c>
      <c r="B147" s="45" t="s">
        <v>225</v>
      </c>
      <c r="C147" s="45" t="s">
        <v>220</v>
      </c>
      <c r="D147" s="194">
        <v>23.0</v>
      </c>
      <c r="E147" s="45">
        <v>1.0</v>
      </c>
      <c r="F147" s="45">
        <v>1.0</v>
      </c>
      <c r="G147" s="45">
        <v>0.0</v>
      </c>
      <c r="H147" s="45">
        <v>0.0</v>
      </c>
    </row>
    <row r="148">
      <c r="A148" s="195" t="s">
        <v>267</v>
      </c>
      <c r="B148" s="45" t="s">
        <v>226</v>
      </c>
      <c r="C148" s="45" t="s">
        <v>220</v>
      </c>
      <c r="D148" s="46">
        <v>15.119684237331297</v>
      </c>
      <c r="E148" s="45">
        <v>1.0</v>
      </c>
      <c r="F148" s="45">
        <v>0.0</v>
      </c>
      <c r="G148" s="45">
        <v>0.0</v>
      </c>
      <c r="H148" s="45">
        <v>0.0</v>
      </c>
    </row>
    <row r="149">
      <c r="A149" s="195" t="s">
        <v>267</v>
      </c>
      <c r="B149" s="45" t="s">
        <v>226</v>
      </c>
      <c r="C149" s="45" t="s">
        <v>251</v>
      </c>
      <c r="D149" s="46">
        <v>21.0</v>
      </c>
      <c r="E149" s="45">
        <v>1.0</v>
      </c>
      <c r="F149" s="45">
        <v>0.0</v>
      </c>
      <c r="G149" s="45">
        <v>1.0</v>
      </c>
      <c r="H149" s="45" t="s">
        <v>234</v>
      </c>
    </row>
    <row r="150">
      <c r="A150" s="195" t="s">
        <v>267</v>
      </c>
      <c r="B150" s="45" t="s">
        <v>226</v>
      </c>
      <c r="C150" s="45" t="s">
        <v>251</v>
      </c>
      <c r="D150" s="46">
        <v>24.191494779730075</v>
      </c>
      <c r="E150" s="45">
        <v>1.0</v>
      </c>
      <c r="F150" s="45">
        <v>0.0</v>
      </c>
      <c r="G150" s="45">
        <v>0.0</v>
      </c>
      <c r="H150" s="45">
        <v>0.0</v>
      </c>
    </row>
    <row r="151">
      <c r="A151" s="195" t="s">
        <v>268</v>
      </c>
      <c r="B151" s="45" t="s">
        <v>218</v>
      </c>
      <c r="C151" s="45" t="s">
        <v>220</v>
      </c>
      <c r="D151" s="194">
        <v>38.0</v>
      </c>
      <c r="E151" s="45">
        <v>1.0</v>
      </c>
      <c r="F151" s="45">
        <v>1.0</v>
      </c>
      <c r="G151" s="45">
        <v>0.0</v>
      </c>
      <c r="H151" s="45">
        <v>0.0</v>
      </c>
    </row>
    <row r="152">
      <c r="A152" s="195" t="s">
        <v>268</v>
      </c>
      <c r="B152" s="45" t="s">
        <v>218</v>
      </c>
      <c r="C152" s="45" t="s">
        <v>222</v>
      </c>
      <c r="D152" s="194">
        <v>19.0</v>
      </c>
      <c r="E152" s="45">
        <v>2.0</v>
      </c>
      <c r="F152" s="45">
        <v>0.0</v>
      </c>
      <c r="G152" s="45">
        <v>2.0</v>
      </c>
      <c r="H152" s="45" t="s">
        <v>269</v>
      </c>
    </row>
    <row r="153">
      <c r="A153" s="195" t="s">
        <v>268</v>
      </c>
      <c r="B153" s="45" t="s">
        <v>218</v>
      </c>
      <c r="C153" s="45" t="s">
        <v>222</v>
      </c>
      <c r="D153" s="194">
        <v>28.0</v>
      </c>
      <c r="E153" s="45">
        <v>1.0</v>
      </c>
      <c r="F153" s="45">
        <v>0.0</v>
      </c>
      <c r="G153" s="45">
        <v>0.0</v>
      </c>
      <c r="H153" s="45">
        <v>0.0</v>
      </c>
    </row>
    <row r="154">
      <c r="A154" s="195" t="s">
        <v>268</v>
      </c>
      <c r="B154" s="45" t="s">
        <v>221</v>
      </c>
      <c r="C154" s="45" t="s">
        <v>222</v>
      </c>
      <c r="D154" s="194">
        <v>40.0</v>
      </c>
      <c r="E154" s="45">
        <v>1.0</v>
      </c>
      <c r="F154" s="45">
        <v>1.0</v>
      </c>
      <c r="G154" s="45">
        <v>1.0</v>
      </c>
      <c r="H154" s="45" t="s">
        <v>270</v>
      </c>
    </row>
    <row r="155">
      <c r="A155" s="195" t="s">
        <v>268</v>
      </c>
      <c r="B155" s="45" t="s">
        <v>225</v>
      </c>
      <c r="C155" s="45" t="s">
        <v>236</v>
      </c>
      <c r="D155" s="194">
        <v>12.5</v>
      </c>
      <c r="E155" s="45">
        <v>1.0</v>
      </c>
      <c r="F155" s="45">
        <v>0.0</v>
      </c>
      <c r="G155" s="45">
        <v>0.0</v>
      </c>
      <c r="H155" s="45">
        <v>0.0</v>
      </c>
    </row>
    <row r="156">
      <c r="A156" s="195" t="s">
        <v>268</v>
      </c>
      <c r="B156" s="45" t="s">
        <v>226</v>
      </c>
      <c r="C156" s="45" t="s">
        <v>222</v>
      </c>
      <c r="D156" s="194">
        <v>62.5</v>
      </c>
      <c r="E156" s="45">
        <v>1.0</v>
      </c>
      <c r="F156" s="45">
        <v>0.0</v>
      </c>
      <c r="G156" s="45">
        <v>0.0</v>
      </c>
      <c r="H156" s="45">
        <v>0.0</v>
      </c>
    </row>
    <row r="157">
      <c r="A157" s="195" t="s">
        <v>268</v>
      </c>
      <c r="B157" s="45" t="s">
        <v>226</v>
      </c>
      <c r="C157" s="45" t="s">
        <v>222</v>
      </c>
      <c r="D157" s="194">
        <v>43.5</v>
      </c>
      <c r="E157" s="45">
        <v>1.0</v>
      </c>
      <c r="F157" s="45">
        <v>1.0</v>
      </c>
      <c r="G157" s="45">
        <v>0.0</v>
      </c>
      <c r="H157" s="45">
        <v>0.0</v>
      </c>
    </row>
    <row r="158">
      <c r="A158" s="195" t="s">
        <v>271</v>
      </c>
      <c r="B158" s="45" t="s">
        <v>218</v>
      </c>
      <c r="C158" s="45" t="s">
        <v>222</v>
      </c>
      <c r="D158" s="194">
        <v>23.0</v>
      </c>
      <c r="E158" s="45">
        <v>1.0</v>
      </c>
      <c r="F158" s="45">
        <v>0.0</v>
      </c>
      <c r="G158" s="45">
        <v>0.0</v>
      </c>
      <c r="H158" s="45">
        <v>0.0</v>
      </c>
    </row>
    <row r="159">
      <c r="A159" s="195" t="s">
        <v>271</v>
      </c>
      <c r="B159" s="45" t="s">
        <v>218</v>
      </c>
      <c r="C159" s="45" t="s">
        <v>222</v>
      </c>
      <c r="D159" s="46">
        <v>20.212630506748155</v>
      </c>
      <c r="E159" s="45">
        <v>1.0</v>
      </c>
      <c r="F159" s="45">
        <v>0.0</v>
      </c>
      <c r="G159" s="45">
        <v>0.0</v>
      </c>
      <c r="H159" s="45">
        <v>0.0</v>
      </c>
    </row>
    <row r="160">
      <c r="A160" s="195" t="s">
        <v>271</v>
      </c>
      <c r="B160" s="45" t="s">
        <v>218</v>
      </c>
      <c r="C160" s="45" t="s">
        <v>222</v>
      </c>
      <c r="D160" s="46">
        <v>16.6157372039725</v>
      </c>
      <c r="E160" s="45">
        <v>1.0</v>
      </c>
      <c r="F160" s="45">
        <v>0.0</v>
      </c>
      <c r="G160" s="45">
        <v>0.0</v>
      </c>
      <c r="H160" s="45">
        <v>0.0</v>
      </c>
    </row>
    <row r="161">
      <c r="A161" s="195" t="s">
        <v>271</v>
      </c>
      <c r="B161" s="45" t="s">
        <v>221</v>
      </c>
      <c r="C161" s="45" t="s">
        <v>222</v>
      </c>
      <c r="D161" s="46">
        <v>18.143621084797555</v>
      </c>
      <c r="E161" s="45">
        <v>1.0</v>
      </c>
      <c r="F161" s="45">
        <v>0.0</v>
      </c>
      <c r="G161" s="45">
        <v>0.0</v>
      </c>
      <c r="H161" s="45">
        <v>0.0</v>
      </c>
    </row>
    <row r="162">
      <c r="A162" s="195" t="s">
        <v>271</v>
      </c>
      <c r="B162" s="45" t="s">
        <v>221</v>
      </c>
      <c r="C162" s="45" t="s">
        <v>272</v>
      </c>
      <c r="D162" s="46">
        <v>12.987012987012987</v>
      </c>
      <c r="E162" s="45">
        <v>1.0</v>
      </c>
      <c r="F162" s="45">
        <v>0.0</v>
      </c>
      <c r="G162" s="45">
        <v>0.0</v>
      </c>
      <c r="H162" s="45">
        <v>0.0</v>
      </c>
    </row>
    <row r="163">
      <c r="A163" s="195" t="s">
        <v>271</v>
      </c>
      <c r="B163" s="45" t="s">
        <v>225</v>
      </c>
      <c r="C163" s="45" t="s">
        <v>273</v>
      </c>
      <c r="D163" s="46">
        <v>19.098548510313215</v>
      </c>
      <c r="E163" s="45">
        <v>1.0</v>
      </c>
      <c r="F163" s="45">
        <v>0.0</v>
      </c>
      <c r="G163" s="45">
        <v>0.0</v>
      </c>
      <c r="H163" s="45">
        <v>0.0</v>
      </c>
    </row>
    <row r="164">
      <c r="A164" s="195" t="s">
        <v>271</v>
      </c>
      <c r="B164" s="45" t="s">
        <v>225</v>
      </c>
      <c r="C164" s="45" t="s">
        <v>219</v>
      </c>
      <c r="D164" s="194">
        <v>19.0</v>
      </c>
      <c r="E164" s="45">
        <v>1.0</v>
      </c>
      <c r="F164" s="45">
        <v>0.0</v>
      </c>
      <c r="G164" s="45">
        <v>0.0</v>
      </c>
      <c r="H164" s="45">
        <v>0.0</v>
      </c>
    </row>
    <row r="165">
      <c r="A165" s="195" t="s">
        <v>271</v>
      </c>
      <c r="B165" s="45" t="s">
        <v>225</v>
      </c>
      <c r="C165" s="45" t="s">
        <v>222</v>
      </c>
      <c r="D165" s="46">
        <v>21.645021645021647</v>
      </c>
      <c r="E165" s="45">
        <v>1.0</v>
      </c>
      <c r="F165" s="45">
        <v>1.0</v>
      </c>
      <c r="G165" s="45">
        <v>0.0</v>
      </c>
      <c r="H165" s="45">
        <v>0.0</v>
      </c>
    </row>
    <row r="166">
      <c r="A166" s="195" t="s">
        <v>271</v>
      </c>
      <c r="B166" s="45" t="s">
        <v>226</v>
      </c>
      <c r="C166" s="45" t="s">
        <v>222</v>
      </c>
      <c r="D166" s="46">
        <v>17.50700280112045</v>
      </c>
      <c r="E166" s="45">
        <v>1.0</v>
      </c>
      <c r="F166" s="45">
        <v>0.0</v>
      </c>
      <c r="G166" s="45">
        <v>1.0</v>
      </c>
      <c r="H166" s="45" t="s">
        <v>234</v>
      </c>
    </row>
    <row r="167">
      <c r="A167" s="195" t="s">
        <v>271</v>
      </c>
      <c r="B167" s="45" t="s">
        <v>226</v>
      </c>
      <c r="C167" s="45" t="s">
        <v>222</v>
      </c>
      <c r="D167" s="46">
        <v>19.576012223071046</v>
      </c>
      <c r="E167" s="45">
        <v>1.0</v>
      </c>
      <c r="F167" s="45">
        <v>1.0</v>
      </c>
      <c r="G167" s="45">
        <v>0.0</v>
      </c>
      <c r="H167" s="45">
        <v>0.0</v>
      </c>
    </row>
    <row r="168">
      <c r="A168" s="195" t="s">
        <v>274</v>
      </c>
      <c r="B168" s="45" t="s">
        <v>218</v>
      </c>
      <c r="C168" s="45" t="s">
        <v>222</v>
      </c>
      <c r="D168" s="194">
        <v>53.0</v>
      </c>
      <c r="E168" s="45">
        <v>1.0</v>
      </c>
      <c r="F168" s="45">
        <v>0.0</v>
      </c>
      <c r="G168" s="45">
        <v>0.0</v>
      </c>
      <c r="H168" s="45">
        <v>0.0</v>
      </c>
    </row>
    <row r="169">
      <c r="A169" s="195" t="s">
        <v>274</v>
      </c>
      <c r="B169" s="45" t="s">
        <v>221</v>
      </c>
      <c r="C169" s="45" t="s">
        <v>220</v>
      </c>
      <c r="D169" s="194">
        <v>16.0</v>
      </c>
      <c r="E169" s="45">
        <v>1.0</v>
      </c>
      <c r="F169" s="45">
        <v>1.0</v>
      </c>
      <c r="G169" s="45">
        <v>0.0</v>
      </c>
      <c r="H169" s="45">
        <v>0.0</v>
      </c>
    </row>
    <row r="170">
      <c r="A170" s="195" t="s">
        <v>274</v>
      </c>
      <c r="B170" s="45" t="s">
        <v>221</v>
      </c>
      <c r="C170" s="45" t="s">
        <v>220</v>
      </c>
      <c r="D170" s="194">
        <v>15.5</v>
      </c>
      <c r="E170" s="45">
        <v>1.0</v>
      </c>
      <c r="F170" s="45">
        <v>1.0</v>
      </c>
      <c r="G170" s="45">
        <v>0.0</v>
      </c>
      <c r="H170" s="45">
        <v>0.0</v>
      </c>
    </row>
    <row r="171">
      <c r="A171" s="195" t="s">
        <v>274</v>
      </c>
      <c r="B171" s="45" t="s">
        <v>221</v>
      </c>
      <c r="C171" s="45" t="s">
        <v>220</v>
      </c>
      <c r="D171" s="194">
        <v>17.4</v>
      </c>
      <c r="E171" s="45">
        <v>1.0</v>
      </c>
      <c r="F171" s="45">
        <v>1.0</v>
      </c>
      <c r="G171" s="45">
        <v>0.0</v>
      </c>
      <c r="H171" s="45">
        <v>0.0</v>
      </c>
    </row>
    <row r="172">
      <c r="A172" s="195" t="s">
        <v>275</v>
      </c>
      <c r="B172" s="45" t="s">
        <v>218</v>
      </c>
      <c r="C172" s="45" t="s">
        <v>244</v>
      </c>
      <c r="D172" s="46">
        <v>13.368983957219251</v>
      </c>
      <c r="E172" s="45">
        <v>1.0</v>
      </c>
      <c r="F172" s="45">
        <v>0.0</v>
      </c>
      <c r="G172" s="45">
        <v>0.0</v>
      </c>
      <c r="H172" s="45">
        <v>0.0</v>
      </c>
    </row>
    <row r="173">
      <c r="A173" s="195" t="s">
        <v>275</v>
      </c>
      <c r="B173" s="45" t="s">
        <v>221</v>
      </c>
      <c r="C173" s="45" t="s">
        <v>222</v>
      </c>
      <c r="D173" s="194">
        <v>104.0</v>
      </c>
      <c r="E173" s="45">
        <v>1.0</v>
      </c>
      <c r="F173" s="45">
        <v>1.0</v>
      </c>
      <c r="G173" s="45">
        <v>1.0</v>
      </c>
      <c r="H173" s="45" t="s">
        <v>270</v>
      </c>
    </row>
    <row r="174">
      <c r="A174" s="195" t="s">
        <v>275</v>
      </c>
      <c r="B174" s="45" t="s">
        <v>226</v>
      </c>
      <c r="C174" s="45" t="s">
        <v>222</v>
      </c>
      <c r="D174" s="194">
        <v>33.0</v>
      </c>
      <c r="E174" s="45">
        <v>1.0</v>
      </c>
      <c r="F174" s="45">
        <v>0.0</v>
      </c>
      <c r="G174" s="45">
        <v>1.0</v>
      </c>
      <c r="H174" s="45" t="s">
        <v>270</v>
      </c>
    </row>
    <row r="175">
      <c r="A175" s="195" t="s">
        <v>275</v>
      </c>
      <c r="B175" s="45" t="s">
        <v>226</v>
      </c>
      <c r="C175" s="45" t="s">
        <v>222</v>
      </c>
      <c r="D175" s="194">
        <v>38.0</v>
      </c>
      <c r="E175" s="45">
        <v>1.0</v>
      </c>
      <c r="F175" s="45">
        <v>0.0</v>
      </c>
      <c r="G175" s="45">
        <v>1.0</v>
      </c>
      <c r="H175" s="45" t="s">
        <v>270</v>
      </c>
    </row>
    <row r="176">
      <c r="A176" s="195" t="s">
        <v>275</v>
      </c>
      <c r="B176" s="45" t="s">
        <v>226</v>
      </c>
      <c r="C176" s="45" t="s">
        <v>222</v>
      </c>
      <c r="D176" s="194">
        <v>39.0</v>
      </c>
      <c r="E176" s="45">
        <v>1.0</v>
      </c>
      <c r="F176" s="45">
        <v>1.0</v>
      </c>
      <c r="G176" s="45">
        <v>0.0</v>
      </c>
      <c r="H176" s="45">
        <v>0.0</v>
      </c>
    </row>
    <row r="177">
      <c r="A177" s="195" t="s">
        <v>276</v>
      </c>
      <c r="B177" s="45" t="s">
        <v>221</v>
      </c>
      <c r="C177" s="45" t="s">
        <v>220</v>
      </c>
      <c r="D177" s="194">
        <v>23.5</v>
      </c>
      <c r="E177" s="45">
        <v>1.0</v>
      </c>
      <c r="F177" s="45">
        <v>1.0</v>
      </c>
      <c r="G177" s="45">
        <v>0.0</v>
      </c>
      <c r="H177" s="45">
        <v>0.0</v>
      </c>
    </row>
    <row r="178">
      <c r="A178" s="195" t="s">
        <v>276</v>
      </c>
      <c r="B178" s="45" t="s">
        <v>221</v>
      </c>
      <c r="C178" s="45" t="s">
        <v>220</v>
      </c>
      <c r="D178" s="194">
        <v>24.3</v>
      </c>
      <c r="E178" s="45">
        <v>1.0</v>
      </c>
      <c r="F178" s="45">
        <v>1.0</v>
      </c>
      <c r="G178" s="45">
        <v>0.0</v>
      </c>
      <c r="H178" s="45">
        <v>0.0</v>
      </c>
    </row>
    <row r="179">
      <c r="A179" s="195" t="s">
        <v>276</v>
      </c>
      <c r="B179" s="45" t="s">
        <v>221</v>
      </c>
      <c r="C179" s="45" t="s">
        <v>220</v>
      </c>
      <c r="D179" s="194">
        <v>22.0</v>
      </c>
      <c r="E179" s="45">
        <v>1.0</v>
      </c>
      <c r="F179" s="45">
        <v>1.0</v>
      </c>
      <c r="G179" s="45">
        <v>0.0</v>
      </c>
      <c r="H179" s="45">
        <v>0.0</v>
      </c>
    </row>
    <row r="180">
      <c r="A180" s="195" t="s">
        <v>276</v>
      </c>
      <c r="B180" s="45" t="s">
        <v>226</v>
      </c>
      <c r="C180" s="45" t="s">
        <v>220</v>
      </c>
      <c r="D180" s="194">
        <v>15.0</v>
      </c>
      <c r="E180" s="45">
        <v>3.0</v>
      </c>
      <c r="F180" s="45">
        <v>0.0</v>
      </c>
      <c r="G180" s="45">
        <v>1.0</v>
      </c>
      <c r="H180" s="45" t="s">
        <v>234</v>
      </c>
    </row>
    <row r="181">
      <c r="A181" s="195" t="s">
        <v>278</v>
      </c>
      <c r="B181" s="45" t="s">
        <v>221</v>
      </c>
      <c r="C181" s="45" t="s">
        <v>222</v>
      </c>
      <c r="D181" s="194">
        <v>53.0</v>
      </c>
      <c r="E181" s="45">
        <v>1.0</v>
      </c>
      <c r="F181" s="45">
        <v>0.0</v>
      </c>
      <c r="G181" s="45">
        <v>0.0</v>
      </c>
      <c r="H181" s="45">
        <v>0.0</v>
      </c>
    </row>
    <row r="182">
      <c r="A182" s="195" t="s">
        <v>278</v>
      </c>
      <c r="B182" s="45" t="s">
        <v>221</v>
      </c>
      <c r="C182" s="45" t="s">
        <v>220</v>
      </c>
      <c r="D182" s="194">
        <v>20.0</v>
      </c>
      <c r="E182" s="45">
        <v>1.0</v>
      </c>
      <c r="F182" s="45">
        <v>0.0</v>
      </c>
      <c r="G182" s="45">
        <v>0.0</v>
      </c>
      <c r="H182" s="45">
        <v>0.0</v>
      </c>
    </row>
    <row r="183">
      <c r="A183" s="195" t="s">
        <v>278</v>
      </c>
      <c r="B183" s="45" t="s">
        <v>218</v>
      </c>
      <c r="C183" s="45" t="s">
        <v>244</v>
      </c>
      <c r="D183" s="46">
        <v>17.188693659281896</v>
      </c>
      <c r="E183" s="45">
        <v>1.0</v>
      </c>
      <c r="F183" s="45">
        <v>1.0</v>
      </c>
      <c r="G183" s="45">
        <v>1.0</v>
      </c>
      <c r="H183" s="45">
        <v>1.0</v>
      </c>
    </row>
    <row r="184">
      <c r="A184" s="195" t="s">
        <v>278</v>
      </c>
      <c r="B184" s="45" t="s">
        <v>226</v>
      </c>
      <c r="C184" s="45" t="s">
        <v>222</v>
      </c>
      <c r="D184" s="46">
        <v>52.1</v>
      </c>
      <c r="E184" s="45">
        <v>1.0</v>
      </c>
      <c r="F184" s="45">
        <v>0.0</v>
      </c>
      <c r="G184" s="45">
        <v>0.0</v>
      </c>
      <c r="H184" s="45">
        <v>0.0</v>
      </c>
    </row>
    <row r="185">
      <c r="A185" s="195" t="s">
        <v>278</v>
      </c>
      <c r="B185" s="45" t="s">
        <v>226</v>
      </c>
      <c r="C185" s="45" t="s">
        <v>222</v>
      </c>
      <c r="D185" s="194">
        <v>18.0</v>
      </c>
      <c r="E185" s="45">
        <v>3.0</v>
      </c>
      <c r="F185" s="45">
        <v>1.0</v>
      </c>
      <c r="G185" s="45">
        <v>1.0</v>
      </c>
      <c r="H185" s="45" t="s">
        <v>234</v>
      </c>
    </row>
    <row r="186">
      <c r="A186" s="195" t="s">
        <v>278</v>
      </c>
      <c r="B186" s="45" t="s">
        <v>226</v>
      </c>
      <c r="C186" s="45" t="s">
        <v>222</v>
      </c>
      <c r="D186" s="194">
        <v>29.0</v>
      </c>
      <c r="E186" s="45">
        <v>2.0</v>
      </c>
      <c r="F186" s="45">
        <v>1.0</v>
      </c>
      <c r="G186" s="45">
        <v>1.0</v>
      </c>
      <c r="H186" s="45" t="s">
        <v>234</v>
      </c>
    </row>
    <row r="187">
      <c r="A187" s="195" t="s">
        <v>279</v>
      </c>
      <c r="B187" s="45" t="s">
        <v>218</v>
      </c>
      <c r="C187" s="45" t="s">
        <v>233</v>
      </c>
      <c r="D187" s="46">
        <v>14.96052966641202</v>
      </c>
      <c r="E187" s="45">
        <v>1.0</v>
      </c>
      <c r="F187" s="45">
        <v>0.0</v>
      </c>
      <c r="G187" s="45">
        <v>0.0</v>
      </c>
      <c r="H187" s="45">
        <v>0.0</v>
      </c>
    </row>
    <row r="188">
      <c r="A188" s="195" t="s">
        <v>279</v>
      </c>
      <c r="B188" s="45" t="s">
        <v>218</v>
      </c>
      <c r="C188" s="45" t="s">
        <v>233</v>
      </c>
      <c r="D188" s="194">
        <v>68.0</v>
      </c>
      <c r="E188" s="45">
        <v>1.0</v>
      </c>
      <c r="F188" s="45">
        <v>0.0</v>
      </c>
      <c r="G188" s="45">
        <v>0.0</v>
      </c>
      <c r="H188" s="45">
        <v>0.0</v>
      </c>
    </row>
    <row r="189">
      <c r="A189" s="195" t="s">
        <v>279</v>
      </c>
      <c r="B189" s="45" t="s">
        <v>218</v>
      </c>
      <c r="C189" s="45" t="s">
        <v>220</v>
      </c>
      <c r="D189" s="46">
        <v>12.732365673542144</v>
      </c>
      <c r="E189" s="45">
        <v>1.0</v>
      </c>
      <c r="F189" s="45">
        <v>1.0</v>
      </c>
      <c r="G189" s="45">
        <v>0.0</v>
      </c>
      <c r="H189" s="45">
        <v>0.0</v>
      </c>
    </row>
    <row r="190">
      <c r="A190" s="195" t="s">
        <v>279</v>
      </c>
      <c r="B190" s="45" t="s">
        <v>221</v>
      </c>
      <c r="C190" s="45" t="s">
        <v>219</v>
      </c>
      <c r="D190" s="46">
        <v>14.705882352941178</v>
      </c>
      <c r="E190" s="45">
        <v>1.0</v>
      </c>
      <c r="F190" s="45">
        <v>0.0</v>
      </c>
      <c r="G190" s="45">
        <v>0.0</v>
      </c>
      <c r="H190" s="45">
        <v>0.0</v>
      </c>
    </row>
    <row r="191">
      <c r="A191" s="195" t="s">
        <v>279</v>
      </c>
      <c r="B191" s="45" t="s">
        <v>225</v>
      </c>
      <c r="C191" s="45" t="s">
        <v>233</v>
      </c>
      <c r="D191" s="194">
        <v>56.0</v>
      </c>
      <c r="E191" s="45">
        <v>1.0</v>
      </c>
      <c r="F191" s="45">
        <v>1.0</v>
      </c>
      <c r="G191" s="45">
        <v>0.0</v>
      </c>
      <c r="H191" s="45">
        <v>0.0</v>
      </c>
    </row>
    <row r="192">
      <c r="A192" s="195" t="s">
        <v>279</v>
      </c>
      <c r="B192" s="45" t="s">
        <v>225</v>
      </c>
      <c r="C192" s="45" t="s">
        <v>222</v>
      </c>
      <c r="D192" s="194">
        <v>14.5</v>
      </c>
      <c r="E192" s="45">
        <v>1.0</v>
      </c>
      <c r="F192" s="45">
        <v>1.0</v>
      </c>
      <c r="G192" s="45">
        <v>0.0</v>
      </c>
      <c r="H192" s="45">
        <v>0.0</v>
      </c>
    </row>
    <row r="193">
      <c r="A193" s="195" t="s">
        <v>280</v>
      </c>
      <c r="B193" s="45" t="s">
        <v>218</v>
      </c>
      <c r="C193" s="45" t="s">
        <v>233</v>
      </c>
      <c r="D193" s="194">
        <v>66.0</v>
      </c>
      <c r="E193" s="45">
        <v>1.0</v>
      </c>
      <c r="F193" s="45">
        <v>1.0</v>
      </c>
      <c r="G193" s="45">
        <v>0.0</v>
      </c>
      <c r="H193" s="45">
        <v>0.0</v>
      </c>
    </row>
    <row r="194">
      <c r="A194" s="195" t="s">
        <v>280</v>
      </c>
      <c r="B194" s="45" t="s">
        <v>218</v>
      </c>
      <c r="C194" s="45" t="s">
        <v>233</v>
      </c>
      <c r="D194" s="194">
        <v>57.0</v>
      </c>
      <c r="E194" s="45">
        <v>1.0</v>
      </c>
      <c r="F194" s="45">
        <v>1.0</v>
      </c>
      <c r="G194" s="45">
        <v>0.0</v>
      </c>
      <c r="H194" s="45">
        <v>0.0</v>
      </c>
    </row>
    <row r="195">
      <c r="A195" s="195" t="s">
        <v>280</v>
      </c>
      <c r="B195" s="45" t="s">
        <v>221</v>
      </c>
      <c r="C195" s="45" t="s">
        <v>233</v>
      </c>
      <c r="D195" s="194">
        <v>68.0</v>
      </c>
      <c r="E195" s="45">
        <v>2.0</v>
      </c>
      <c r="F195" s="45">
        <v>0.0</v>
      </c>
      <c r="G195" s="45">
        <v>0.0</v>
      </c>
      <c r="H195" s="45">
        <v>0.0</v>
      </c>
    </row>
    <row r="196">
      <c r="A196" s="195" t="s">
        <v>280</v>
      </c>
      <c r="B196" s="45" t="s">
        <v>221</v>
      </c>
      <c r="C196" s="45" t="s">
        <v>222</v>
      </c>
      <c r="D196" s="46">
        <v>14.96052966641202</v>
      </c>
      <c r="E196" s="45">
        <v>1.0</v>
      </c>
      <c r="F196" s="45">
        <v>0.0</v>
      </c>
      <c r="G196" s="45">
        <v>0.0</v>
      </c>
      <c r="H196" s="45">
        <v>0.0</v>
      </c>
    </row>
    <row r="197">
      <c r="A197" s="195" t="s">
        <v>280</v>
      </c>
      <c r="B197" s="45" t="s">
        <v>225</v>
      </c>
      <c r="C197" s="45" t="s">
        <v>222</v>
      </c>
      <c r="D197" s="194">
        <v>33.0</v>
      </c>
      <c r="E197" s="45">
        <v>1.0</v>
      </c>
      <c r="F197" s="45">
        <v>1.0</v>
      </c>
      <c r="G197" s="45">
        <v>0.0</v>
      </c>
      <c r="H197" s="45">
        <v>0.0</v>
      </c>
    </row>
    <row r="198">
      <c r="A198" s="195" t="s">
        <v>280</v>
      </c>
      <c r="B198" s="45" t="s">
        <v>226</v>
      </c>
      <c r="C198" s="45" t="s">
        <v>220</v>
      </c>
      <c r="D198" s="46">
        <v>20.11713776419659</v>
      </c>
      <c r="E198" s="45">
        <v>1.0</v>
      </c>
      <c r="F198" s="45">
        <v>1.0</v>
      </c>
      <c r="G198" s="45">
        <v>1.0</v>
      </c>
      <c r="H198" s="45" t="s">
        <v>270</v>
      </c>
    </row>
    <row r="199">
      <c r="A199" s="195" t="s">
        <v>281</v>
      </c>
      <c r="B199" s="45" t="s">
        <v>218</v>
      </c>
      <c r="C199" s="45" t="s">
        <v>222</v>
      </c>
      <c r="D199" s="46">
        <v>25.11459129106188</v>
      </c>
      <c r="E199" s="45">
        <v>1.0</v>
      </c>
      <c r="F199" s="45">
        <v>1.0</v>
      </c>
      <c r="G199" s="45">
        <v>0.0</v>
      </c>
      <c r="H199" s="45">
        <v>0.0</v>
      </c>
    </row>
    <row r="200">
      <c r="A200" s="195" t="s">
        <v>281</v>
      </c>
      <c r="B200" s="45" t="s">
        <v>218</v>
      </c>
      <c r="C200" s="45" t="s">
        <v>222</v>
      </c>
      <c r="D200" s="194">
        <v>70.0</v>
      </c>
      <c r="E200" s="45">
        <v>1.0</v>
      </c>
      <c r="F200" s="45">
        <v>1.0</v>
      </c>
      <c r="G200" s="45">
        <v>0.0</v>
      </c>
      <c r="H200" s="45">
        <v>0.0</v>
      </c>
    </row>
    <row r="201">
      <c r="A201" s="195" t="s">
        <v>281</v>
      </c>
      <c r="B201" s="45" t="s">
        <v>225</v>
      </c>
      <c r="C201" s="45" t="s">
        <v>233</v>
      </c>
      <c r="D201" s="194">
        <v>81.0</v>
      </c>
      <c r="E201" s="45">
        <v>1.0</v>
      </c>
      <c r="F201" s="45">
        <v>1.0</v>
      </c>
      <c r="G201" s="45">
        <v>0.0</v>
      </c>
      <c r="H201" s="45">
        <v>0.0</v>
      </c>
    </row>
    <row r="202">
      <c r="A202" s="195" t="s">
        <v>281</v>
      </c>
      <c r="B202" s="45" t="s">
        <v>226</v>
      </c>
      <c r="C202" s="45" t="s">
        <v>233</v>
      </c>
      <c r="D202" s="46">
        <v>39.15202444614209</v>
      </c>
      <c r="E202" s="45">
        <v>1.0</v>
      </c>
      <c r="F202" s="45">
        <v>1.0</v>
      </c>
      <c r="G202" s="45">
        <v>0.0</v>
      </c>
      <c r="H202" s="45">
        <v>0.0</v>
      </c>
    </row>
    <row r="203">
      <c r="A203" s="195" t="s">
        <v>281</v>
      </c>
      <c r="B203" s="45" t="s">
        <v>226</v>
      </c>
      <c r="C203" s="45" t="s">
        <v>233</v>
      </c>
      <c r="D203" s="46">
        <v>11.777438248026483</v>
      </c>
      <c r="E203" s="45">
        <v>1.0</v>
      </c>
      <c r="F203" s="45">
        <v>1.0</v>
      </c>
      <c r="G203" s="45">
        <v>0.0</v>
      </c>
      <c r="H203" s="45">
        <v>0.0</v>
      </c>
    </row>
    <row r="204">
      <c r="A204" s="195" t="s">
        <v>282</v>
      </c>
      <c r="B204" s="45" t="s">
        <v>221</v>
      </c>
      <c r="C204" s="45" t="s">
        <v>233</v>
      </c>
      <c r="D204" s="46">
        <v>33.74076903488668</v>
      </c>
      <c r="E204" s="45">
        <v>2.0</v>
      </c>
      <c r="F204" s="45">
        <v>0.0</v>
      </c>
      <c r="G204" s="45">
        <v>0.0</v>
      </c>
      <c r="H204" s="45">
        <v>0.0</v>
      </c>
    </row>
    <row r="205">
      <c r="A205" s="195" t="s">
        <v>282</v>
      </c>
      <c r="B205" s="45" t="s">
        <v>221</v>
      </c>
      <c r="C205" s="45" t="s">
        <v>233</v>
      </c>
      <c r="D205" s="46">
        <v>28.966131907308377</v>
      </c>
      <c r="E205" s="45">
        <v>2.0</v>
      </c>
      <c r="F205" s="45">
        <v>0.0</v>
      </c>
      <c r="G205" s="45">
        <v>0.0</v>
      </c>
      <c r="H205" s="45">
        <v>0.0</v>
      </c>
    </row>
    <row r="206">
      <c r="A206" s="195" t="s">
        <v>282</v>
      </c>
      <c r="B206" s="45" t="s">
        <v>225</v>
      </c>
      <c r="C206" s="45" t="s">
        <v>233</v>
      </c>
      <c r="D206" s="46">
        <v>33.804430863254396</v>
      </c>
      <c r="E206" s="45">
        <v>2.0</v>
      </c>
      <c r="F206" s="45">
        <v>0.0</v>
      </c>
      <c r="G206" s="45">
        <v>0.0</v>
      </c>
      <c r="H206" s="45">
        <v>0.0</v>
      </c>
    </row>
    <row r="207">
      <c r="A207" s="195" t="s">
        <v>283</v>
      </c>
      <c r="B207" s="45" t="s">
        <v>218</v>
      </c>
      <c r="C207" s="45" t="s">
        <v>233</v>
      </c>
      <c r="D207" s="46">
        <v>47.74637127578304</v>
      </c>
      <c r="E207" s="45">
        <v>2.0</v>
      </c>
      <c r="F207" s="45">
        <v>0.0</v>
      </c>
      <c r="G207" s="45">
        <v>0.0</v>
      </c>
      <c r="H207" s="45">
        <v>0.0</v>
      </c>
    </row>
    <row r="208">
      <c r="A208" s="195" t="s">
        <v>283</v>
      </c>
      <c r="B208" s="45" t="s">
        <v>218</v>
      </c>
      <c r="C208" s="45" t="s">
        <v>233</v>
      </c>
      <c r="D208" s="46">
        <v>28.32951362363127</v>
      </c>
      <c r="E208" s="45">
        <v>2.0</v>
      </c>
      <c r="F208" s="45">
        <v>0.0</v>
      </c>
      <c r="G208" s="45">
        <v>0.0</v>
      </c>
      <c r="H208" s="45">
        <v>0.0</v>
      </c>
    </row>
    <row r="209">
      <c r="A209" s="195" t="s">
        <v>283</v>
      </c>
      <c r="B209" s="45" t="s">
        <v>221</v>
      </c>
      <c r="C209" s="45" t="s">
        <v>233</v>
      </c>
      <c r="D209" s="194">
        <v>28.0</v>
      </c>
      <c r="E209" s="45">
        <v>3.0</v>
      </c>
      <c r="F209" s="45">
        <v>0.0</v>
      </c>
      <c r="G209" s="45">
        <v>0.0</v>
      </c>
      <c r="H209" s="45">
        <v>0.0</v>
      </c>
    </row>
    <row r="210">
      <c r="A210" s="195" t="s">
        <v>283</v>
      </c>
      <c r="B210" s="45" t="s">
        <v>221</v>
      </c>
      <c r="C210" s="45" t="s">
        <v>233</v>
      </c>
      <c r="D210" s="194">
        <v>25.5</v>
      </c>
      <c r="E210" s="45">
        <v>3.0</v>
      </c>
      <c r="F210" s="45">
        <v>0.0</v>
      </c>
      <c r="G210" s="45">
        <v>0.0</v>
      </c>
      <c r="H210" s="45">
        <v>0.0</v>
      </c>
    </row>
    <row r="211">
      <c r="A211" s="195" t="s">
        <v>283</v>
      </c>
      <c r="B211" s="45" t="s">
        <v>225</v>
      </c>
      <c r="C211" s="45" t="s">
        <v>233</v>
      </c>
      <c r="D211" s="194">
        <v>50.92946269416858</v>
      </c>
      <c r="E211" s="45">
        <v>1.0</v>
      </c>
      <c r="F211" s="45">
        <v>0.0</v>
      </c>
      <c r="G211" s="45">
        <v>0.0</v>
      </c>
      <c r="H211" s="45">
        <v>0.0</v>
      </c>
    </row>
    <row r="212">
      <c r="A212" s="195" t="s">
        <v>283</v>
      </c>
      <c r="B212" s="45" t="s">
        <v>225</v>
      </c>
      <c r="C212" s="45" t="s">
        <v>233</v>
      </c>
      <c r="D212" s="46">
        <v>32.78584160937102</v>
      </c>
      <c r="E212" s="45">
        <v>2.0</v>
      </c>
      <c r="F212" s="45">
        <v>0.0</v>
      </c>
      <c r="G212" s="45">
        <v>0.0</v>
      </c>
      <c r="H212" s="45">
        <v>0.0</v>
      </c>
    </row>
    <row r="213">
      <c r="A213" s="195" t="s">
        <v>283</v>
      </c>
      <c r="B213" s="45" t="s">
        <v>226</v>
      </c>
      <c r="C213" s="45" t="s">
        <v>233</v>
      </c>
      <c r="D213" s="46">
        <v>25.146422205245734</v>
      </c>
      <c r="E213" s="45">
        <v>2.0</v>
      </c>
      <c r="F213" s="45">
        <v>0.0</v>
      </c>
      <c r="G213" s="45">
        <v>0.0</v>
      </c>
      <c r="H213" s="45">
        <v>0.0</v>
      </c>
    </row>
    <row r="214">
      <c r="A214" s="195" t="s">
        <v>284</v>
      </c>
      <c r="B214" s="45" t="s">
        <v>221</v>
      </c>
      <c r="C214" s="45" t="s">
        <v>219</v>
      </c>
      <c r="D214" s="46">
        <v>13.050674815380697</v>
      </c>
      <c r="E214" s="45">
        <v>1.0</v>
      </c>
      <c r="F214" s="45">
        <v>0.0</v>
      </c>
      <c r="G214" s="45">
        <v>0.0</v>
      </c>
      <c r="H214" s="45">
        <v>0.0</v>
      </c>
    </row>
    <row r="215">
      <c r="A215" s="195" t="s">
        <v>284</v>
      </c>
      <c r="B215" s="45" t="s">
        <v>225</v>
      </c>
      <c r="C215" s="45" t="s">
        <v>233</v>
      </c>
      <c r="D215" s="46">
        <v>29.602750190985486</v>
      </c>
      <c r="E215" s="45">
        <v>1.0</v>
      </c>
      <c r="F215" s="45">
        <v>0.0</v>
      </c>
      <c r="G215" s="45">
        <v>0.0</v>
      </c>
      <c r="H215" s="45">
        <v>0.0</v>
      </c>
    </row>
    <row r="216">
      <c r="A216" s="195" t="s">
        <v>284</v>
      </c>
      <c r="B216" s="45" t="s">
        <v>225</v>
      </c>
      <c r="C216" s="45" t="s">
        <v>233</v>
      </c>
      <c r="D216" s="46">
        <v>29.28444104914693</v>
      </c>
      <c r="E216" s="45">
        <v>1.0</v>
      </c>
      <c r="F216" s="45">
        <v>0.0</v>
      </c>
      <c r="G216" s="45">
        <v>0.0</v>
      </c>
      <c r="H216" s="45">
        <v>0.0</v>
      </c>
    </row>
    <row r="217">
      <c r="A217" s="195" t="s">
        <v>284</v>
      </c>
      <c r="B217" s="45" t="s">
        <v>225</v>
      </c>
      <c r="C217" s="45" t="s">
        <v>233</v>
      </c>
      <c r="D217" s="46">
        <v>22.91825821237586</v>
      </c>
      <c r="E217" s="45">
        <v>1.0</v>
      </c>
      <c r="F217" s="45">
        <v>0.0</v>
      </c>
      <c r="G217" s="45">
        <v>0.0</v>
      </c>
      <c r="H217" s="45">
        <v>0.0</v>
      </c>
    </row>
    <row r="218">
      <c r="A218" s="195" t="s">
        <v>284</v>
      </c>
      <c r="B218" s="45" t="s">
        <v>226</v>
      </c>
      <c r="C218" s="45" t="s">
        <v>233</v>
      </c>
      <c r="D218" s="46">
        <v>16.552075375604787</v>
      </c>
      <c r="E218" s="45">
        <v>1.0</v>
      </c>
      <c r="F218" s="45">
        <v>0.0</v>
      </c>
      <c r="G218" s="45">
        <v>0.0</v>
      </c>
      <c r="H218" s="45">
        <v>0.0</v>
      </c>
    </row>
    <row r="219">
      <c r="A219" s="195" t="s">
        <v>285</v>
      </c>
      <c r="B219" s="45" t="s">
        <v>218</v>
      </c>
      <c r="C219" s="45" t="s">
        <v>233</v>
      </c>
      <c r="D219" s="194">
        <v>46.0</v>
      </c>
      <c r="E219" s="45">
        <v>2.0</v>
      </c>
      <c r="F219" s="45">
        <v>0.0</v>
      </c>
      <c r="G219" s="45">
        <v>0.0</v>
      </c>
      <c r="H219" s="45">
        <v>0.0</v>
      </c>
    </row>
    <row r="220">
      <c r="A220" s="195" t="s">
        <v>285</v>
      </c>
      <c r="B220" s="45" t="s">
        <v>221</v>
      </c>
      <c r="C220" s="45" t="s">
        <v>233</v>
      </c>
      <c r="D220" s="46">
        <v>39.15202444614209</v>
      </c>
      <c r="E220" s="45">
        <v>2.0</v>
      </c>
      <c r="F220" s="45">
        <v>0.0</v>
      </c>
      <c r="G220" s="45">
        <v>0.0</v>
      </c>
      <c r="H220" s="45">
        <v>0.0</v>
      </c>
    </row>
    <row r="221">
      <c r="A221" s="195" t="s">
        <v>285</v>
      </c>
      <c r="B221" s="45" t="s">
        <v>221</v>
      </c>
      <c r="C221" s="45" t="s">
        <v>233</v>
      </c>
      <c r="D221" s="46">
        <v>13.814616755793226</v>
      </c>
      <c r="E221" s="45">
        <v>1.0</v>
      </c>
      <c r="F221" s="45">
        <v>0.0</v>
      </c>
      <c r="G221" s="45">
        <v>0.0</v>
      </c>
      <c r="H221" s="45">
        <v>0.0</v>
      </c>
    </row>
    <row r="222">
      <c r="A222" s="195" t="s">
        <v>285</v>
      </c>
      <c r="B222" s="45" t="s">
        <v>221</v>
      </c>
      <c r="C222" s="45" t="s">
        <v>233</v>
      </c>
      <c r="D222" s="46">
        <v>19.735166793990324</v>
      </c>
      <c r="E222" s="45">
        <v>2.0</v>
      </c>
      <c r="F222" s="45">
        <v>0.0</v>
      </c>
      <c r="G222" s="45">
        <v>0.0</v>
      </c>
      <c r="H222" s="45">
        <v>0.0</v>
      </c>
    </row>
    <row r="223">
      <c r="A223" s="195" t="s">
        <v>285</v>
      </c>
      <c r="B223" s="45" t="s">
        <v>225</v>
      </c>
      <c r="C223" s="45" t="s">
        <v>233</v>
      </c>
      <c r="D223" s="194">
        <v>39.0</v>
      </c>
      <c r="E223" s="45">
        <v>2.0</v>
      </c>
      <c r="F223" s="45">
        <v>0.0</v>
      </c>
      <c r="G223" s="45">
        <v>0.0</v>
      </c>
      <c r="H223" s="45">
        <v>0.0</v>
      </c>
    </row>
    <row r="224">
      <c r="A224" s="195" t="s">
        <v>285</v>
      </c>
      <c r="B224" s="45" t="s">
        <v>225</v>
      </c>
      <c r="C224" s="45" t="s">
        <v>233</v>
      </c>
      <c r="D224" s="46">
        <v>15.469824293353707</v>
      </c>
      <c r="E224" s="45">
        <v>2.0</v>
      </c>
      <c r="F224" s="45">
        <v>0.0</v>
      </c>
      <c r="G224" s="45">
        <v>0.0</v>
      </c>
      <c r="H224" s="45">
        <v>0.0</v>
      </c>
    </row>
    <row r="225">
      <c r="A225" s="195" t="s">
        <v>285</v>
      </c>
      <c r="B225" s="45" t="s">
        <v>225</v>
      </c>
      <c r="C225" s="45" t="s">
        <v>233</v>
      </c>
      <c r="D225" s="46">
        <v>16.87038451744334</v>
      </c>
      <c r="E225" s="45">
        <v>2.0</v>
      </c>
      <c r="F225" s="45">
        <v>0.0</v>
      </c>
      <c r="G225" s="45">
        <v>0.0</v>
      </c>
      <c r="H225" s="45">
        <v>0.0</v>
      </c>
    </row>
    <row r="226">
      <c r="A226" s="195" t="s">
        <v>287</v>
      </c>
      <c r="B226" s="45" t="s">
        <v>218</v>
      </c>
      <c r="C226" s="45" t="s">
        <v>233</v>
      </c>
      <c r="D226" s="46">
        <v>26.578813343519226</v>
      </c>
      <c r="E226" s="45">
        <v>1.0</v>
      </c>
      <c r="F226" s="45">
        <v>0.0</v>
      </c>
      <c r="G226" s="45">
        <v>0.0</v>
      </c>
      <c r="H226" s="45">
        <v>0.0</v>
      </c>
    </row>
    <row r="227">
      <c r="A227" s="195" t="s">
        <v>287</v>
      </c>
      <c r="B227" s="45" t="s">
        <v>221</v>
      </c>
      <c r="C227" s="45" t="s">
        <v>233</v>
      </c>
      <c r="D227" s="46">
        <v>25.146422205245734</v>
      </c>
      <c r="E227" s="45">
        <v>2.0</v>
      </c>
      <c r="F227" s="45">
        <v>0.0</v>
      </c>
      <c r="G227" s="45">
        <v>0.0</v>
      </c>
      <c r="H227" s="45">
        <v>0.0</v>
      </c>
    </row>
    <row r="228">
      <c r="A228" s="195" t="s">
        <v>287</v>
      </c>
      <c r="B228" s="45" t="s">
        <v>221</v>
      </c>
      <c r="C228" s="45" t="s">
        <v>233</v>
      </c>
      <c r="D228" s="46">
        <v>15.692640692640692</v>
      </c>
      <c r="E228" s="45">
        <v>2.0</v>
      </c>
      <c r="F228" s="45">
        <v>0.0</v>
      </c>
      <c r="G228" s="45">
        <v>0.0</v>
      </c>
      <c r="H228" s="45">
        <v>0.0</v>
      </c>
    </row>
    <row r="229">
      <c r="A229" s="195" t="s">
        <v>287</v>
      </c>
      <c r="B229" s="45" t="s">
        <v>225</v>
      </c>
      <c r="C229" s="45" t="s">
        <v>233</v>
      </c>
      <c r="D229" s="46">
        <v>19.257703081232492</v>
      </c>
      <c r="E229" s="45">
        <v>2.0</v>
      </c>
      <c r="F229" s="45">
        <v>0.0</v>
      </c>
      <c r="G229" s="45">
        <v>0.0</v>
      </c>
      <c r="H229" s="45">
        <v>0.0</v>
      </c>
    </row>
    <row r="230">
      <c r="A230" s="195" t="s">
        <v>287</v>
      </c>
      <c r="B230" s="45" t="s">
        <v>225</v>
      </c>
      <c r="C230" s="45" t="s">
        <v>233</v>
      </c>
      <c r="D230" s="46">
        <v>20.690094219505983</v>
      </c>
      <c r="E230" s="45">
        <v>2.0</v>
      </c>
      <c r="F230" s="45">
        <v>0.0</v>
      </c>
      <c r="G230" s="45">
        <v>0.0</v>
      </c>
      <c r="H230" s="45">
        <v>0.0</v>
      </c>
    </row>
    <row r="231">
      <c r="A231" s="195" t="s">
        <v>287</v>
      </c>
      <c r="B231" s="45" t="s">
        <v>225</v>
      </c>
      <c r="C231" s="45" t="s">
        <v>233</v>
      </c>
      <c r="D231" s="46">
        <v>14.96052966641202</v>
      </c>
      <c r="E231" s="45">
        <v>2.0</v>
      </c>
      <c r="F231" s="45">
        <v>0.0</v>
      </c>
      <c r="G231" s="45">
        <v>0.0</v>
      </c>
      <c r="H231" s="45">
        <v>0.0</v>
      </c>
    </row>
    <row r="232">
      <c r="A232" s="195" t="s">
        <v>287</v>
      </c>
      <c r="B232" s="45" t="s">
        <v>226</v>
      </c>
      <c r="C232" s="45" t="s">
        <v>233</v>
      </c>
      <c r="D232" s="46">
        <v>19.989814107461164</v>
      </c>
      <c r="E232" s="45">
        <v>1.0</v>
      </c>
      <c r="F232" s="45">
        <v>0.0</v>
      </c>
      <c r="G232" s="45">
        <v>0.0</v>
      </c>
      <c r="H232" s="45">
        <v>0.0</v>
      </c>
    </row>
    <row r="233">
      <c r="A233" s="195" t="s">
        <v>287</v>
      </c>
      <c r="B233" s="45" t="s">
        <v>226</v>
      </c>
      <c r="C233" s="45" t="s">
        <v>233</v>
      </c>
      <c r="D233" s="46">
        <v>30.939648586707413</v>
      </c>
      <c r="E233" s="45">
        <v>1.0</v>
      </c>
      <c r="F233" s="45">
        <v>0.0</v>
      </c>
      <c r="G233" s="45">
        <v>0.0</v>
      </c>
      <c r="H233" s="45">
        <v>0.0</v>
      </c>
    </row>
    <row r="234">
      <c r="A234" s="195" t="s">
        <v>287</v>
      </c>
      <c r="B234" s="45" t="s">
        <v>226</v>
      </c>
      <c r="C234" s="45" t="s">
        <v>233</v>
      </c>
      <c r="D234" s="46">
        <v>27.692895339954163</v>
      </c>
      <c r="E234" s="45">
        <v>1.0</v>
      </c>
      <c r="F234" s="45">
        <v>0.0</v>
      </c>
      <c r="G234" s="45">
        <v>0.0</v>
      </c>
      <c r="H234" s="45">
        <v>0.0</v>
      </c>
    </row>
    <row r="235">
      <c r="A235" s="195" t="s">
        <v>288</v>
      </c>
      <c r="B235" s="45" t="s">
        <v>218</v>
      </c>
      <c r="C235" s="45" t="s">
        <v>233</v>
      </c>
      <c r="D235" s="46">
        <v>16.711229946524064</v>
      </c>
      <c r="E235" s="45">
        <v>2.0</v>
      </c>
      <c r="F235" s="45">
        <v>0.0</v>
      </c>
      <c r="G235" s="45">
        <v>0.0</v>
      </c>
      <c r="H235" s="45">
        <v>0.0</v>
      </c>
    </row>
    <row r="236">
      <c r="A236" s="195" t="s">
        <v>288</v>
      </c>
      <c r="B236" s="45" t="s">
        <v>218</v>
      </c>
      <c r="C236" s="45" t="s">
        <v>233</v>
      </c>
      <c r="D236" s="46">
        <v>15.43799337916985</v>
      </c>
      <c r="E236" s="45">
        <v>2.0</v>
      </c>
      <c r="F236" s="45">
        <v>0.0</v>
      </c>
      <c r="G236" s="45">
        <v>0.0</v>
      </c>
      <c r="H236" s="45">
        <v>0.0</v>
      </c>
    </row>
    <row r="237">
      <c r="A237" s="195" t="s">
        <v>288</v>
      </c>
      <c r="B237" s="45" t="s">
        <v>218</v>
      </c>
      <c r="C237" s="45" t="s">
        <v>233</v>
      </c>
      <c r="D237" s="46">
        <v>15.533486121721415</v>
      </c>
      <c r="E237" s="45">
        <v>1.0</v>
      </c>
      <c r="F237" s="45">
        <v>0.0</v>
      </c>
      <c r="G237" s="45">
        <v>0.0</v>
      </c>
      <c r="H237" s="45">
        <v>0.0</v>
      </c>
    </row>
    <row r="238">
      <c r="A238" s="195" t="s">
        <v>288</v>
      </c>
      <c r="B238" s="45" t="s">
        <v>221</v>
      </c>
      <c r="C238" s="45" t="s">
        <v>233</v>
      </c>
      <c r="D238" s="46">
        <v>33.64527629233512</v>
      </c>
      <c r="E238" s="45">
        <v>1.0</v>
      </c>
      <c r="F238" s="45">
        <v>0.0</v>
      </c>
      <c r="G238" s="45">
        <v>0.0</v>
      </c>
      <c r="H238" s="45">
        <v>0.0</v>
      </c>
    </row>
    <row r="239">
      <c r="A239" s="195" t="s">
        <v>288</v>
      </c>
      <c r="B239" s="45" t="s">
        <v>225</v>
      </c>
      <c r="C239" s="45" t="s">
        <v>233</v>
      </c>
      <c r="D239" s="46">
        <v>15.278838808250573</v>
      </c>
      <c r="E239" s="45">
        <v>2.0</v>
      </c>
      <c r="F239" s="45">
        <v>0.0</v>
      </c>
      <c r="G239" s="45">
        <v>0.0</v>
      </c>
      <c r="H239" s="45">
        <v>0.0</v>
      </c>
    </row>
    <row r="240">
      <c r="A240" s="195" t="s">
        <v>288</v>
      </c>
      <c r="B240" s="45" t="s">
        <v>225</v>
      </c>
      <c r="C240" s="45" t="s">
        <v>233</v>
      </c>
      <c r="D240" s="46">
        <v>13.368983957219251</v>
      </c>
      <c r="E240" s="45">
        <v>1.0</v>
      </c>
      <c r="F240" s="45">
        <v>0.0</v>
      </c>
      <c r="G240" s="45">
        <v>0.0</v>
      </c>
      <c r="H240" s="45">
        <v>0.0</v>
      </c>
    </row>
    <row r="241">
      <c r="A241" s="195" t="s">
        <v>288</v>
      </c>
      <c r="B241" s="45" t="s">
        <v>225</v>
      </c>
      <c r="C241" s="45" t="s">
        <v>233</v>
      </c>
      <c r="D241" s="46">
        <v>15.278838808250573</v>
      </c>
      <c r="E241" s="45">
        <v>1.0</v>
      </c>
      <c r="F241" s="45">
        <v>0.0</v>
      </c>
      <c r="G241" s="45">
        <v>0.0</v>
      </c>
      <c r="H241" s="45">
        <v>0.0</v>
      </c>
    </row>
    <row r="242">
      <c r="A242" s="195" t="s">
        <v>288</v>
      </c>
      <c r="B242" s="45" t="s">
        <v>226</v>
      </c>
      <c r="C242" s="45" t="s">
        <v>233</v>
      </c>
      <c r="D242" s="46">
        <v>18.3982683982684</v>
      </c>
      <c r="E242" s="45">
        <v>1.0</v>
      </c>
      <c r="F242" s="45">
        <v>0.0</v>
      </c>
      <c r="G242" s="45">
        <v>0.0</v>
      </c>
      <c r="H242" s="45">
        <v>0.0</v>
      </c>
    </row>
    <row r="243">
      <c r="A243" s="195" t="s">
        <v>288</v>
      </c>
      <c r="B243" s="45" t="s">
        <v>226</v>
      </c>
      <c r="C243" s="45" t="s">
        <v>233</v>
      </c>
      <c r="D243" s="46">
        <v>13.687293099057806</v>
      </c>
      <c r="E243" s="45">
        <v>1.0</v>
      </c>
      <c r="F243" s="45">
        <v>0.0</v>
      </c>
      <c r="G243" s="45">
        <v>0.0</v>
      </c>
      <c r="H243" s="45">
        <v>0.0</v>
      </c>
    </row>
    <row r="244">
      <c r="A244" s="195" t="s">
        <v>288</v>
      </c>
      <c r="B244" s="45" t="s">
        <v>226</v>
      </c>
      <c r="C244" s="45" t="s">
        <v>233</v>
      </c>
      <c r="D244" s="46">
        <v>16.106442577030812</v>
      </c>
      <c r="E244" s="45">
        <v>1.0</v>
      </c>
      <c r="F244" s="45">
        <v>0.0</v>
      </c>
      <c r="G244" s="45">
        <v>0.0</v>
      </c>
      <c r="H244" s="45">
        <v>0.0</v>
      </c>
    </row>
    <row r="245">
      <c r="A245" s="195" t="s">
        <v>289</v>
      </c>
      <c r="B245" s="45" t="s">
        <v>218</v>
      </c>
      <c r="C245" s="45" t="s">
        <v>233</v>
      </c>
      <c r="D245" s="46">
        <v>27.947542653425007</v>
      </c>
      <c r="E245" s="45">
        <v>1.0</v>
      </c>
      <c r="F245" s="45">
        <v>0.0</v>
      </c>
      <c r="G245" s="45">
        <v>0.0</v>
      </c>
      <c r="H245" s="45">
        <v>0.0</v>
      </c>
    </row>
    <row r="246">
      <c r="A246" s="195" t="s">
        <v>289</v>
      </c>
      <c r="B246" s="45" t="s">
        <v>218</v>
      </c>
      <c r="C246" s="45" t="s">
        <v>233</v>
      </c>
      <c r="D246" s="46">
        <v>24.191494779730075</v>
      </c>
      <c r="E246" s="45">
        <v>1.0</v>
      </c>
      <c r="F246" s="45">
        <v>0.0</v>
      </c>
      <c r="G246" s="45">
        <v>0.0</v>
      </c>
      <c r="H246" s="45">
        <v>0.0</v>
      </c>
    </row>
    <row r="247">
      <c r="A247" s="195" t="s">
        <v>289</v>
      </c>
      <c r="B247" s="45" t="s">
        <v>218</v>
      </c>
      <c r="C247" s="45" t="s">
        <v>233</v>
      </c>
      <c r="D247" s="46">
        <v>15.533486121721415</v>
      </c>
      <c r="E247" s="45">
        <v>1.0</v>
      </c>
      <c r="F247" s="45">
        <v>0.0</v>
      </c>
      <c r="G247" s="45">
        <v>0.0</v>
      </c>
      <c r="H247" s="45">
        <v>0.0</v>
      </c>
    </row>
    <row r="248">
      <c r="A248" s="195" t="s">
        <v>289</v>
      </c>
      <c r="B248" s="45" t="s">
        <v>221</v>
      </c>
      <c r="C248" s="45" t="s">
        <v>233</v>
      </c>
      <c r="D248" s="46">
        <v>22.886427298192007</v>
      </c>
      <c r="E248" s="45">
        <v>2.0</v>
      </c>
      <c r="F248" s="45">
        <v>0.0</v>
      </c>
      <c r="G248" s="45">
        <v>0.0</v>
      </c>
      <c r="H248" s="45">
        <v>0.0</v>
      </c>
    </row>
    <row r="249">
      <c r="A249" s="195" t="s">
        <v>289</v>
      </c>
      <c r="B249" s="45" t="s">
        <v>221</v>
      </c>
      <c r="C249" s="45" t="s">
        <v>233</v>
      </c>
      <c r="D249" s="194">
        <v>96.5</v>
      </c>
      <c r="E249" s="45">
        <v>1.0</v>
      </c>
      <c r="F249" s="45">
        <v>0.0</v>
      </c>
      <c r="G249" s="45">
        <v>0.0</v>
      </c>
      <c r="H249" s="45">
        <v>0.0</v>
      </c>
    </row>
    <row r="250">
      <c r="A250" s="195" t="s">
        <v>289</v>
      </c>
      <c r="B250" s="45" t="s">
        <v>221</v>
      </c>
      <c r="C250" s="45" t="s">
        <v>233</v>
      </c>
      <c r="D250" s="46">
        <v>33.10415075120957</v>
      </c>
      <c r="E250" s="45">
        <v>1.0</v>
      </c>
      <c r="F250" s="45">
        <v>0.0</v>
      </c>
      <c r="G250" s="45">
        <v>0.0</v>
      </c>
      <c r="H250" s="45">
        <v>0.0</v>
      </c>
    </row>
    <row r="251">
      <c r="A251" s="195" t="s">
        <v>289</v>
      </c>
      <c r="B251" s="45" t="s">
        <v>225</v>
      </c>
      <c r="C251" s="45" t="s">
        <v>233</v>
      </c>
      <c r="D251" s="46">
        <v>22.408963585434176</v>
      </c>
      <c r="E251" s="45">
        <v>3.0</v>
      </c>
      <c r="F251" s="45">
        <v>0.0</v>
      </c>
      <c r="G251" s="45">
        <v>0.0</v>
      </c>
      <c r="H251" s="45">
        <v>0.0</v>
      </c>
    </row>
    <row r="252">
      <c r="A252" s="195" t="s">
        <v>289</v>
      </c>
      <c r="B252" s="45" t="s">
        <v>225</v>
      </c>
      <c r="C252" s="45" t="s">
        <v>233</v>
      </c>
      <c r="D252" s="46">
        <v>22.568118156353453</v>
      </c>
      <c r="E252" s="45">
        <v>1.0</v>
      </c>
      <c r="F252" s="45">
        <v>0.0</v>
      </c>
      <c r="G252" s="45">
        <v>0.0</v>
      </c>
      <c r="H252" s="45">
        <v>0.0</v>
      </c>
    </row>
    <row r="253">
      <c r="A253" s="195" t="s">
        <v>289</v>
      </c>
      <c r="B253" s="45" t="s">
        <v>225</v>
      </c>
      <c r="C253" s="45" t="s">
        <v>233</v>
      </c>
      <c r="D253" s="46">
        <v>22.91825821237586</v>
      </c>
      <c r="E253" s="45">
        <v>2.0</v>
      </c>
      <c r="F253" s="45">
        <v>0.0</v>
      </c>
      <c r="G253" s="45">
        <v>0.0</v>
      </c>
      <c r="H253" s="45">
        <v>0.0</v>
      </c>
    </row>
    <row r="254">
      <c r="A254" s="195" t="s">
        <v>289</v>
      </c>
      <c r="B254" s="45" t="s">
        <v>226</v>
      </c>
      <c r="C254" s="45" t="s">
        <v>233</v>
      </c>
      <c r="D254" s="46">
        <v>16.679399032340207</v>
      </c>
      <c r="E254" s="45">
        <v>3.0</v>
      </c>
      <c r="F254" s="45">
        <v>0.0</v>
      </c>
      <c r="G254" s="45">
        <v>0.0</v>
      </c>
      <c r="H254" s="45">
        <v>0.0</v>
      </c>
    </row>
    <row r="255">
      <c r="A255" s="195" t="s">
        <v>289</v>
      </c>
      <c r="B255" s="45" t="s">
        <v>226</v>
      </c>
      <c r="C255" s="45" t="s">
        <v>233</v>
      </c>
      <c r="D255" s="46">
        <v>21.645021645021647</v>
      </c>
      <c r="E255" s="45">
        <v>3.0</v>
      </c>
      <c r="F255" s="45">
        <v>0.0</v>
      </c>
      <c r="G255" s="45">
        <v>0.0</v>
      </c>
      <c r="H255" s="45">
        <v>0.0</v>
      </c>
    </row>
    <row r="256">
      <c r="A256" s="195" t="s">
        <v>291</v>
      </c>
      <c r="B256" s="45" t="s">
        <v>218</v>
      </c>
      <c r="C256" s="45" t="s">
        <v>233</v>
      </c>
      <c r="D256" s="46">
        <v>17.920804685510568</v>
      </c>
      <c r="E256" s="45">
        <v>1.0</v>
      </c>
      <c r="F256" s="45">
        <v>0.0</v>
      </c>
      <c r="G256" s="45">
        <v>0.0</v>
      </c>
      <c r="H256" s="45">
        <v>0.0</v>
      </c>
    </row>
    <row r="257">
      <c r="A257" s="195" t="s">
        <v>291</v>
      </c>
      <c r="B257" s="45" t="s">
        <v>218</v>
      </c>
      <c r="C257" s="45" t="s">
        <v>233</v>
      </c>
      <c r="D257" s="46">
        <v>15.597147950089127</v>
      </c>
      <c r="E257" s="45">
        <v>1.0</v>
      </c>
      <c r="F257" s="45">
        <v>0.0</v>
      </c>
      <c r="G257" s="45">
        <v>0.0</v>
      </c>
      <c r="H257" s="45">
        <v>0.0</v>
      </c>
    </row>
    <row r="258">
      <c r="A258" s="195" t="s">
        <v>291</v>
      </c>
      <c r="B258" s="45" t="s">
        <v>218</v>
      </c>
      <c r="C258" s="45" t="s">
        <v>233</v>
      </c>
      <c r="D258" s="46">
        <v>17.888973771326715</v>
      </c>
      <c r="E258" s="45">
        <v>2.0</v>
      </c>
      <c r="F258" s="45">
        <v>0.0</v>
      </c>
      <c r="G258" s="45">
        <v>0.0</v>
      </c>
      <c r="H258" s="45">
        <v>0.0</v>
      </c>
    </row>
    <row r="259">
      <c r="A259" s="195" t="s">
        <v>291</v>
      </c>
      <c r="B259" s="45" t="s">
        <v>221</v>
      </c>
      <c r="C259" s="45" t="s">
        <v>233</v>
      </c>
      <c r="D259" s="46">
        <v>17.50700280112045</v>
      </c>
      <c r="E259" s="45">
        <v>1.0</v>
      </c>
      <c r="F259" s="45">
        <v>0.0</v>
      </c>
      <c r="G259" s="45">
        <v>0.0</v>
      </c>
      <c r="H259" s="45">
        <v>0.0</v>
      </c>
    </row>
    <row r="260">
      <c r="A260" s="195" t="s">
        <v>291</v>
      </c>
      <c r="B260" s="45" t="s">
        <v>221</v>
      </c>
      <c r="C260" s="45" t="s">
        <v>233</v>
      </c>
      <c r="D260" s="46">
        <v>20.753756047873697</v>
      </c>
      <c r="E260" s="45">
        <v>2.0</v>
      </c>
      <c r="F260" s="45">
        <v>0.0</v>
      </c>
      <c r="G260" s="45">
        <v>0.0</v>
      </c>
      <c r="H260" s="45">
        <v>0.0</v>
      </c>
    </row>
    <row r="261">
      <c r="A261" s="195" t="s">
        <v>291</v>
      </c>
      <c r="B261" s="45" t="s">
        <v>221</v>
      </c>
      <c r="C261" s="45" t="s">
        <v>233</v>
      </c>
      <c r="D261" s="46">
        <v>18.270944741532976</v>
      </c>
      <c r="E261" s="45">
        <v>2.0</v>
      </c>
      <c r="F261" s="45">
        <v>0.0</v>
      </c>
      <c r="G261" s="45">
        <v>0.0</v>
      </c>
      <c r="H261" s="45">
        <v>0.0</v>
      </c>
    </row>
    <row r="262">
      <c r="A262" s="195" t="s">
        <v>291</v>
      </c>
      <c r="B262" s="45" t="s">
        <v>225</v>
      </c>
      <c r="C262" s="45" t="s">
        <v>233</v>
      </c>
      <c r="D262" s="46">
        <v>16.233766233766232</v>
      </c>
      <c r="E262" s="45">
        <v>2.0</v>
      </c>
      <c r="F262" s="45">
        <v>0.0</v>
      </c>
      <c r="G262" s="45">
        <v>0.0</v>
      </c>
      <c r="H262" s="45">
        <v>0.0</v>
      </c>
    </row>
    <row r="263">
      <c r="A263" s="195" t="s">
        <v>291</v>
      </c>
      <c r="B263" s="45" t="s">
        <v>225</v>
      </c>
      <c r="C263" s="45" t="s">
        <v>233</v>
      </c>
      <c r="D263" s="194">
        <v>30.0</v>
      </c>
      <c r="E263" s="45">
        <v>1.0</v>
      </c>
      <c r="F263" s="45">
        <v>0.0</v>
      </c>
      <c r="G263" s="45">
        <v>0.0</v>
      </c>
      <c r="H263" s="45">
        <v>0.0</v>
      </c>
    </row>
    <row r="264">
      <c r="A264" s="195" t="s">
        <v>291</v>
      </c>
      <c r="B264" s="45" t="s">
        <v>225</v>
      </c>
      <c r="C264" s="45" t="s">
        <v>233</v>
      </c>
      <c r="D264" s="194">
        <v>19.0</v>
      </c>
      <c r="E264" s="45">
        <v>1.0</v>
      </c>
      <c r="F264" s="45">
        <v>0.0</v>
      </c>
      <c r="G264" s="45">
        <v>0.0</v>
      </c>
      <c r="H264" s="45">
        <v>0.0</v>
      </c>
    </row>
    <row r="265">
      <c r="A265" s="195" t="s">
        <v>291</v>
      </c>
      <c r="B265" s="45" t="s">
        <v>226</v>
      </c>
      <c r="C265" s="45" t="s">
        <v>233</v>
      </c>
      <c r="D265" s="46">
        <v>20.690094219505983</v>
      </c>
      <c r="E265" s="45">
        <v>2.0</v>
      </c>
      <c r="F265" s="45">
        <v>0.0</v>
      </c>
      <c r="G265" s="45">
        <v>0.0</v>
      </c>
      <c r="H265" s="45">
        <v>0.0</v>
      </c>
    </row>
    <row r="266">
      <c r="A266" s="195" t="s">
        <v>291</v>
      </c>
      <c r="B266" s="45" t="s">
        <v>226</v>
      </c>
      <c r="C266" s="45" t="s">
        <v>233</v>
      </c>
      <c r="D266" s="46">
        <v>30.8759867583397</v>
      </c>
      <c r="E266" s="45">
        <v>2.0</v>
      </c>
      <c r="F266" s="45">
        <v>0.0</v>
      </c>
      <c r="G266" s="45">
        <v>0.0</v>
      </c>
      <c r="H266" s="45">
        <v>0.0</v>
      </c>
    </row>
    <row r="267">
      <c r="A267" s="195" t="s">
        <v>291</v>
      </c>
      <c r="B267" s="45" t="s">
        <v>226</v>
      </c>
      <c r="C267" s="45" t="s">
        <v>233</v>
      </c>
      <c r="D267" s="46">
        <v>18.557422969187673</v>
      </c>
      <c r="E267" s="45">
        <v>2.0</v>
      </c>
      <c r="F267" s="45">
        <v>0.0</v>
      </c>
      <c r="G267" s="45">
        <v>0.0</v>
      </c>
      <c r="H267" s="45">
        <v>0.0</v>
      </c>
    </row>
    <row r="268">
      <c r="A268" s="195" t="s">
        <v>292</v>
      </c>
      <c r="B268" s="45" t="s">
        <v>221</v>
      </c>
      <c r="C268" s="45" t="s">
        <v>233</v>
      </c>
      <c r="D268" s="194">
        <v>110.0</v>
      </c>
      <c r="E268" s="45">
        <v>3.0</v>
      </c>
      <c r="F268" s="45">
        <v>0.0</v>
      </c>
      <c r="G268" s="45">
        <v>0.0</v>
      </c>
      <c r="H268" s="45">
        <v>0.0</v>
      </c>
    </row>
    <row r="269">
      <c r="A269" s="195" t="s">
        <v>293</v>
      </c>
      <c r="B269" s="45" t="s">
        <v>221</v>
      </c>
      <c r="C269" s="45" t="s">
        <v>233</v>
      </c>
      <c r="D269" s="46">
        <v>17.188693659281896</v>
      </c>
      <c r="E269" s="45">
        <v>1.0</v>
      </c>
      <c r="F269" s="45">
        <v>0.0</v>
      </c>
      <c r="G269" s="45">
        <v>0.0</v>
      </c>
      <c r="H269" s="45">
        <v>0.0</v>
      </c>
    </row>
    <row r="270">
      <c r="A270" s="195" t="s">
        <v>293</v>
      </c>
      <c r="B270" s="45" t="s">
        <v>221</v>
      </c>
      <c r="C270" s="45" t="s">
        <v>233</v>
      </c>
      <c r="D270" s="194">
        <v>22.0</v>
      </c>
      <c r="E270" s="45">
        <v>1.0</v>
      </c>
      <c r="F270" s="45">
        <v>0.0</v>
      </c>
      <c r="G270" s="45">
        <v>0.0</v>
      </c>
      <c r="H270" s="45">
        <v>0.0</v>
      </c>
    </row>
    <row r="271">
      <c r="A271" s="195" t="s">
        <v>293</v>
      </c>
      <c r="B271" s="45" t="s">
        <v>221</v>
      </c>
      <c r="C271" s="45" t="s">
        <v>233</v>
      </c>
      <c r="D271" s="46">
        <v>14.642220524573466</v>
      </c>
      <c r="E271" s="45">
        <v>1.0</v>
      </c>
      <c r="F271" s="45">
        <v>0.0</v>
      </c>
      <c r="G271" s="45">
        <v>0.0</v>
      </c>
      <c r="H271" s="45">
        <v>0.0</v>
      </c>
    </row>
    <row r="272">
      <c r="A272" s="195" t="s">
        <v>293</v>
      </c>
      <c r="B272" s="45" t="s">
        <v>225</v>
      </c>
      <c r="C272" s="45" t="s">
        <v>233</v>
      </c>
      <c r="D272" s="46">
        <v>19.95798319327731</v>
      </c>
      <c r="E272" s="45">
        <v>2.0</v>
      </c>
      <c r="F272" s="45">
        <v>0.0</v>
      </c>
      <c r="G272" s="45">
        <v>0.0</v>
      </c>
      <c r="H272" s="45">
        <v>0.0</v>
      </c>
    </row>
    <row r="273">
      <c r="A273" s="195" t="s">
        <v>293</v>
      </c>
      <c r="B273" s="45" t="s">
        <v>225</v>
      </c>
      <c r="C273" s="45" t="s">
        <v>233</v>
      </c>
      <c r="D273" s="46">
        <v>18.780239368474664</v>
      </c>
      <c r="E273" s="45">
        <v>2.0</v>
      </c>
      <c r="F273" s="45">
        <v>0.0</v>
      </c>
      <c r="G273" s="45">
        <v>0.0</v>
      </c>
      <c r="H273" s="45">
        <v>0.0</v>
      </c>
    </row>
    <row r="274">
      <c r="A274" s="195" t="s">
        <v>293</v>
      </c>
      <c r="B274" s="45" t="s">
        <v>226</v>
      </c>
      <c r="C274" s="45" t="s">
        <v>233</v>
      </c>
      <c r="D274" s="46">
        <v>30.207537560478738</v>
      </c>
      <c r="E274" s="45">
        <v>2.0</v>
      </c>
      <c r="F274" s="45">
        <v>0.0</v>
      </c>
      <c r="G274" s="45">
        <v>0.0</v>
      </c>
      <c r="H274" s="45">
        <v>0.0</v>
      </c>
    </row>
    <row r="275">
      <c r="A275" s="195" t="s">
        <v>293</v>
      </c>
      <c r="B275" s="45" t="s">
        <v>226</v>
      </c>
      <c r="C275" s="45" t="s">
        <v>233</v>
      </c>
      <c r="D275" s="46">
        <v>34.05907817672524</v>
      </c>
      <c r="E275" s="45">
        <v>2.0</v>
      </c>
      <c r="F275" s="45">
        <v>0.0</v>
      </c>
      <c r="G275" s="45">
        <v>0.0</v>
      </c>
      <c r="H275" s="45">
        <v>0.0</v>
      </c>
    </row>
    <row r="276">
      <c r="A276" s="195" t="s">
        <v>294</v>
      </c>
      <c r="B276" s="45" t="s">
        <v>218</v>
      </c>
      <c r="C276" s="45" t="s">
        <v>233</v>
      </c>
      <c r="D276" s="46">
        <v>17.02953908836262</v>
      </c>
      <c r="E276" s="45">
        <v>1.0</v>
      </c>
      <c r="F276" s="45">
        <v>0.0</v>
      </c>
      <c r="G276" s="45">
        <v>0.0</v>
      </c>
      <c r="H276" s="45">
        <v>0.0</v>
      </c>
    </row>
    <row r="277">
      <c r="A277" s="195" t="s">
        <v>295</v>
      </c>
      <c r="B277" s="45" t="s">
        <v>218</v>
      </c>
      <c r="C277" s="45" t="s">
        <v>233</v>
      </c>
      <c r="D277" s="46">
        <v>22.91825821237586</v>
      </c>
      <c r="E277" s="45">
        <v>2.0</v>
      </c>
      <c r="F277" s="45">
        <v>0.0</v>
      </c>
      <c r="G277" s="45">
        <v>0.0</v>
      </c>
      <c r="H277" s="45">
        <v>0.0</v>
      </c>
    </row>
    <row r="278">
      <c r="A278" s="195" t="s">
        <v>295</v>
      </c>
      <c r="B278" s="45" t="s">
        <v>218</v>
      </c>
      <c r="C278" s="45" t="s">
        <v>233</v>
      </c>
      <c r="D278" s="46">
        <v>19.16221033868093</v>
      </c>
      <c r="E278" s="45">
        <v>1.0</v>
      </c>
      <c r="F278" s="45">
        <v>0.0</v>
      </c>
      <c r="G278" s="45">
        <v>0.0</v>
      </c>
      <c r="H278" s="45">
        <v>0.0</v>
      </c>
    </row>
    <row r="279">
      <c r="A279" s="195" t="s">
        <v>295</v>
      </c>
      <c r="B279" s="45" t="s">
        <v>218</v>
      </c>
      <c r="C279" s="45" t="s">
        <v>233</v>
      </c>
      <c r="D279" s="46">
        <v>17.888973771326715</v>
      </c>
      <c r="E279" s="45">
        <v>1.0</v>
      </c>
      <c r="F279" s="45">
        <v>0.0</v>
      </c>
      <c r="G279" s="45">
        <v>0.0</v>
      </c>
      <c r="H279" s="45">
        <v>0.0</v>
      </c>
    </row>
    <row r="280">
      <c r="A280" s="195" t="s">
        <v>295</v>
      </c>
      <c r="B280" s="45" t="s">
        <v>221</v>
      </c>
      <c r="C280" s="45" t="s">
        <v>233</v>
      </c>
      <c r="D280" s="46">
        <v>14.483065953654188</v>
      </c>
      <c r="E280" s="45">
        <v>2.0</v>
      </c>
      <c r="F280" s="45">
        <v>0.0</v>
      </c>
      <c r="G280" s="45">
        <v>0.0</v>
      </c>
      <c r="H280" s="45">
        <v>0.0</v>
      </c>
    </row>
    <row r="281">
      <c r="A281" s="195" t="s">
        <v>295</v>
      </c>
      <c r="B281" s="45" t="s">
        <v>225</v>
      </c>
      <c r="C281" s="45" t="s">
        <v>233</v>
      </c>
      <c r="D281" s="46">
        <v>30.366692131398015</v>
      </c>
      <c r="E281" s="45">
        <v>2.0</v>
      </c>
      <c r="F281" s="45">
        <v>0.0</v>
      </c>
      <c r="G281" s="45">
        <v>0.0</v>
      </c>
      <c r="H281" s="45">
        <v>0.0</v>
      </c>
    </row>
    <row r="282">
      <c r="A282" s="195" t="s">
        <v>295</v>
      </c>
      <c r="B282" s="45" t="s">
        <v>225</v>
      </c>
      <c r="C282" s="45" t="s">
        <v>233</v>
      </c>
      <c r="D282" s="46">
        <v>25.623885918003566</v>
      </c>
      <c r="E282" s="45">
        <v>1.0</v>
      </c>
      <c r="F282" s="45">
        <v>0.0</v>
      </c>
      <c r="G282" s="45">
        <v>0.0</v>
      </c>
      <c r="H282" s="45">
        <v>0.0</v>
      </c>
    </row>
    <row r="283">
      <c r="A283" s="195" t="s">
        <v>295</v>
      </c>
      <c r="B283" s="45" t="s">
        <v>225</v>
      </c>
      <c r="C283" s="45" t="s">
        <v>233</v>
      </c>
      <c r="D283" s="46">
        <v>20.435446906035143</v>
      </c>
      <c r="E283" s="45">
        <v>1.0</v>
      </c>
      <c r="F283" s="45">
        <v>0.0</v>
      </c>
      <c r="G283" s="45">
        <v>0.0</v>
      </c>
      <c r="H283" s="45">
        <v>0.0</v>
      </c>
    </row>
    <row r="284">
      <c r="A284" s="195" t="s">
        <v>295</v>
      </c>
      <c r="B284" s="45" t="s">
        <v>226</v>
      </c>
      <c r="C284" s="45" t="s">
        <v>233</v>
      </c>
      <c r="D284" s="46">
        <v>24.50980392156863</v>
      </c>
      <c r="E284" s="45">
        <v>2.0</v>
      </c>
      <c r="F284" s="45">
        <v>0.0</v>
      </c>
      <c r="G284" s="45">
        <v>0.0</v>
      </c>
      <c r="H284" s="45">
        <v>0.0</v>
      </c>
    </row>
    <row r="285">
      <c r="A285" s="195" t="s">
        <v>295</v>
      </c>
      <c r="B285" s="45" t="s">
        <v>226</v>
      </c>
      <c r="C285" s="45" t="s">
        <v>233</v>
      </c>
      <c r="D285" s="46">
        <v>13.050674815380697</v>
      </c>
      <c r="E285" s="45">
        <v>2.0</v>
      </c>
      <c r="F285" s="45">
        <v>0.0</v>
      </c>
      <c r="G285" s="45">
        <v>0.0</v>
      </c>
      <c r="H285" s="45">
        <v>0.0</v>
      </c>
    </row>
    <row r="286">
      <c r="A286" s="195" t="s">
        <v>295</v>
      </c>
      <c r="B286" s="45" t="s">
        <v>226</v>
      </c>
      <c r="C286" s="45" t="s">
        <v>233</v>
      </c>
      <c r="D286" s="194">
        <v>15.5</v>
      </c>
      <c r="E286" s="45">
        <v>2.0</v>
      </c>
      <c r="F286" s="45">
        <v>0.0</v>
      </c>
      <c r="G286" s="45">
        <v>0.0</v>
      </c>
      <c r="H286" s="45">
        <v>0.0</v>
      </c>
    </row>
    <row r="287">
      <c r="A287" s="195" t="s">
        <v>296</v>
      </c>
      <c r="B287" s="45" t="s">
        <v>218</v>
      </c>
      <c r="C287" s="45" t="s">
        <v>233</v>
      </c>
      <c r="D287" s="46">
        <v>15.91545709192768</v>
      </c>
      <c r="E287" s="45">
        <v>2.0</v>
      </c>
      <c r="F287" s="45">
        <v>0.0</v>
      </c>
      <c r="G287" s="45">
        <v>0.0</v>
      </c>
      <c r="H287" s="45">
        <v>0.0</v>
      </c>
    </row>
    <row r="288">
      <c r="A288" s="195" t="s">
        <v>296</v>
      </c>
      <c r="B288" s="45" t="s">
        <v>218</v>
      </c>
      <c r="C288" s="45" t="s">
        <v>233</v>
      </c>
      <c r="D288" s="46">
        <v>32.467532467532465</v>
      </c>
      <c r="E288" s="45">
        <v>2.0</v>
      </c>
      <c r="F288" s="45">
        <v>0.0</v>
      </c>
      <c r="G288" s="45">
        <v>0.0</v>
      </c>
      <c r="H288" s="45">
        <v>0.0</v>
      </c>
    </row>
    <row r="289">
      <c r="A289" s="195" t="s">
        <v>296</v>
      </c>
      <c r="B289" s="45" t="s">
        <v>221</v>
      </c>
      <c r="C289" s="45" t="s">
        <v>233</v>
      </c>
      <c r="D289" s="46">
        <v>19.098548510313215</v>
      </c>
      <c r="E289" s="45">
        <v>2.0</v>
      </c>
      <c r="F289" s="45">
        <v>0.0</v>
      </c>
      <c r="G289" s="45">
        <v>0.0</v>
      </c>
      <c r="H289" s="45">
        <v>0.0</v>
      </c>
    </row>
    <row r="290">
      <c r="A290" s="195" t="s">
        <v>296</v>
      </c>
      <c r="B290" s="45" t="s">
        <v>221</v>
      </c>
      <c r="C290" s="45" t="s">
        <v>233</v>
      </c>
      <c r="D290" s="46">
        <v>14.06926406926407</v>
      </c>
      <c r="E290" s="45">
        <v>2.0</v>
      </c>
      <c r="F290" s="45">
        <v>0.0</v>
      </c>
      <c r="G290" s="45">
        <v>0.0</v>
      </c>
      <c r="H290" s="45">
        <v>0.0</v>
      </c>
    </row>
    <row r="291">
      <c r="A291" s="195" t="s">
        <v>296</v>
      </c>
      <c r="B291" s="45" t="s">
        <v>221</v>
      </c>
      <c r="C291" s="45" t="s">
        <v>233</v>
      </c>
      <c r="D291" s="46">
        <v>15.08785332314744</v>
      </c>
      <c r="E291" s="45">
        <v>2.0</v>
      </c>
      <c r="F291" s="45">
        <v>0.0</v>
      </c>
      <c r="G291" s="45">
        <v>0.0</v>
      </c>
      <c r="H291" s="45">
        <v>0.0</v>
      </c>
    </row>
    <row r="292">
      <c r="A292" s="195" t="s">
        <v>296</v>
      </c>
      <c r="B292" s="45" t="s">
        <v>225</v>
      </c>
      <c r="C292" s="45" t="s">
        <v>233</v>
      </c>
      <c r="D292" s="46">
        <v>18.270944741532976</v>
      </c>
      <c r="E292" s="45">
        <v>2.0</v>
      </c>
      <c r="F292" s="45">
        <v>0.0</v>
      </c>
      <c r="G292" s="45">
        <v>0.0</v>
      </c>
      <c r="H292" s="45">
        <v>0.0</v>
      </c>
    </row>
    <row r="293">
      <c r="A293" s="195" t="s">
        <v>296</v>
      </c>
      <c r="B293" s="45" t="s">
        <v>225</v>
      </c>
      <c r="C293" s="45" t="s">
        <v>233</v>
      </c>
      <c r="D293" s="46">
        <v>65.0</v>
      </c>
      <c r="E293" s="45">
        <v>1.0</v>
      </c>
      <c r="F293" s="45">
        <v>0.0</v>
      </c>
      <c r="G293" s="45">
        <v>0.0</v>
      </c>
      <c r="H293" s="45">
        <v>0.0</v>
      </c>
    </row>
    <row r="294">
      <c r="A294" s="195" t="s">
        <v>296</v>
      </c>
      <c r="B294" s="45" t="s">
        <v>225</v>
      </c>
      <c r="C294" s="45" t="s">
        <v>233</v>
      </c>
      <c r="D294" s="46">
        <v>20.371785077667433</v>
      </c>
      <c r="E294" s="45">
        <v>2.0</v>
      </c>
      <c r="F294" s="45">
        <v>0.0</v>
      </c>
      <c r="G294" s="45">
        <v>0.0</v>
      </c>
      <c r="H294" s="45">
        <v>0.0</v>
      </c>
    </row>
    <row r="295">
      <c r="A295" s="195" t="s">
        <v>296</v>
      </c>
      <c r="B295" s="45" t="s">
        <v>226</v>
      </c>
      <c r="C295" s="45" t="s">
        <v>233</v>
      </c>
      <c r="D295" s="46">
        <v>16.07461166284696</v>
      </c>
      <c r="E295" s="45">
        <v>2.0</v>
      </c>
      <c r="F295" s="45">
        <v>0.0</v>
      </c>
      <c r="G295" s="45">
        <v>0.0</v>
      </c>
      <c r="H295" s="45">
        <v>0.0</v>
      </c>
    </row>
    <row r="296">
      <c r="A296" s="195" t="s">
        <v>296</v>
      </c>
      <c r="B296" s="45" t="s">
        <v>226</v>
      </c>
      <c r="C296" s="45" t="s">
        <v>233</v>
      </c>
      <c r="D296" s="46">
        <v>14.642220524573466</v>
      </c>
      <c r="E296" s="45">
        <v>1.0</v>
      </c>
      <c r="F296" s="45">
        <v>0.0</v>
      </c>
      <c r="G296" s="45">
        <v>0.0</v>
      </c>
      <c r="H296" s="45">
        <v>0.0</v>
      </c>
    </row>
    <row r="297">
      <c r="A297" s="195" t="s">
        <v>296</v>
      </c>
      <c r="B297" s="45" t="s">
        <v>226</v>
      </c>
      <c r="C297" s="45" t="s">
        <v>233</v>
      </c>
      <c r="D297" s="46">
        <v>22.822765469824294</v>
      </c>
      <c r="E297" s="45">
        <v>1.0</v>
      </c>
      <c r="F297" s="45">
        <v>0.0</v>
      </c>
      <c r="G297" s="45">
        <v>0.0</v>
      </c>
      <c r="H297" s="45">
        <v>0.0</v>
      </c>
    </row>
    <row r="298">
      <c r="A298" s="195" t="s">
        <v>297</v>
      </c>
      <c r="B298" s="45" t="s">
        <v>218</v>
      </c>
      <c r="C298" s="45" t="s">
        <v>233</v>
      </c>
      <c r="D298" s="194">
        <v>49.0</v>
      </c>
      <c r="E298" s="45">
        <v>1.0</v>
      </c>
      <c r="F298" s="45">
        <v>0.0</v>
      </c>
      <c r="G298" s="45">
        <v>0.0</v>
      </c>
      <c r="H298" s="45">
        <v>0.0</v>
      </c>
    </row>
    <row r="299">
      <c r="A299" s="195" t="s">
        <v>297</v>
      </c>
      <c r="B299" s="45" t="s">
        <v>225</v>
      </c>
      <c r="C299" s="45" t="s">
        <v>233</v>
      </c>
      <c r="D299" s="46">
        <v>34.441049146931505</v>
      </c>
      <c r="E299" s="45">
        <v>2.0</v>
      </c>
      <c r="F299" s="45">
        <v>0.0</v>
      </c>
      <c r="G299" s="45">
        <v>0.0</v>
      </c>
      <c r="H299" s="45">
        <v>0.0</v>
      </c>
    </row>
    <row r="300">
      <c r="A300" s="195" t="s">
        <v>297</v>
      </c>
      <c r="B300" s="45" t="s">
        <v>225</v>
      </c>
      <c r="C300" s="45" t="s">
        <v>233</v>
      </c>
      <c r="D300" s="46">
        <v>51.0</v>
      </c>
      <c r="E300" s="45">
        <v>2.0</v>
      </c>
      <c r="F300" s="45">
        <v>0.0</v>
      </c>
      <c r="G300" s="45">
        <v>0.0</v>
      </c>
      <c r="H300" s="45">
        <v>0.0</v>
      </c>
    </row>
    <row r="301">
      <c r="A301" s="195" t="s">
        <v>297</v>
      </c>
      <c r="B301" s="45" t="s">
        <v>225</v>
      </c>
      <c r="C301" s="45" t="s">
        <v>233</v>
      </c>
      <c r="D301" s="46">
        <v>20.435446906035143</v>
      </c>
      <c r="E301" s="45">
        <v>1.0</v>
      </c>
      <c r="F301" s="45">
        <v>0.0</v>
      </c>
      <c r="G301" s="45">
        <v>0.0</v>
      </c>
      <c r="H301" s="45">
        <v>0.0</v>
      </c>
    </row>
    <row r="302">
      <c r="A302" s="195" t="s">
        <v>298</v>
      </c>
      <c r="B302" s="45" t="s">
        <v>221</v>
      </c>
      <c r="C302" s="45" t="s">
        <v>241</v>
      </c>
      <c r="D302" s="46">
        <v>19.16221033868093</v>
      </c>
      <c r="E302" s="45">
        <v>1.0</v>
      </c>
      <c r="F302" s="45">
        <v>0.0</v>
      </c>
      <c r="G302" s="45">
        <v>0.0</v>
      </c>
      <c r="H302" s="45">
        <v>0.0</v>
      </c>
    </row>
    <row r="303">
      <c r="A303" s="195" t="s">
        <v>298</v>
      </c>
      <c r="B303" s="45" t="s">
        <v>225</v>
      </c>
      <c r="C303" s="45" t="s">
        <v>233</v>
      </c>
      <c r="D303" s="46">
        <v>21.645021645021647</v>
      </c>
      <c r="E303" s="45">
        <v>1.0</v>
      </c>
      <c r="F303" s="45">
        <v>0.0</v>
      </c>
      <c r="G303" s="45">
        <v>0.0</v>
      </c>
      <c r="H303" s="45">
        <v>0.0</v>
      </c>
    </row>
    <row r="304">
      <c r="A304" s="195" t="s">
        <v>299</v>
      </c>
      <c r="B304" s="45" t="s">
        <v>218</v>
      </c>
      <c r="C304" s="45" t="s">
        <v>233</v>
      </c>
      <c r="D304" s="46">
        <v>14.323911382734913</v>
      </c>
      <c r="E304" s="45">
        <v>1.0</v>
      </c>
      <c r="F304" s="45">
        <v>0.0</v>
      </c>
      <c r="G304" s="45">
        <v>0.0</v>
      </c>
      <c r="H304" s="45">
        <v>0.0</v>
      </c>
    </row>
    <row r="305">
      <c r="A305" s="195" t="s">
        <v>299</v>
      </c>
      <c r="B305" s="45" t="s">
        <v>225</v>
      </c>
      <c r="C305" s="45" t="s">
        <v>233</v>
      </c>
      <c r="D305" s="46">
        <v>13.687293099057806</v>
      </c>
      <c r="E305" s="45">
        <v>1.0</v>
      </c>
      <c r="F305" s="45">
        <v>0.0</v>
      </c>
      <c r="G305" s="45">
        <v>0.0</v>
      </c>
      <c r="H305" s="45">
        <v>0.0</v>
      </c>
    </row>
    <row r="306">
      <c r="A306" s="195" t="s">
        <v>299</v>
      </c>
      <c r="B306" s="45" t="s">
        <v>226</v>
      </c>
      <c r="C306" s="45" t="s">
        <v>233</v>
      </c>
      <c r="D306" s="46">
        <v>17.50700280112045</v>
      </c>
      <c r="E306" s="45">
        <v>1.0</v>
      </c>
      <c r="F306" s="45">
        <v>0.0</v>
      </c>
      <c r="G306" s="45">
        <v>0.0</v>
      </c>
      <c r="H306" s="45">
        <v>0.0</v>
      </c>
    </row>
    <row r="307">
      <c r="A307" s="195" t="s">
        <v>300</v>
      </c>
      <c r="B307" s="45" t="s">
        <v>218</v>
      </c>
      <c r="C307" s="45" t="s">
        <v>233</v>
      </c>
      <c r="D307" s="194">
        <v>24.8</v>
      </c>
      <c r="E307" s="45">
        <v>1.0</v>
      </c>
      <c r="F307" s="45">
        <v>0.0</v>
      </c>
      <c r="G307" s="45">
        <v>2.0</v>
      </c>
      <c r="H307" s="45" t="s">
        <v>269</v>
      </c>
    </row>
    <row r="308">
      <c r="A308" s="195" t="s">
        <v>300</v>
      </c>
      <c r="B308" s="45" t="s">
        <v>221</v>
      </c>
      <c r="C308" s="45" t="s">
        <v>233</v>
      </c>
      <c r="D308" s="194">
        <v>109.5</v>
      </c>
      <c r="E308" s="45">
        <v>2.0</v>
      </c>
      <c r="F308" s="45">
        <v>0.0</v>
      </c>
      <c r="G308" s="45">
        <v>5.0</v>
      </c>
      <c r="H308" s="45" t="s">
        <v>301</v>
      </c>
    </row>
    <row r="309">
      <c r="A309" s="195" t="s">
        <v>300</v>
      </c>
      <c r="B309" s="45" t="s">
        <v>225</v>
      </c>
      <c r="C309" s="45" t="s">
        <v>302</v>
      </c>
      <c r="D309" s="46">
        <v>22.759103641456583</v>
      </c>
      <c r="E309" s="45">
        <v>1.0</v>
      </c>
      <c r="F309" s="45">
        <v>0.0</v>
      </c>
      <c r="G309" s="45">
        <v>1.0</v>
      </c>
      <c r="H309" s="45">
        <v>1.0</v>
      </c>
    </row>
    <row r="310">
      <c r="A310" s="195" t="s">
        <v>300</v>
      </c>
      <c r="B310" s="45" t="s">
        <v>226</v>
      </c>
      <c r="C310" s="45" t="s">
        <v>302</v>
      </c>
      <c r="D310" s="46">
        <v>69.0</v>
      </c>
      <c r="E310" s="45">
        <v>1.0</v>
      </c>
      <c r="F310" s="45">
        <v>0.0</v>
      </c>
      <c r="G310" s="45">
        <v>1.0</v>
      </c>
      <c r="H310" s="45">
        <v>1.0</v>
      </c>
    </row>
    <row r="311">
      <c r="A311" s="195" t="s">
        <v>303</v>
      </c>
      <c r="B311" s="45" t="s">
        <v>218</v>
      </c>
      <c r="C311" s="45" t="s">
        <v>233</v>
      </c>
      <c r="D311" s="194">
        <v>18.0</v>
      </c>
      <c r="E311" s="45">
        <v>1.0</v>
      </c>
      <c r="F311" s="45">
        <v>0.0</v>
      </c>
      <c r="G311" s="45">
        <v>0.0</v>
      </c>
      <c r="H311" s="45">
        <v>0.0</v>
      </c>
    </row>
    <row r="312">
      <c r="A312" s="195" t="s">
        <v>303</v>
      </c>
      <c r="B312" s="45" t="s">
        <v>225</v>
      </c>
      <c r="C312" s="45" t="s">
        <v>233</v>
      </c>
      <c r="D312" s="46">
        <v>46.154825566590276</v>
      </c>
      <c r="E312" s="45">
        <v>2.0</v>
      </c>
      <c r="F312" s="45">
        <v>0.0</v>
      </c>
      <c r="G312" s="45">
        <v>0.0</v>
      </c>
      <c r="H312" s="45">
        <v>0.0</v>
      </c>
    </row>
    <row r="313">
      <c r="A313" s="195" t="s">
        <v>303</v>
      </c>
      <c r="B313" s="45" t="s">
        <v>226</v>
      </c>
      <c r="C313" s="45" t="s">
        <v>233</v>
      </c>
      <c r="D313" s="46">
        <v>14.96052966641202</v>
      </c>
      <c r="E313" s="45">
        <v>1.0</v>
      </c>
      <c r="F313" s="45">
        <v>0.0</v>
      </c>
      <c r="G313" s="45">
        <v>0.0</v>
      </c>
      <c r="H313" s="45">
        <v>0.0</v>
      </c>
    </row>
    <row r="314">
      <c r="A314" s="195" t="s">
        <v>303</v>
      </c>
      <c r="B314" s="45" t="s">
        <v>226</v>
      </c>
      <c r="C314" s="45" t="s">
        <v>233</v>
      </c>
      <c r="D314" s="46">
        <v>19.098548510313215</v>
      </c>
      <c r="E314" s="45">
        <v>1.0</v>
      </c>
      <c r="F314" s="45">
        <v>0.0</v>
      </c>
      <c r="G314" s="45">
        <v>0.0</v>
      </c>
      <c r="H314" s="45">
        <v>0.0</v>
      </c>
    </row>
    <row r="315">
      <c r="A315" s="195" t="s">
        <v>303</v>
      </c>
      <c r="B315" s="45" t="s">
        <v>226</v>
      </c>
      <c r="C315" s="45" t="s">
        <v>233</v>
      </c>
      <c r="D315" s="46">
        <v>17.252355487649606</v>
      </c>
      <c r="E315" s="45">
        <v>2.0</v>
      </c>
      <c r="F315" s="45">
        <v>0.0</v>
      </c>
      <c r="G315" s="45">
        <v>0.0</v>
      </c>
      <c r="H315" s="45">
        <v>0.0</v>
      </c>
    </row>
    <row r="316">
      <c r="A316" s="195" t="s">
        <v>304</v>
      </c>
      <c r="B316" s="45" t="s">
        <v>218</v>
      </c>
      <c r="C316" s="45" t="s">
        <v>233</v>
      </c>
      <c r="D316" s="46">
        <v>20.212630506748155</v>
      </c>
      <c r="E316" s="45">
        <v>1.0</v>
      </c>
      <c r="F316" s="45">
        <v>0.0</v>
      </c>
      <c r="G316" s="45">
        <v>0.0</v>
      </c>
      <c r="H316" s="45">
        <v>0.0</v>
      </c>
    </row>
    <row r="317">
      <c r="A317" s="195" t="s">
        <v>304</v>
      </c>
      <c r="B317" s="45" t="s">
        <v>226</v>
      </c>
      <c r="C317" s="45" t="s">
        <v>233</v>
      </c>
      <c r="D317" s="46">
        <v>13.368983957219251</v>
      </c>
      <c r="E317" s="45">
        <v>2.0</v>
      </c>
      <c r="F317" s="45">
        <v>0.0</v>
      </c>
      <c r="G317" s="45">
        <v>0.0</v>
      </c>
      <c r="H317" s="45">
        <v>0.0</v>
      </c>
    </row>
    <row r="318">
      <c r="A318" s="195" t="s">
        <v>304</v>
      </c>
      <c r="B318" s="45" t="s">
        <v>221</v>
      </c>
      <c r="C318" s="45" t="s">
        <v>233</v>
      </c>
      <c r="D318" s="46">
        <v>19.41685765215177</v>
      </c>
      <c r="E318" s="45">
        <v>1.0</v>
      </c>
      <c r="F318" s="45">
        <v>0.0</v>
      </c>
      <c r="G318" s="45">
        <v>0.0</v>
      </c>
      <c r="H318" s="45">
        <v>0.0</v>
      </c>
    </row>
    <row r="319">
      <c r="A319" s="195" t="s">
        <v>304</v>
      </c>
      <c r="B319" s="45" t="s">
        <v>221</v>
      </c>
      <c r="C319" s="45" t="s">
        <v>233</v>
      </c>
      <c r="D319" s="46">
        <v>45.83651642475172</v>
      </c>
      <c r="E319" s="45">
        <v>1.0</v>
      </c>
      <c r="F319" s="45">
        <v>0.0</v>
      </c>
      <c r="G319" s="45">
        <v>0.0</v>
      </c>
      <c r="H319" s="45">
        <v>0.0</v>
      </c>
    </row>
    <row r="320">
      <c r="A320" s="195" t="s">
        <v>304</v>
      </c>
      <c r="B320" s="45" t="s">
        <v>225</v>
      </c>
      <c r="C320" s="45" t="s">
        <v>233</v>
      </c>
      <c r="D320" s="46">
        <v>23.236567354214415</v>
      </c>
      <c r="E320" s="45">
        <v>2.0</v>
      </c>
      <c r="F320" s="45">
        <v>0.0</v>
      </c>
      <c r="G320" s="45">
        <v>0.0</v>
      </c>
      <c r="H320" s="45">
        <v>0.0</v>
      </c>
    </row>
    <row r="321">
      <c r="A321" s="195" t="s">
        <v>304</v>
      </c>
      <c r="B321" s="45" t="s">
        <v>225</v>
      </c>
      <c r="C321" s="45" t="s">
        <v>233</v>
      </c>
      <c r="D321" s="46">
        <v>21.422205245734656</v>
      </c>
      <c r="E321" s="45">
        <v>2.0</v>
      </c>
      <c r="F321" s="45">
        <v>0.0</v>
      </c>
      <c r="G321" s="45">
        <v>0.0</v>
      </c>
      <c r="H321" s="45">
        <v>0.0</v>
      </c>
    </row>
    <row r="322">
      <c r="A322" s="195" t="s">
        <v>304</v>
      </c>
      <c r="B322" s="45" t="s">
        <v>225</v>
      </c>
      <c r="C322" s="45" t="s">
        <v>233</v>
      </c>
      <c r="D322" s="46">
        <v>17.63432645785587</v>
      </c>
      <c r="E322" s="45">
        <v>2.0</v>
      </c>
      <c r="F322" s="45">
        <v>0.0</v>
      </c>
      <c r="G322" s="45">
        <v>0.0</v>
      </c>
      <c r="H322" s="45">
        <v>0.0</v>
      </c>
    </row>
    <row r="323">
      <c r="A323" s="195" t="s">
        <v>305</v>
      </c>
      <c r="B323" s="45" t="s">
        <v>218</v>
      </c>
      <c r="C323" s="45" t="s">
        <v>233</v>
      </c>
      <c r="D323" s="46">
        <v>59.0</v>
      </c>
      <c r="E323" s="45">
        <v>2.0</v>
      </c>
      <c r="F323" s="45">
        <v>1.0</v>
      </c>
      <c r="G323" s="45">
        <v>0.0</v>
      </c>
      <c r="H323" s="45">
        <v>0.0</v>
      </c>
    </row>
    <row r="324">
      <c r="A324" s="195" t="s">
        <v>305</v>
      </c>
      <c r="B324" s="45" t="s">
        <v>218</v>
      </c>
      <c r="C324" s="45" t="s">
        <v>241</v>
      </c>
      <c r="D324" s="194">
        <v>55.0</v>
      </c>
      <c r="E324" s="45">
        <v>2.0</v>
      </c>
      <c r="F324" s="45">
        <v>1.0</v>
      </c>
      <c r="G324" s="45">
        <v>1.0</v>
      </c>
      <c r="H324" s="45" t="s">
        <v>270</v>
      </c>
    </row>
    <row r="325">
      <c r="A325" s="195" t="s">
        <v>305</v>
      </c>
      <c r="B325" s="45" t="s">
        <v>225</v>
      </c>
      <c r="C325" s="45" t="s">
        <v>233</v>
      </c>
      <c r="D325" s="46">
        <v>12.732365673542144</v>
      </c>
      <c r="E325" s="45">
        <v>1.0</v>
      </c>
      <c r="F325" s="45">
        <v>0.0</v>
      </c>
      <c r="G325" s="45">
        <v>0.0</v>
      </c>
      <c r="H325" s="45">
        <v>0.0</v>
      </c>
    </row>
    <row r="326">
      <c r="A326" s="195" t="s">
        <v>305</v>
      </c>
      <c r="B326" s="45" t="s">
        <v>225</v>
      </c>
      <c r="C326" s="45" t="s">
        <v>233</v>
      </c>
      <c r="D326" s="46">
        <v>24.0</v>
      </c>
      <c r="E326" s="45">
        <v>2.0</v>
      </c>
      <c r="F326" s="45">
        <v>0.0</v>
      </c>
      <c r="G326" s="45">
        <v>0.0</v>
      </c>
      <c r="H326" s="45">
        <v>0.0</v>
      </c>
    </row>
    <row r="327">
      <c r="A327" s="195" t="s">
        <v>305</v>
      </c>
      <c r="B327" s="45" t="s">
        <v>225</v>
      </c>
      <c r="C327" s="45" t="s">
        <v>233</v>
      </c>
      <c r="D327" s="194">
        <v>24.5</v>
      </c>
      <c r="E327" s="45">
        <v>2.0</v>
      </c>
      <c r="F327" s="45">
        <v>0.0</v>
      </c>
      <c r="G327" s="45">
        <v>0.0</v>
      </c>
      <c r="H327" s="45">
        <v>0.0</v>
      </c>
    </row>
    <row r="328">
      <c r="A328" s="195" t="s">
        <v>305</v>
      </c>
      <c r="B328" s="45" t="s">
        <v>225</v>
      </c>
      <c r="C328" s="45" t="s">
        <v>233</v>
      </c>
      <c r="D328" s="194">
        <v>28.0</v>
      </c>
      <c r="E328" s="45">
        <v>1.0</v>
      </c>
      <c r="F328" s="45">
        <v>0.0</v>
      </c>
      <c r="G328" s="45">
        <v>0.0</v>
      </c>
      <c r="H328" s="45">
        <v>0.0</v>
      </c>
    </row>
    <row r="329">
      <c r="A329" s="195" t="s">
        <v>306</v>
      </c>
      <c r="B329" s="45" t="s">
        <v>221</v>
      </c>
      <c r="C329" s="45" t="s">
        <v>233</v>
      </c>
      <c r="D329" s="46">
        <v>34.56837280366692</v>
      </c>
      <c r="E329" s="45">
        <v>2.0</v>
      </c>
      <c r="F329" s="45">
        <v>0.0</v>
      </c>
      <c r="G329" s="45">
        <v>0.0</v>
      </c>
      <c r="H329" s="45">
        <v>0.0</v>
      </c>
    </row>
    <row r="330">
      <c r="A330" s="195" t="s">
        <v>308</v>
      </c>
      <c r="B330" s="45" t="s">
        <v>225</v>
      </c>
      <c r="C330" s="45" t="s">
        <v>233</v>
      </c>
      <c r="D330" s="46">
        <v>21.326712503183092</v>
      </c>
      <c r="E330" s="45">
        <v>2.0</v>
      </c>
      <c r="F330" s="45">
        <v>0.0</v>
      </c>
      <c r="G330" s="45">
        <v>0.0</v>
      </c>
      <c r="H330" s="45">
        <v>0.0</v>
      </c>
    </row>
    <row r="331">
      <c r="A331" s="195" t="s">
        <v>308</v>
      </c>
      <c r="B331" s="45" t="s">
        <v>225</v>
      </c>
      <c r="C331" s="45" t="s">
        <v>233</v>
      </c>
      <c r="D331" s="46">
        <v>28.32951362363127</v>
      </c>
      <c r="E331" s="45">
        <v>2.0</v>
      </c>
      <c r="F331" s="45">
        <v>0.0</v>
      </c>
      <c r="G331" s="45">
        <v>0.0</v>
      </c>
      <c r="H331" s="45">
        <v>0.0</v>
      </c>
    </row>
    <row r="332">
      <c r="A332" s="195" t="s">
        <v>308</v>
      </c>
      <c r="B332" s="45" t="s">
        <v>225</v>
      </c>
      <c r="C332" s="45" t="s">
        <v>233</v>
      </c>
      <c r="D332" s="46">
        <v>45.0</v>
      </c>
      <c r="E332" s="45">
        <v>2.0</v>
      </c>
      <c r="F332" s="45">
        <v>0.0</v>
      </c>
      <c r="G332" s="45">
        <v>0.0</v>
      </c>
      <c r="H332" s="45">
        <v>0.0</v>
      </c>
    </row>
    <row r="333">
      <c r="A333" s="195" t="s">
        <v>308</v>
      </c>
      <c r="B333" s="45" t="s">
        <v>226</v>
      </c>
      <c r="C333" s="45" t="s">
        <v>233</v>
      </c>
      <c r="D333" s="46">
        <v>36.92386045327222</v>
      </c>
      <c r="E333" s="45">
        <v>2.0</v>
      </c>
      <c r="F333" s="45">
        <v>0.0</v>
      </c>
      <c r="G333" s="45">
        <v>0.0</v>
      </c>
      <c r="H333" s="45">
        <v>0.0</v>
      </c>
    </row>
    <row r="334">
      <c r="A334" s="195" t="s">
        <v>308</v>
      </c>
      <c r="B334" s="45" t="s">
        <v>226</v>
      </c>
      <c r="C334" s="45" t="s">
        <v>233</v>
      </c>
      <c r="D334" s="46">
        <v>59.0</v>
      </c>
      <c r="E334" s="45">
        <v>2.0</v>
      </c>
      <c r="F334" s="45">
        <v>0.0</v>
      </c>
      <c r="G334" s="45">
        <v>0.0</v>
      </c>
      <c r="H334" s="45">
        <v>0.0</v>
      </c>
    </row>
    <row r="335">
      <c r="A335" s="195" t="s">
        <v>308</v>
      </c>
      <c r="B335" s="45" t="s">
        <v>226</v>
      </c>
      <c r="C335" s="45" t="s">
        <v>233</v>
      </c>
      <c r="D335" s="46">
        <v>15.597147950089127</v>
      </c>
      <c r="E335" s="45">
        <v>2.0</v>
      </c>
      <c r="F335" s="45">
        <v>0.0</v>
      </c>
      <c r="G335" s="45">
        <v>0.0</v>
      </c>
      <c r="H335" s="45">
        <v>0.0</v>
      </c>
    </row>
    <row r="336">
      <c r="A336" s="195" t="s">
        <v>309</v>
      </c>
      <c r="B336" s="45" t="s">
        <v>218</v>
      </c>
      <c r="C336" s="45" t="s">
        <v>233</v>
      </c>
      <c r="D336" s="46">
        <v>15.533486121721415</v>
      </c>
      <c r="E336" s="45">
        <v>3.0</v>
      </c>
      <c r="F336" s="45">
        <v>0.0</v>
      </c>
      <c r="G336" s="45">
        <v>0.0</v>
      </c>
      <c r="H336" s="45">
        <v>0.0</v>
      </c>
    </row>
    <row r="337">
      <c r="A337" s="195" t="s">
        <v>309</v>
      </c>
      <c r="B337" s="45" t="s">
        <v>218</v>
      </c>
      <c r="C337" s="45" t="s">
        <v>233</v>
      </c>
      <c r="D337" s="46">
        <v>15.215176979882862</v>
      </c>
      <c r="E337" s="45">
        <v>2.0</v>
      </c>
      <c r="F337" s="45">
        <v>0.0</v>
      </c>
      <c r="G337" s="45">
        <v>0.0</v>
      </c>
      <c r="H337" s="45">
        <v>0.0</v>
      </c>
    </row>
    <row r="338">
      <c r="A338" s="195" t="s">
        <v>309</v>
      </c>
      <c r="B338" s="45" t="s">
        <v>218</v>
      </c>
      <c r="C338" s="45" t="s">
        <v>233</v>
      </c>
      <c r="D338" s="46">
        <v>20.435446906035143</v>
      </c>
      <c r="E338" s="45">
        <v>2.0</v>
      </c>
      <c r="F338" s="45">
        <v>0.0</v>
      </c>
      <c r="G338" s="45">
        <v>0.0</v>
      </c>
      <c r="H338" s="45">
        <v>0.0</v>
      </c>
    </row>
    <row r="339">
      <c r="A339" s="195" t="s">
        <v>309</v>
      </c>
      <c r="B339" s="45" t="s">
        <v>221</v>
      </c>
      <c r="C339" s="45" t="s">
        <v>233</v>
      </c>
      <c r="D339" s="46">
        <v>59.0</v>
      </c>
      <c r="E339" s="45">
        <v>2.0</v>
      </c>
      <c r="F339" s="45">
        <v>0.0</v>
      </c>
      <c r="G339" s="45">
        <v>1.0</v>
      </c>
      <c r="H339" s="45" t="s">
        <v>270</v>
      </c>
    </row>
    <row r="340">
      <c r="A340" s="195" t="s">
        <v>309</v>
      </c>
      <c r="B340" s="45" t="s">
        <v>221</v>
      </c>
      <c r="C340" s="45" t="s">
        <v>233</v>
      </c>
      <c r="D340" s="46">
        <v>23.554876496052966</v>
      </c>
      <c r="E340" s="45">
        <v>2.0</v>
      </c>
      <c r="F340" s="45">
        <v>0.0</v>
      </c>
      <c r="G340" s="45">
        <v>0.0</v>
      </c>
      <c r="H340" s="45">
        <v>0.0</v>
      </c>
    </row>
    <row r="341">
      <c r="A341" s="195" t="s">
        <v>309</v>
      </c>
      <c r="B341" s="45" t="s">
        <v>221</v>
      </c>
      <c r="C341" s="45" t="s">
        <v>233</v>
      </c>
      <c r="D341" s="46">
        <v>20.053475935828878</v>
      </c>
      <c r="E341" s="45">
        <v>2.0</v>
      </c>
      <c r="F341" s="45">
        <v>0.0</v>
      </c>
      <c r="G341" s="45">
        <v>0.0</v>
      </c>
      <c r="H341" s="45">
        <v>0.0</v>
      </c>
    </row>
    <row r="342">
      <c r="A342" s="195" t="s">
        <v>309</v>
      </c>
      <c r="B342" s="45" t="s">
        <v>225</v>
      </c>
      <c r="C342" s="45" t="s">
        <v>233</v>
      </c>
      <c r="D342" s="46">
        <v>26.101349630761394</v>
      </c>
      <c r="E342" s="45">
        <v>1.0</v>
      </c>
      <c r="F342" s="45">
        <v>0.0</v>
      </c>
      <c r="G342" s="45">
        <v>0.0</v>
      </c>
      <c r="H342" s="45">
        <v>0.0</v>
      </c>
    </row>
    <row r="343">
      <c r="A343" s="195" t="s">
        <v>310</v>
      </c>
      <c r="B343" s="45" t="s">
        <v>218</v>
      </c>
      <c r="C343" s="45" t="s">
        <v>233</v>
      </c>
      <c r="D343" s="46">
        <v>12.891520244461422</v>
      </c>
      <c r="E343" s="45">
        <v>2.0</v>
      </c>
      <c r="F343" s="45">
        <v>0.0</v>
      </c>
      <c r="G343" s="45">
        <v>0.0</v>
      </c>
      <c r="H343" s="45">
        <v>0.0</v>
      </c>
    </row>
    <row r="344">
      <c r="A344" s="195" t="s">
        <v>310</v>
      </c>
      <c r="B344" s="45" t="s">
        <v>218</v>
      </c>
      <c r="C344" s="45" t="s">
        <v>233</v>
      </c>
      <c r="D344" s="46">
        <v>51.0</v>
      </c>
      <c r="E344" s="45">
        <v>2.0</v>
      </c>
      <c r="F344" s="45">
        <v>0.0</v>
      </c>
      <c r="G344" s="45">
        <v>0.0</v>
      </c>
      <c r="H344" s="45">
        <v>0.0</v>
      </c>
    </row>
    <row r="345">
      <c r="A345" s="195" t="s">
        <v>310</v>
      </c>
      <c r="B345" s="45" t="s">
        <v>225</v>
      </c>
      <c r="C345" s="45" t="s">
        <v>233</v>
      </c>
      <c r="D345" s="46">
        <v>53.475935828877006</v>
      </c>
      <c r="E345" s="45">
        <v>2.0</v>
      </c>
      <c r="F345" s="45">
        <v>0.0</v>
      </c>
      <c r="G345" s="45">
        <v>0.0</v>
      </c>
      <c r="H345" s="45">
        <v>0.0</v>
      </c>
    </row>
    <row r="346">
      <c r="A346" s="195" t="s">
        <v>310</v>
      </c>
      <c r="B346" s="45" t="s">
        <v>225</v>
      </c>
      <c r="C346" s="45" t="s">
        <v>233</v>
      </c>
      <c r="D346" s="46">
        <v>26.101349630761394</v>
      </c>
      <c r="E346" s="45">
        <v>2.0</v>
      </c>
      <c r="F346" s="45">
        <v>0.0</v>
      </c>
      <c r="G346" s="45">
        <v>0.0</v>
      </c>
      <c r="H346" s="45">
        <v>0.0</v>
      </c>
    </row>
    <row r="347">
      <c r="A347" s="195" t="s">
        <v>310</v>
      </c>
      <c r="B347" s="45" t="s">
        <v>225</v>
      </c>
      <c r="C347" s="45" t="s">
        <v>233</v>
      </c>
      <c r="D347" s="194">
        <v>67.0</v>
      </c>
      <c r="E347" s="45">
        <v>2.0</v>
      </c>
      <c r="F347" s="45">
        <v>0.0</v>
      </c>
      <c r="G347" s="45">
        <v>0.0</v>
      </c>
      <c r="H347" s="45">
        <v>0.0</v>
      </c>
    </row>
    <row r="348">
      <c r="A348" s="195" t="s">
        <v>310</v>
      </c>
      <c r="B348" s="45" t="s">
        <v>226</v>
      </c>
      <c r="C348" s="45" t="s">
        <v>233</v>
      </c>
      <c r="D348" s="194">
        <v>60.0</v>
      </c>
      <c r="E348" s="45">
        <v>2.0</v>
      </c>
      <c r="F348" s="45">
        <v>0.0</v>
      </c>
      <c r="G348" s="45">
        <v>0.0</v>
      </c>
      <c r="H348" s="45">
        <v>0.0</v>
      </c>
    </row>
    <row r="349">
      <c r="A349" s="195" t="s">
        <v>311</v>
      </c>
      <c r="B349" s="45" t="s">
        <v>221</v>
      </c>
      <c r="C349" s="45" t="s">
        <v>233</v>
      </c>
      <c r="D349" s="46">
        <v>14.323911382734913</v>
      </c>
      <c r="E349" s="45">
        <v>2.0</v>
      </c>
      <c r="F349" s="45">
        <v>0.0</v>
      </c>
      <c r="G349" s="45">
        <v>0.0</v>
      </c>
      <c r="H349" s="45">
        <v>0.0</v>
      </c>
    </row>
    <row r="350">
      <c r="A350" s="195" t="s">
        <v>311</v>
      </c>
      <c r="B350" s="45" t="s">
        <v>225</v>
      </c>
      <c r="C350" s="45" t="s">
        <v>233</v>
      </c>
      <c r="D350" s="46">
        <v>17.0</v>
      </c>
      <c r="E350" s="45">
        <v>2.0</v>
      </c>
      <c r="F350" s="45">
        <v>0.0</v>
      </c>
      <c r="G350" s="45">
        <v>0.0</v>
      </c>
      <c r="H350" s="45">
        <v>0.0</v>
      </c>
    </row>
    <row r="351">
      <c r="A351" s="195" t="s">
        <v>311</v>
      </c>
      <c r="B351" s="45" t="s">
        <v>225</v>
      </c>
      <c r="C351" s="45" t="s">
        <v>233</v>
      </c>
      <c r="D351" s="46">
        <v>25.623885918003566</v>
      </c>
      <c r="E351" s="45">
        <v>2.0</v>
      </c>
      <c r="F351" s="45">
        <v>0.0</v>
      </c>
      <c r="G351" s="45">
        <v>0.0</v>
      </c>
      <c r="H351" s="45">
        <v>0.0</v>
      </c>
    </row>
    <row r="352">
      <c r="A352" s="195" t="s">
        <v>311</v>
      </c>
      <c r="B352" s="45" t="s">
        <v>226</v>
      </c>
      <c r="C352" s="45" t="s">
        <v>233</v>
      </c>
      <c r="D352" s="46">
        <v>13.941940412528647</v>
      </c>
      <c r="E352" s="45">
        <v>2.0</v>
      </c>
      <c r="F352" s="45">
        <v>0.0</v>
      </c>
      <c r="G352" s="45">
        <v>0.0</v>
      </c>
      <c r="H352" s="45">
        <v>0.0</v>
      </c>
    </row>
    <row r="353">
      <c r="A353" s="195" t="s">
        <v>311</v>
      </c>
      <c r="B353" s="45" t="s">
        <v>226</v>
      </c>
      <c r="C353" s="45" t="s">
        <v>233</v>
      </c>
      <c r="D353" s="46">
        <v>12.891520244461422</v>
      </c>
      <c r="E353" s="45">
        <v>2.0</v>
      </c>
      <c r="F353" s="45">
        <v>0.0</v>
      </c>
      <c r="G353" s="45">
        <v>0.0</v>
      </c>
      <c r="H353" s="45">
        <v>0.0</v>
      </c>
    </row>
    <row r="354">
      <c r="A354" s="195" t="s">
        <v>311</v>
      </c>
      <c r="B354" s="45" t="s">
        <v>226</v>
      </c>
      <c r="C354" s="45" t="s">
        <v>233</v>
      </c>
      <c r="D354" s="46">
        <v>14.642220524573466</v>
      </c>
      <c r="E354" s="45">
        <v>2.0</v>
      </c>
      <c r="F354" s="45">
        <v>0.0</v>
      </c>
      <c r="G354" s="45">
        <v>0.0</v>
      </c>
      <c r="H354" s="45">
        <v>0.0</v>
      </c>
    </row>
    <row r="355">
      <c r="A355" s="195" t="s">
        <v>313</v>
      </c>
      <c r="B355" s="45" t="s">
        <v>225</v>
      </c>
      <c r="C355" s="45" t="s">
        <v>233</v>
      </c>
      <c r="D355" s="194">
        <v>76.0</v>
      </c>
      <c r="E355" s="45">
        <v>2.0</v>
      </c>
      <c r="F355" s="45">
        <v>0.0</v>
      </c>
      <c r="G355" s="45">
        <v>0.0</v>
      </c>
      <c r="H355" s="45">
        <v>0.0</v>
      </c>
    </row>
    <row r="356">
      <c r="A356" s="195" t="s">
        <v>314</v>
      </c>
      <c r="B356" s="45" t="s">
        <v>218</v>
      </c>
      <c r="C356" s="45" t="s">
        <v>233</v>
      </c>
      <c r="D356" s="46">
        <v>18.143621084797555</v>
      </c>
      <c r="E356" s="45">
        <v>2.0</v>
      </c>
      <c r="F356" s="45">
        <v>1.0</v>
      </c>
      <c r="G356" s="45">
        <v>0.0</v>
      </c>
      <c r="H356" s="45">
        <v>0.0</v>
      </c>
    </row>
    <row r="357">
      <c r="A357" s="195" t="s">
        <v>314</v>
      </c>
      <c r="B357" s="45" t="s">
        <v>221</v>
      </c>
      <c r="C357" s="45" t="s">
        <v>233</v>
      </c>
      <c r="D357" s="46">
        <v>30.81232492997199</v>
      </c>
      <c r="E357" s="45">
        <v>2.0</v>
      </c>
      <c r="F357" s="45">
        <v>0.0</v>
      </c>
      <c r="G357" s="45">
        <v>0.0</v>
      </c>
      <c r="H357" s="45">
        <v>0.0</v>
      </c>
    </row>
    <row r="358">
      <c r="A358" s="195" t="s">
        <v>314</v>
      </c>
      <c r="B358" s="45" t="s">
        <v>221</v>
      </c>
      <c r="C358" s="45" t="s">
        <v>233</v>
      </c>
      <c r="D358" s="46">
        <v>16.80672268907563</v>
      </c>
      <c r="E358" s="45">
        <v>2.0</v>
      </c>
      <c r="F358" s="45">
        <v>0.0</v>
      </c>
      <c r="G358" s="45">
        <v>0.0</v>
      </c>
      <c r="H358" s="45">
        <v>0.0</v>
      </c>
    </row>
    <row r="359">
      <c r="A359" s="195" t="s">
        <v>314</v>
      </c>
      <c r="B359" s="45" t="s">
        <v>221</v>
      </c>
      <c r="C359" s="45" t="s">
        <v>233</v>
      </c>
      <c r="D359" s="46">
        <v>15.183346065699007</v>
      </c>
      <c r="E359" s="45">
        <v>2.0</v>
      </c>
      <c r="F359" s="45">
        <v>0.0</v>
      </c>
      <c r="G359" s="45">
        <v>0.0</v>
      </c>
      <c r="H359" s="45">
        <v>0.0</v>
      </c>
    </row>
    <row r="360">
      <c r="A360" s="195" t="s">
        <v>314</v>
      </c>
      <c r="B360" s="45" t="s">
        <v>225</v>
      </c>
      <c r="C360" s="45" t="s">
        <v>233</v>
      </c>
      <c r="D360" s="46">
        <v>14.578558696205754</v>
      </c>
      <c r="E360" s="45">
        <v>1.0</v>
      </c>
      <c r="F360" s="45">
        <v>0.0</v>
      </c>
      <c r="G360" s="45">
        <v>0.0</v>
      </c>
      <c r="H360" s="45">
        <v>0.0</v>
      </c>
    </row>
    <row r="361">
      <c r="A361" s="195" t="s">
        <v>314</v>
      </c>
      <c r="B361" s="45" t="s">
        <v>225</v>
      </c>
      <c r="C361" s="45" t="s">
        <v>233</v>
      </c>
      <c r="D361" s="46">
        <v>15.756302521008404</v>
      </c>
      <c r="E361" s="45">
        <v>1.0</v>
      </c>
      <c r="F361" s="45">
        <v>0.0</v>
      </c>
      <c r="G361" s="45">
        <v>0.0</v>
      </c>
      <c r="H361" s="45">
        <v>0.0</v>
      </c>
    </row>
    <row r="362">
      <c r="A362" s="195" t="s">
        <v>314</v>
      </c>
      <c r="B362" s="45" t="s">
        <v>226</v>
      </c>
      <c r="C362" s="45" t="s">
        <v>233</v>
      </c>
      <c r="D362" s="46">
        <v>19.0</v>
      </c>
      <c r="E362" s="45">
        <v>2.0</v>
      </c>
      <c r="F362" s="45">
        <v>0.0</v>
      </c>
      <c r="G362" s="45">
        <v>0.0</v>
      </c>
      <c r="H362" s="45">
        <v>0.0</v>
      </c>
    </row>
    <row r="363">
      <c r="A363" s="195" t="s">
        <v>314</v>
      </c>
      <c r="B363" s="45" t="s">
        <v>226</v>
      </c>
      <c r="C363" s="45" t="s">
        <v>233</v>
      </c>
      <c r="D363" s="46">
        <v>16.87038451744334</v>
      </c>
      <c r="E363" s="45">
        <v>2.0</v>
      </c>
      <c r="F363" s="45">
        <v>1.0</v>
      </c>
      <c r="G363" s="45">
        <v>0.0</v>
      </c>
      <c r="H363" s="45">
        <v>0.0</v>
      </c>
    </row>
    <row r="364">
      <c r="A364" s="195" t="s">
        <v>314</v>
      </c>
      <c r="B364" s="45" t="s">
        <v>226</v>
      </c>
      <c r="C364" s="45" t="s">
        <v>233</v>
      </c>
      <c r="D364" s="46">
        <v>16.80672268907563</v>
      </c>
      <c r="E364" s="45">
        <v>2.0</v>
      </c>
      <c r="F364" s="45">
        <v>0.0</v>
      </c>
      <c r="G364" s="45">
        <v>0.0</v>
      </c>
      <c r="H364" s="45">
        <v>0.0</v>
      </c>
    </row>
    <row r="365">
      <c r="A365" s="195" t="s">
        <v>315</v>
      </c>
      <c r="B365" s="45" t="s">
        <v>218</v>
      </c>
      <c r="C365" s="45" t="s">
        <v>233</v>
      </c>
      <c r="D365" s="46">
        <v>16.07461166284696</v>
      </c>
      <c r="E365" s="45">
        <v>1.0</v>
      </c>
      <c r="F365" s="45">
        <v>0.0</v>
      </c>
      <c r="G365" s="45">
        <v>0.0</v>
      </c>
      <c r="H365" s="45">
        <v>0.0</v>
      </c>
    </row>
    <row r="366">
      <c r="A366" s="195" t="s">
        <v>315</v>
      </c>
      <c r="B366" s="45" t="s">
        <v>218</v>
      </c>
      <c r="C366" s="45" t="s">
        <v>233</v>
      </c>
      <c r="D366" s="46">
        <v>13.623631270690094</v>
      </c>
      <c r="E366" s="45">
        <v>1.0</v>
      </c>
      <c r="F366" s="45">
        <v>0.0</v>
      </c>
      <c r="G366" s="45">
        <v>0.0</v>
      </c>
      <c r="H366" s="45">
        <v>0.0</v>
      </c>
    </row>
    <row r="367">
      <c r="A367" s="195" t="s">
        <v>315</v>
      </c>
      <c r="B367" s="45" t="s">
        <v>218</v>
      </c>
      <c r="C367" s="45" t="s">
        <v>233</v>
      </c>
      <c r="D367" s="46">
        <v>13.050674815380697</v>
      </c>
      <c r="E367" s="45">
        <v>2.0</v>
      </c>
      <c r="F367" s="45">
        <v>0.0</v>
      </c>
      <c r="G367" s="45">
        <v>0.0</v>
      </c>
      <c r="H367" s="45">
        <v>0.0</v>
      </c>
    </row>
    <row r="368">
      <c r="A368" s="195" t="s">
        <v>315</v>
      </c>
      <c r="B368" s="45" t="s">
        <v>221</v>
      </c>
      <c r="C368" s="45" t="s">
        <v>233</v>
      </c>
      <c r="D368" s="46">
        <v>21.326712503183092</v>
      </c>
      <c r="E368" s="45">
        <v>2.0</v>
      </c>
      <c r="F368" s="45">
        <v>0.0</v>
      </c>
      <c r="G368" s="45">
        <v>0.0</v>
      </c>
      <c r="H368" s="45">
        <v>0.0</v>
      </c>
    </row>
    <row r="369">
      <c r="A369" s="195" t="s">
        <v>315</v>
      </c>
      <c r="B369" s="45" t="s">
        <v>225</v>
      </c>
      <c r="C369" s="45" t="s">
        <v>317</v>
      </c>
      <c r="D369" s="194">
        <v>79.0</v>
      </c>
      <c r="E369" s="45">
        <v>1.0</v>
      </c>
      <c r="F369" s="45">
        <v>0.0</v>
      </c>
      <c r="G369" s="45">
        <v>1.0</v>
      </c>
      <c r="H369" s="45">
        <v>1.0</v>
      </c>
    </row>
    <row r="370">
      <c r="A370" s="195" t="s">
        <v>315</v>
      </c>
      <c r="B370" s="45" t="s">
        <v>226</v>
      </c>
      <c r="C370" s="45" t="s">
        <v>302</v>
      </c>
      <c r="D370" s="46">
        <v>31.83091418385536</v>
      </c>
      <c r="E370" s="45">
        <v>1.0</v>
      </c>
      <c r="F370" s="45">
        <v>0.0</v>
      </c>
      <c r="G370" s="45">
        <v>0.0</v>
      </c>
      <c r="H370" s="45">
        <v>0.0</v>
      </c>
    </row>
    <row r="371">
      <c r="A371" s="195" t="s">
        <v>315</v>
      </c>
      <c r="B371" s="45" t="s">
        <v>226</v>
      </c>
      <c r="C371" s="45" t="s">
        <v>233</v>
      </c>
      <c r="D371" s="46">
        <v>15.151515151515152</v>
      </c>
      <c r="E371" s="45">
        <v>1.0</v>
      </c>
      <c r="F371" s="45">
        <v>0.0</v>
      </c>
      <c r="G371" s="45">
        <v>0.0</v>
      </c>
      <c r="H371" s="45">
        <v>0.0</v>
      </c>
    </row>
    <row r="372">
      <c r="A372" s="195" t="s">
        <v>315</v>
      </c>
      <c r="B372" s="45" t="s">
        <v>226</v>
      </c>
      <c r="C372" s="45" t="s">
        <v>233</v>
      </c>
      <c r="D372" s="46">
        <v>15.597147950089127</v>
      </c>
      <c r="E372" s="45">
        <v>2.0</v>
      </c>
      <c r="F372" s="45">
        <v>0.0</v>
      </c>
      <c r="G372" s="45">
        <v>0.0</v>
      </c>
      <c r="H372" s="45">
        <v>0.0</v>
      </c>
    </row>
    <row r="373">
      <c r="A373" s="195" t="s">
        <v>318</v>
      </c>
      <c r="B373" s="45" t="s">
        <v>218</v>
      </c>
      <c r="C373" s="45" t="s">
        <v>233</v>
      </c>
      <c r="D373" s="46">
        <v>18.652915711739244</v>
      </c>
      <c r="E373" s="45">
        <v>2.0</v>
      </c>
      <c r="F373" s="45">
        <v>0.0</v>
      </c>
      <c r="G373" s="45">
        <v>1.0</v>
      </c>
      <c r="H373" s="45" t="s">
        <v>319</v>
      </c>
    </row>
    <row r="374">
      <c r="A374" s="195" t="s">
        <v>318</v>
      </c>
      <c r="B374" s="45" t="s">
        <v>218</v>
      </c>
      <c r="C374" s="45" t="s">
        <v>233</v>
      </c>
      <c r="D374" s="46">
        <v>13.687293099057806</v>
      </c>
      <c r="E374" s="45">
        <v>2.0</v>
      </c>
      <c r="F374" s="45">
        <v>0.0</v>
      </c>
      <c r="G374" s="45">
        <v>0.0</v>
      </c>
      <c r="H374" s="45">
        <v>0.0</v>
      </c>
    </row>
    <row r="375">
      <c r="A375" s="195" t="s">
        <v>318</v>
      </c>
      <c r="B375" s="195" t="s">
        <v>221</v>
      </c>
      <c r="C375" s="45" t="s">
        <v>233</v>
      </c>
      <c r="D375" s="46">
        <v>26.737967914438503</v>
      </c>
      <c r="E375" s="45">
        <v>2.0</v>
      </c>
      <c r="F375" s="45">
        <v>0.0</v>
      </c>
      <c r="G375" s="45">
        <v>0.0</v>
      </c>
      <c r="H375" s="45">
        <v>0.0</v>
      </c>
    </row>
    <row r="376">
      <c r="A376" s="195" t="s">
        <v>318</v>
      </c>
      <c r="B376" s="195" t="s">
        <v>221</v>
      </c>
      <c r="C376" s="45" t="s">
        <v>222</v>
      </c>
      <c r="D376" s="46">
        <v>15.278838808250573</v>
      </c>
      <c r="E376" s="45">
        <v>2.0</v>
      </c>
      <c r="F376" s="45">
        <v>0.0</v>
      </c>
      <c r="G376" s="45">
        <v>0.0</v>
      </c>
      <c r="H376" s="45">
        <v>0.0</v>
      </c>
    </row>
    <row r="377">
      <c r="A377" s="195" t="s">
        <v>318</v>
      </c>
      <c r="B377" s="195" t="s">
        <v>225</v>
      </c>
      <c r="C377" s="45" t="s">
        <v>233</v>
      </c>
      <c r="D377" s="46">
        <v>22.536287242169596</v>
      </c>
      <c r="E377" s="45">
        <v>1.0</v>
      </c>
      <c r="F377" s="45">
        <v>0.0</v>
      </c>
      <c r="G377" s="45">
        <v>0.0</v>
      </c>
      <c r="H377" s="45">
        <v>0.0</v>
      </c>
    </row>
    <row r="378">
      <c r="A378" s="18" t="s">
        <v>318</v>
      </c>
      <c r="B378" s="18" t="s">
        <v>225</v>
      </c>
      <c r="C378" s="45" t="s">
        <v>233</v>
      </c>
      <c r="D378" s="194">
        <v>15.0</v>
      </c>
      <c r="E378" s="45">
        <v>1.0</v>
      </c>
      <c r="F378" s="45">
        <v>0.0</v>
      </c>
      <c r="G378" s="45">
        <v>0.0</v>
      </c>
      <c r="H378" s="45">
        <v>0.0</v>
      </c>
    </row>
    <row r="379">
      <c r="A379" s="18" t="s">
        <v>318</v>
      </c>
      <c r="B379" s="18" t="s">
        <v>225</v>
      </c>
      <c r="C379" s="45" t="s">
        <v>317</v>
      </c>
      <c r="D379" s="194">
        <v>58.0</v>
      </c>
      <c r="E379" s="45">
        <v>1.0</v>
      </c>
      <c r="F379" s="45">
        <v>0.0</v>
      </c>
      <c r="G379" s="45">
        <v>0.0</v>
      </c>
      <c r="H379" s="45">
        <v>0.0</v>
      </c>
    </row>
    <row r="380">
      <c r="A380" s="195" t="s">
        <v>320</v>
      </c>
      <c r="B380" s="45" t="s">
        <v>218</v>
      </c>
      <c r="C380" s="45" t="s">
        <v>233</v>
      </c>
      <c r="D380" s="46">
        <v>13.846447669977081</v>
      </c>
      <c r="E380" s="45">
        <v>1.0</v>
      </c>
      <c r="F380" s="45">
        <v>0.0</v>
      </c>
      <c r="G380" s="45">
        <v>0.0</v>
      </c>
      <c r="H380" s="45">
        <v>0.0</v>
      </c>
    </row>
    <row r="381">
      <c r="A381" s="195" t="s">
        <v>320</v>
      </c>
      <c r="B381" s="45" t="s">
        <v>218</v>
      </c>
      <c r="C381" s="45" t="s">
        <v>233</v>
      </c>
      <c r="D381" s="46">
        <v>16.87038451744334</v>
      </c>
      <c r="E381" s="45">
        <v>1.0</v>
      </c>
      <c r="F381" s="45">
        <v>0.0</v>
      </c>
      <c r="G381" s="45">
        <v>0.0</v>
      </c>
      <c r="H381" s="45">
        <v>0.0</v>
      </c>
    </row>
    <row r="382">
      <c r="A382" s="195" t="s">
        <v>320</v>
      </c>
      <c r="B382" s="45" t="s">
        <v>322</v>
      </c>
      <c r="C382" s="45" t="s">
        <v>233</v>
      </c>
      <c r="D382" s="46">
        <v>16.93404634581105</v>
      </c>
      <c r="E382" s="45">
        <v>1.0</v>
      </c>
      <c r="F382" s="45">
        <v>0.0</v>
      </c>
      <c r="G382" s="45">
        <v>0.0</v>
      </c>
      <c r="H382" s="45">
        <v>0.0</v>
      </c>
    </row>
    <row r="383">
      <c r="A383" s="195" t="s">
        <v>320</v>
      </c>
      <c r="B383" s="45" t="s">
        <v>226</v>
      </c>
      <c r="C383" s="45" t="s">
        <v>302</v>
      </c>
      <c r="D383" s="46">
        <v>74.0</v>
      </c>
      <c r="E383" s="45">
        <v>1.0</v>
      </c>
      <c r="F383" s="45">
        <v>0.0</v>
      </c>
      <c r="G383" s="45">
        <v>2.0</v>
      </c>
      <c r="H383" s="45" t="s">
        <v>223</v>
      </c>
    </row>
    <row r="384">
      <c r="A384" s="195" t="s">
        <v>320</v>
      </c>
      <c r="B384" s="45" t="s">
        <v>226</v>
      </c>
      <c r="C384" s="45" t="s">
        <v>233</v>
      </c>
      <c r="D384" s="46">
        <v>16.0427807486631</v>
      </c>
      <c r="E384" s="45">
        <v>2.0</v>
      </c>
      <c r="F384" s="45">
        <v>0.0</v>
      </c>
      <c r="G384" s="45">
        <v>0.0</v>
      </c>
      <c r="H384" s="45">
        <v>0.0</v>
      </c>
    </row>
    <row r="385">
      <c r="A385" s="195" t="s">
        <v>320</v>
      </c>
      <c r="B385" s="45" t="s">
        <v>225</v>
      </c>
      <c r="C385" s="45" t="s">
        <v>233</v>
      </c>
      <c r="D385" s="46">
        <v>18.20728291316527</v>
      </c>
      <c r="E385" s="45">
        <v>2.0</v>
      </c>
      <c r="F385" s="45">
        <v>0.0</v>
      </c>
      <c r="G385" s="45">
        <v>0.0</v>
      </c>
      <c r="H385" s="45">
        <v>0.0</v>
      </c>
    </row>
    <row r="386">
      <c r="A386" s="195" t="s">
        <v>320</v>
      </c>
      <c r="B386" s="45" t="s">
        <v>225</v>
      </c>
      <c r="C386" s="45" t="s">
        <v>233</v>
      </c>
      <c r="D386" s="46">
        <v>13.687293099057806</v>
      </c>
      <c r="E386" s="45">
        <v>1.0</v>
      </c>
      <c r="F386" s="45">
        <v>0.0</v>
      </c>
      <c r="G386" s="45">
        <v>0.0</v>
      </c>
      <c r="H386" s="45">
        <v>0.0</v>
      </c>
    </row>
    <row r="387">
      <c r="A387" s="195" t="s">
        <v>320</v>
      </c>
      <c r="B387" s="45" t="s">
        <v>225</v>
      </c>
      <c r="C387" s="45" t="s">
        <v>233</v>
      </c>
      <c r="D387" s="46">
        <v>19.098548510313215</v>
      </c>
      <c r="E387" s="45">
        <v>1.0</v>
      </c>
      <c r="F387" s="45">
        <v>0.0</v>
      </c>
      <c r="G387" s="45">
        <v>0.0</v>
      </c>
      <c r="H387" s="45">
        <v>0.0</v>
      </c>
    </row>
    <row r="388">
      <c r="A388" s="195" t="s">
        <v>320</v>
      </c>
      <c r="B388" s="45" t="s">
        <v>221</v>
      </c>
      <c r="C388" s="45" t="s">
        <v>233</v>
      </c>
      <c r="D388" s="46">
        <v>19.098548510313215</v>
      </c>
      <c r="E388" s="45">
        <v>1.0</v>
      </c>
      <c r="F388" s="45">
        <v>0.0</v>
      </c>
      <c r="G388" s="45">
        <v>0.0</v>
      </c>
      <c r="H388" s="45">
        <v>0.0</v>
      </c>
    </row>
    <row r="389">
      <c r="A389" s="195" t="s">
        <v>323</v>
      </c>
      <c r="B389" s="45" t="s">
        <v>218</v>
      </c>
      <c r="C389" s="45" t="s">
        <v>222</v>
      </c>
      <c r="D389" s="194">
        <v>80.0</v>
      </c>
      <c r="E389" s="45">
        <v>1.0</v>
      </c>
      <c r="F389" s="45">
        <v>1.0</v>
      </c>
      <c r="G389" s="45">
        <v>0.0</v>
      </c>
      <c r="H389" s="45">
        <v>0.0</v>
      </c>
    </row>
    <row r="390">
      <c r="A390" s="195" t="s">
        <v>323</v>
      </c>
      <c r="B390" s="45" t="s">
        <v>221</v>
      </c>
      <c r="C390" s="45" t="s">
        <v>222</v>
      </c>
      <c r="D390" s="194">
        <v>77.0</v>
      </c>
      <c r="E390" s="45">
        <v>1.0</v>
      </c>
      <c r="F390" s="45">
        <v>1.0</v>
      </c>
      <c r="G390" s="45">
        <v>0.0</v>
      </c>
      <c r="H390" s="45">
        <v>0.0</v>
      </c>
    </row>
    <row r="391">
      <c r="A391" s="195" t="s">
        <v>323</v>
      </c>
      <c r="B391" s="45" t="s">
        <v>221</v>
      </c>
      <c r="C391" s="45" t="s">
        <v>222</v>
      </c>
      <c r="D391" s="194">
        <v>19.257703081232492</v>
      </c>
      <c r="E391" s="45">
        <v>1.0</v>
      </c>
      <c r="F391" s="45">
        <v>0.0</v>
      </c>
      <c r="G391" s="45">
        <v>0.0</v>
      </c>
      <c r="H391" s="45">
        <v>0.0</v>
      </c>
    </row>
    <row r="392">
      <c r="A392" s="195" t="s">
        <v>323</v>
      </c>
      <c r="B392" s="45" t="s">
        <v>225</v>
      </c>
      <c r="C392" s="45" t="s">
        <v>222</v>
      </c>
      <c r="D392" s="46">
        <v>16.106442577030812</v>
      </c>
      <c r="E392" s="45">
        <v>1.0</v>
      </c>
      <c r="F392" s="45">
        <v>1.0</v>
      </c>
      <c r="G392" s="45">
        <v>0.0</v>
      </c>
      <c r="H392" s="45">
        <v>0.0</v>
      </c>
    </row>
    <row r="393">
      <c r="A393" s="195" t="s">
        <v>323</v>
      </c>
      <c r="B393" s="45" t="s">
        <v>225</v>
      </c>
      <c r="C393" s="45" t="s">
        <v>244</v>
      </c>
      <c r="D393" s="46">
        <v>13.846447669977081</v>
      </c>
      <c r="E393" s="45">
        <v>1.0</v>
      </c>
      <c r="F393" s="45">
        <v>0.0</v>
      </c>
      <c r="G393" s="45">
        <v>0.0</v>
      </c>
      <c r="H393" s="45">
        <v>0.0</v>
      </c>
    </row>
    <row r="394">
      <c r="A394" s="195" t="s">
        <v>324</v>
      </c>
      <c r="B394" s="45" t="s">
        <v>218</v>
      </c>
      <c r="C394" s="45" t="s">
        <v>222</v>
      </c>
      <c r="D394" s="194">
        <v>13.528138528138529</v>
      </c>
      <c r="E394" s="45">
        <v>1.0</v>
      </c>
      <c r="F394" s="45">
        <v>0.0</v>
      </c>
      <c r="G394" s="45">
        <v>0.0</v>
      </c>
      <c r="H394" s="45">
        <v>0.0</v>
      </c>
    </row>
    <row r="395">
      <c r="A395" s="195" t="s">
        <v>324</v>
      </c>
      <c r="B395" s="45" t="s">
        <v>225</v>
      </c>
      <c r="C395" s="45" t="s">
        <v>222</v>
      </c>
      <c r="D395" s="46">
        <v>13.910109498344793</v>
      </c>
      <c r="E395" s="45">
        <v>1.0</v>
      </c>
      <c r="F395" s="45">
        <v>1.0</v>
      </c>
      <c r="G395" s="45">
        <v>0.0</v>
      </c>
      <c r="H395" s="45">
        <v>0.0</v>
      </c>
    </row>
    <row r="396">
      <c r="A396" s="195" t="s">
        <v>324</v>
      </c>
      <c r="B396" s="45" t="s">
        <v>225</v>
      </c>
      <c r="C396" s="45" t="s">
        <v>220</v>
      </c>
      <c r="D396" s="46">
        <v>13.050674815380697</v>
      </c>
      <c r="E396" s="45">
        <v>1.0</v>
      </c>
      <c r="F396" s="45">
        <v>1.0</v>
      </c>
      <c r="G396" s="45">
        <v>0.0</v>
      </c>
      <c r="H396" s="45">
        <v>0.0</v>
      </c>
    </row>
    <row r="397">
      <c r="A397" s="195" t="s">
        <v>324</v>
      </c>
      <c r="B397" s="45" t="s">
        <v>226</v>
      </c>
      <c r="C397" s="45" t="s">
        <v>222</v>
      </c>
      <c r="D397" s="46">
        <v>23.077412783295138</v>
      </c>
      <c r="E397" s="45">
        <v>1.0</v>
      </c>
      <c r="F397" s="45">
        <v>1.0</v>
      </c>
      <c r="G397" s="45">
        <v>0.0</v>
      </c>
      <c r="H397" s="45">
        <v>0.0</v>
      </c>
    </row>
    <row r="398">
      <c r="A398" s="195" t="s">
        <v>325</v>
      </c>
      <c r="B398" s="45" t="s">
        <v>218</v>
      </c>
      <c r="C398" s="45" t="s">
        <v>222</v>
      </c>
      <c r="D398" s="46">
        <v>52.0</v>
      </c>
      <c r="E398" s="45">
        <v>1.0</v>
      </c>
      <c r="F398" s="45">
        <v>1.0</v>
      </c>
      <c r="G398" s="45">
        <v>0.0</v>
      </c>
      <c r="H398" s="45">
        <v>0.0</v>
      </c>
    </row>
    <row r="399">
      <c r="A399" s="195" t="s">
        <v>325</v>
      </c>
      <c r="B399" s="45" t="s">
        <v>218</v>
      </c>
      <c r="C399" s="45" t="s">
        <v>222</v>
      </c>
      <c r="D399" s="194">
        <v>27.0</v>
      </c>
      <c r="E399" s="45">
        <v>1.0</v>
      </c>
      <c r="F399" s="45">
        <v>1.0</v>
      </c>
      <c r="G399" s="45">
        <v>0.0</v>
      </c>
      <c r="H399" s="45">
        <v>0.0</v>
      </c>
    </row>
    <row r="400">
      <c r="A400" s="195" t="s">
        <v>325</v>
      </c>
      <c r="B400" s="45" t="s">
        <v>218</v>
      </c>
      <c r="C400" s="45" t="s">
        <v>222</v>
      </c>
      <c r="D400" s="194">
        <v>44.0</v>
      </c>
      <c r="E400" s="45">
        <v>2.0</v>
      </c>
      <c r="F400" s="45">
        <v>1.0</v>
      </c>
      <c r="G400" s="45">
        <v>0.0</v>
      </c>
      <c r="H400" s="45">
        <v>0.0</v>
      </c>
    </row>
    <row r="401">
      <c r="A401" s="195" t="s">
        <v>325</v>
      </c>
      <c r="B401" s="45" t="s">
        <v>225</v>
      </c>
      <c r="C401" s="45" t="s">
        <v>222</v>
      </c>
      <c r="D401" s="194">
        <v>48.0</v>
      </c>
      <c r="E401" s="45">
        <v>1.0</v>
      </c>
      <c r="F401" s="45">
        <v>1.0</v>
      </c>
      <c r="G401" s="45">
        <v>0.0</v>
      </c>
      <c r="H401" s="45">
        <v>0.0</v>
      </c>
    </row>
    <row r="402">
      <c r="A402" s="195" t="s">
        <v>325</v>
      </c>
      <c r="B402" s="45" t="s">
        <v>225</v>
      </c>
      <c r="C402" s="45" t="s">
        <v>222</v>
      </c>
      <c r="D402" s="194">
        <v>25.0</v>
      </c>
      <c r="E402" s="45">
        <v>1.0</v>
      </c>
      <c r="F402" s="45">
        <v>0.0</v>
      </c>
      <c r="G402" s="45">
        <v>0.0</v>
      </c>
      <c r="H402" s="45">
        <v>0.0</v>
      </c>
    </row>
    <row r="403">
      <c r="A403" s="195" t="s">
        <v>325</v>
      </c>
      <c r="B403" s="45" t="s">
        <v>225</v>
      </c>
      <c r="C403" s="45" t="s">
        <v>222</v>
      </c>
      <c r="D403" s="194">
        <v>25.0</v>
      </c>
      <c r="E403" s="45">
        <v>1.0</v>
      </c>
      <c r="F403" s="45">
        <v>0.0</v>
      </c>
      <c r="G403" s="45">
        <v>0.0</v>
      </c>
      <c r="H403" s="45">
        <v>0.0</v>
      </c>
    </row>
    <row r="404">
      <c r="A404" s="195" t="s">
        <v>325</v>
      </c>
      <c r="B404" s="45" t="s">
        <v>226</v>
      </c>
      <c r="C404" s="45" t="s">
        <v>222</v>
      </c>
      <c r="D404" s="46">
        <v>21.48586707410237</v>
      </c>
      <c r="E404" s="45">
        <v>1.0</v>
      </c>
      <c r="F404" s="45">
        <v>1.0</v>
      </c>
      <c r="G404" s="45">
        <v>0.0</v>
      </c>
      <c r="H404" s="45">
        <v>0.0</v>
      </c>
    </row>
    <row r="405">
      <c r="A405" s="195" t="s">
        <v>325</v>
      </c>
      <c r="B405" s="45" t="s">
        <v>226</v>
      </c>
      <c r="C405" s="45" t="s">
        <v>222</v>
      </c>
      <c r="D405" s="46">
        <v>40.0</v>
      </c>
      <c r="E405" s="45">
        <v>2.0</v>
      </c>
      <c r="F405" s="45">
        <v>1.0</v>
      </c>
      <c r="G405" s="45">
        <v>0.0</v>
      </c>
      <c r="H405" s="45">
        <v>0.0</v>
      </c>
    </row>
    <row r="406">
      <c r="A406" s="195" t="s">
        <v>325</v>
      </c>
      <c r="B406" s="45" t="s">
        <v>226</v>
      </c>
      <c r="C406" s="45" t="s">
        <v>222</v>
      </c>
      <c r="D406" s="46">
        <v>16.233766233766232</v>
      </c>
      <c r="E406" s="45">
        <v>2.0</v>
      </c>
      <c r="F406" s="45">
        <v>1.0</v>
      </c>
      <c r="G406" s="45">
        <v>0.0</v>
      </c>
      <c r="H406" s="45">
        <v>0.0</v>
      </c>
    </row>
    <row r="407">
      <c r="A407" s="195" t="s">
        <v>326</v>
      </c>
      <c r="B407" s="45" t="s">
        <v>221</v>
      </c>
      <c r="C407" s="45" t="s">
        <v>233</v>
      </c>
      <c r="D407" s="194">
        <v>25.0</v>
      </c>
      <c r="E407" s="45">
        <v>2.0</v>
      </c>
      <c r="F407" s="45">
        <v>1.0</v>
      </c>
      <c r="G407" s="45">
        <v>1.0</v>
      </c>
      <c r="H407" s="45" t="s">
        <v>270</v>
      </c>
    </row>
    <row r="408">
      <c r="A408" s="195" t="s">
        <v>326</v>
      </c>
      <c r="B408" s="45" t="s">
        <v>221</v>
      </c>
      <c r="C408" s="45" t="s">
        <v>233</v>
      </c>
      <c r="D408" s="194">
        <v>20.0</v>
      </c>
      <c r="E408" s="45">
        <v>2.0</v>
      </c>
      <c r="F408" s="45">
        <v>1.0</v>
      </c>
      <c r="G408" s="45">
        <v>1.0</v>
      </c>
      <c r="H408" s="45" t="s">
        <v>270</v>
      </c>
    </row>
    <row r="409">
      <c r="A409" s="195" t="s">
        <v>326</v>
      </c>
      <c r="B409" s="45" t="s">
        <v>225</v>
      </c>
      <c r="C409" s="45" t="s">
        <v>222</v>
      </c>
      <c r="D409" s="46">
        <v>43.44919786096257</v>
      </c>
      <c r="E409" s="45">
        <v>1.0</v>
      </c>
      <c r="F409" s="45">
        <v>1.0</v>
      </c>
      <c r="G409" s="45">
        <v>0.0</v>
      </c>
      <c r="H409" s="45">
        <v>0.0</v>
      </c>
    </row>
    <row r="410">
      <c r="A410" s="195" t="s">
        <v>326</v>
      </c>
      <c r="B410" s="45" t="s">
        <v>225</v>
      </c>
      <c r="C410" s="45" t="s">
        <v>222</v>
      </c>
      <c r="D410" s="46">
        <v>36.44639674051439</v>
      </c>
      <c r="E410" s="45">
        <v>1.0</v>
      </c>
      <c r="F410" s="45">
        <v>1.0</v>
      </c>
      <c r="G410" s="45">
        <v>0.0</v>
      </c>
      <c r="H410" s="45">
        <v>0.0</v>
      </c>
    </row>
    <row r="411">
      <c r="A411" s="195" t="s">
        <v>326</v>
      </c>
      <c r="B411" s="45" t="s">
        <v>226</v>
      </c>
      <c r="C411" s="45" t="s">
        <v>222</v>
      </c>
      <c r="D411" s="194">
        <v>45.0</v>
      </c>
      <c r="E411" s="45">
        <v>1.0</v>
      </c>
      <c r="F411" s="45">
        <v>1.0</v>
      </c>
      <c r="G411" s="45">
        <v>0.0</v>
      </c>
      <c r="H411" s="45">
        <v>0.0</v>
      </c>
    </row>
    <row r="412">
      <c r="A412" s="195" t="s">
        <v>326</v>
      </c>
      <c r="B412" s="45" t="s">
        <v>226</v>
      </c>
      <c r="C412" s="45" t="s">
        <v>222</v>
      </c>
      <c r="D412" s="46">
        <v>13.687293099057806</v>
      </c>
      <c r="E412" s="45">
        <v>1.0</v>
      </c>
      <c r="F412" s="45">
        <v>1.0</v>
      </c>
      <c r="G412" s="45">
        <v>0.0</v>
      </c>
      <c r="H412" s="45">
        <v>0.0</v>
      </c>
    </row>
    <row r="413">
      <c r="A413" s="195" t="s">
        <v>326</v>
      </c>
      <c r="B413" s="45" t="s">
        <v>226</v>
      </c>
      <c r="C413" s="45" t="s">
        <v>222</v>
      </c>
      <c r="D413" s="46">
        <v>7.321110262286733</v>
      </c>
      <c r="E413" s="45">
        <v>1.0</v>
      </c>
      <c r="F413" s="45">
        <v>1.0</v>
      </c>
      <c r="G413" s="45">
        <v>0.0</v>
      </c>
      <c r="H413" s="45">
        <v>0.0</v>
      </c>
    </row>
    <row r="414">
      <c r="A414" s="195" t="s">
        <v>327</v>
      </c>
      <c r="B414" s="45" t="s">
        <v>218</v>
      </c>
      <c r="C414" s="45" t="s">
        <v>222</v>
      </c>
      <c r="D414" s="194">
        <v>15.0</v>
      </c>
      <c r="E414" s="45">
        <v>2.0</v>
      </c>
      <c r="F414" s="45">
        <v>1.0</v>
      </c>
      <c r="G414" s="45">
        <v>0.0</v>
      </c>
      <c r="H414" s="45">
        <v>0.0</v>
      </c>
    </row>
    <row r="415">
      <c r="A415" s="195" t="s">
        <v>328</v>
      </c>
      <c r="B415" s="45" t="s">
        <v>218</v>
      </c>
      <c r="C415" s="45" t="s">
        <v>222</v>
      </c>
      <c r="D415" s="194">
        <v>35.0</v>
      </c>
      <c r="E415" s="45">
        <v>1.0</v>
      </c>
      <c r="F415" s="45">
        <v>0.0</v>
      </c>
      <c r="G415" s="45">
        <v>0.0</v>
      </c>
      <c r="H415" s="45">
        <v>0.0</v>
      </c>
    </row>
    <row r="416">
      <c r="A416" s="195" t="s">
        <v>328</v>
      </c>
      <c r="B416" s="45" t="s">
        <v>225</v>
      </c>
      <c r="C416" s="45" t="s">
        <v>222</v>
      </c>
      <c r="D416" s="194">
        <v>69.0</v>
      </c>
      <c r="E416" s="45">
        <v>1.0</v>
      </c>
      <c r="F416" s="45">
        <v>1.0</v>
      </c>
      <c r="G416" s="45">
        <v>0.0</v>
      </c>
      <c r="H416" s="45">
        <v>0.0</v>
      </c>
    </row>
    <row r="417">
      <c r="A417" s="195" t="s">
        <v>328</v>
      </c>
      <c r="B417" s="45" t="s">
        <v>225</v>
      </c>
      <c r="C417" s="45" t="s">
        <v>222</v>
      </c>
      <c r="D417" s="194">
        <v>89.0</v>
      </c>
      <c r="E417" s="45">
        <v>1.0</v>
      </c>
      <c r="F417" s="45">
        <v>1.0</v>
      </c>
      <c r="G417" s="45">
        <v>0.0</v>
      </c>
      <c r="H417" s="45">
        <v>0.0</v>
      </c>
    </row>
    <row r="418">
      <c r="A418" s="195" t="s">
        <v>328</v>
      </c>
      <c r="B418" s="45" t="s">
        <v>226</v>
      </c>
      <c r="C418" s="45" t="s">
        <v>222</v>
      </c>
      <c r="D418" s="46">
        <v>17.27782021899669</v>
      </c>
      <c r="E418" s="45">
        <v>2.0</v>
      </c>
      <c r="F418" s="45">
        <v>1.0</v>
      </c>
      <c r="G418" s="45">
        <v>0.0</v>
      </c>
      <c r="H418" s="45">
        <v>0.0</v>
      </c>
    </row>
    <row r="419">
      <c r="A419" s="195" t="s">
        <v>328</v>
      </c>
      <c r="B419" s="45" t="s">
        <v>226</v>
      </c>
      <c r="C419" s="45" t="s">
        <v>222</v>
      </c>
      <c r="D419" s="46">
        <v>18.20728291316527</v>
      </c>
      <c r="E419" s="45">
        <v>2.0</v>
      </c>
      <c r="F419" s="45">
        <v>1.0</v>
      </c>
      <c r="G419" s="45">
        <v>0.0</v>
      </c>
      <c r="H419" s="45">
        <v>0.0</v>
      </c>
    </row>
    <row r="420">
      <c r="A420" s="195" t="s">
        <v>328</v>
      </c>
      <c r="B420" s="45" t="s">
        <v>226</v>
      </c>
      <c r="C420" s="45" t="s">
        <v>222</v>
      </c>
      <c r="D420" s="46">
        <v>18.780239368474664</v>
      </c>
      <c r="E420" s="45">
        <v>2.0</v>
      </c>
      <c r="F420" s="45">
        <v>1.0</v>
      </c>
      <c r="G420" s="45">
        <v>0.0</v>
      </c>
      <c r="H420" s="45">
        <v>0.0</v>
      </c>
    </row>
    <row r="421">
      <c r="A421" s="195" t="s">
        <v>329</v>
      </c>
      <c r="B421" s="45" t="s">
        <v>226</v>
      </c>
      <c r="C421" s="45" t="s">
        <v>222</v>
      </c>
      <c r="D421" s="46">
        <v>38.83371530430354</v>
      </c>
      <c r="E421" s="45">
        <v>1.0</v>
      </c>
      <c r="F421" s="45">
        <v>1.0</v>
      </c>
      <c r="G421" s="45">
        <v>1.0</v>
      </c>
      <c r="H421" s="45">
        <v>1.0</v>
      </c>
    </row>
    <row r="422">
      <c r="A422" s="195" t="s">
        <v>329</v>
      </c>
      <c r="B422" s="45" t="s">
        <v>226</v>
      </c>
      <c r="C422" s="45" t="s">
        <v>273</v>
      </c>
      <c r="D422" s="46">
        <v>13.687293099057806</v>
      </c>
      <c r="E422" s="45">
        <v>2.0</v>
      </c>
      <c r="F422" s="45">
        <v>1.0</v>
      </c>
      <c r="G422" s="45">
        <v>0.0</v>
      </c>
      <c r="H422" s="45">
        <v>0.0</v>
      </c>
    </row>
    <row r="423">
      <c r="A423" s="195" t="s">
        <v>329</v>
      </c>
      <c r="B423" s="45" t="s">
        <v>226</v>
      </c>
      <c r="C423" s="45" t="s">
        <v>222</v>
      </c>
      <c r="D423" s="46">
        <v>39.43850267379679</v>
      </c>
      <c r="E423" s="45">
        <v>1.0</v>
      </c>
      <c r="F423" s="45">
        <v>1.0</v>
      </c>
      <c r="G423" s="45">
        <v>0.0</v>
      </c>
      <c r="H423" s="45">
        <v>0.0</v>
      </c>
    </row>
    <row r="424">
      <c r="A424" s="195" t="s">
        <v>331</v>
      </c>
      <c r="B424" s="45" t="s">
        <v>221</v>
      </c>
      <c r="C424" s="45" t="s">
        <v>222</v>
      </c>
      <c r="D424" s="46">
        <v>18.430099312452253</v>
      </c>
      <c r="E424" s="45">
        <v>2.0</v>
      </c>
      <c r="F424" s="45">
        <v>1.0</v>
      </c>
      <c r="G424" s="45">
        <v>0.0</v>
      </c>
      <c r="H424" s="45">
        <v>0.0</v>
      </c>
    </row>
    <row r="425">
      <c r="A425" s="195" t="s">
        <v>331</v>
      </c>
      <c r="B425" s="45" t="s">
        <v>221</v>
      </c>
      <c r="C425" s="45" t="s">
        <v>222</v>
      </c>
      <c r="D425" s="194">
        <v>60.0</v>
      </c>
      <c r="E425" s="45">
        <v>2.0</v>
      </c>
      <c r="F425" s="45">
        <v>1.0</v>
      </c>
      <c r="G425" s="45">
        <v>1.0</v>
      </c>
      <c r="H425" s="45" t="s">
        <v>270</v>
      </c>
    </row>
    <row r="426">
      <c r="A426" s="195" t="s">
        <v>331</v>
      </c>
      <c r="B426" s="45" t="s">
        <v>226</v>
      </c>
      <c r="C426" s="45" t="s">
        <v>222</v>
      </c>
      <c r="D426" s="194">
        <v>28.0</v>
      </c>
      <c r="E426" s="45">
        <v>1.0</v>
      </c>
      <c r="F426" s="45">
        <v>1.0</v>
      </c>
      <c r="G426" s="45">
        <v>0.0</v>
      </c>
      <c r="H426" s="45">
        <v>0.0</v>
      </c>
    </row>
    <row r="427">
      <c r="A427" s="195" t="s">
        <v>331</v>
      </c>
      <c r="B427" s="45" t="s">
        <v>218</v>
      </c>
      <c r="C427" s="45" t="s">
        <v>222</v>
      </c>
      <c r="D427" s="194">
        <v>48.0</v>
      </c>
      <c r="E427" s="45">
        <v>1.0</v>
      </c>
      <c r="F427" s="45">
        <v>1.0</v>
      </c>
      <c r="G427" s="45">
        <v>0.0</v>
      </c>
      <c r="H427" s="45">
        <v>0.0</v>
      </c>
    </row>
    <row r="428">
      <c r="A428" s="195" t="s">
        <v>331</v>
      </c>
      <c r="B428" s="45" t="s">
        <v>218</v>
      </c>
      <c r="C428" s="45" t="s">
        <v>222</v>
      </c>
      <c r="D428" s="194">
        <v>30.0</v>
      </c>
      <c r="E428" s="45">
        <v>2.0</v>
      </c>
      <c r="F428" s="45">
        <v>1.0</v>
      </c>
      <c r="G428" s="45">
        <v>1.0</v>
      </c>
      <c r="H428" s="45" t="s">
        <v>270</v>
      </c>
    </row>
    <row r="429">
      <c r="A429" s="195" t="s">
        <v>332</v>
      </c>
      <c r="B429" s="45" t="s">
        <v>221</v>
      </c>
      <c r="C429" s="45" t="s">
        <v>222</v>
      </c>
      <c r="D429" s="194">
        <v>24.0</v>
      </c>
      <c r="E429" s="45">
        <v>1.0</v>
      </c>
      <c r="F429" s="45">
        <v>1.0</v>
      </c>
      <c r="G429" s="45">
        <v>0.0</v>
      </c>
      <c r="H429" s="45">
        <v>0.0</v>
      </c>
    </row>
    <row r="430">
      <c r="A430" s="195" t="s">
        <v>332</v>
      </c>
      <c r="B430" s="45" t="s">
        <v>225</v>
      </c>
      <c r="C430" s="45" t="s">
        <v>222</v>
      </c>
      <c r="D430" s="46">
        <v>14.642220524573466</v>
      </c>
      <c r="E430" s="45">
        <v>1.0</v>
      </c>
      <c r="F430" s="45">
        <v>1.0</v>
      </c>
      <c r="G430" s="45">
        <v>0.0</v>
      </c>
      <c r="H430" s="45">
        <v>0.0</v>
      </c>
    </row>
    <row r="431">
      <c r="A431" s="195" t="s">
        <v>332</v>
      </c>
      <c r="B431" s="45" t="s">
        <v>225</v>
      </c>
      <c r="C431" s="45" t="s">
        <v>222</v>
      </c>
      <c r="D431" s="46">
        <v>17.188693659281896</v>
      </c>
      <c r="E431" s="45">
        <v>2.0</v>
      </c>
      <c r="F431" s="45">
        <v>1.0</v>
      </c>
      <c r="G431" s="45">
        <v>0.0</v>
      </c>
      <c r="H431" s="45">
        <v>0.0</v>
      </c>
    </row>
    <row r="432">
      <c r="A432" s="195" t="s">
        <v>332</v>
      </c>
      <c r="B432" s="45" t="s">
        <v>226</v>
      </c>
      <c r="C432" s="45" t="s">
        <v>233</v>
      </c>
      <c r="D432" s="194">
        <v>70.0</v>
      </c>
      <c r="E432" s="45">
        <v>1.0</v>
      </c>
      <c r="F432" s="45">
        <v>1.0</v>
      </c>
      <c r="G432" s="45">
        <v>0.0</v>
      </c>
      <c r="H432" s="45">
        <v>0.0</v>
      </c>
    </row>
    <row r="433">
      <c r="A433" s="195" t="s">
        <v>333</v>
      </c>
      <c r="B433" s="45" t="s">
        <v>218</v>
      </c>
      <c r="C433" s="45" t="s">
        <v>222</v>
      </c>
      <c r="D433" s="194">
        <v>50.0</v>
      </c>
      <c r="E433" s="45">
        <v>2.0</v>
      </c>
      <c r="F433" s="45">
        <v>1.0</v>
      </c>
      <c r="G433" s="45">
        <v>1.0</v>
      </c>
      <c r="H433" s="45" t="s">
        <v>270</v>
      </c>
    </row>
    <row r="434">
      <c r="A434" s="195" t="s">
        <v>333</v>
      </c>
      <c r="B434" s="45" t="s">
        <v>226</v>
      </c>
      <c r="C434" s="45" t="s">
        <v>222</v>
      </c>
      <c r="D434" s="46">
        <v>23.077412783295138</v>
      </c>
      <c r="E434" s="45">
        <v>2.0</v>
      </c>
      <c r="F434" s="45">
        <v>1.0</v>
      </c>
      <c r="G434" s="45">
        <v>0.0</v>
      </c>
      <c r="H434" s="45">
        <v>0.0</v>
      </c>
    </row>
    <row r="435">
      <c r="A435" s="195" t="s">
        <v>333</v>
      </c>
      <c r="B435" s="45" t="s">
        <v>226</v>
      </c>
      <c r="C435" s="45" t="s">
        <v>222</v>
      </c>
      <c r="D435" s="194">
        <v>56.0</v>
      </c>
      <c r="E435" s="45">
        <v>2.0</v>
      </c>
      <c r="F435" s="45">
        <v>1.0</v>
      </c>
      <c r="G435" s="45">
        <v>0.0</v>
      </c>
      <c r="H435" s="45">
        <v>0.0</v>
      </c>
    </row>
    <row r="436">
      <c r="A436" s="195" t="s">
        <v>333</v>
      </c>
      <c r="B436" s="45" t="s">
        <v>221</v>
      </c>
      <c r="C436" s="45" t="s">
        <v>222</v>
      </c>
      <c r="D436" s="46">
        <v>17.952635599694425</v>
      </c>
      <c r="E436" s="45">
        <v>2.0</v>
      </c>
      <c r="F436" s="45">
        <v>0.0</v>
      </c>
      <c r="G436" s="45">
        <v>0.0</v>
      </c>
      <c r="H436" s="45">
        <v>0.0</v>
      </c>
    </row>
    <row r="437">
      <c r="A437" s="195" t="s">
        <v>333</v>
      </c>
      <c r="B437" s="45" t="s">
        <v>221</v>
      </c>
      <c r="C437" s="45" t="s">
        <v>222</v>
      </c>
      <c r="D437" s="194">
        <v>26.0</v>
      </c>
      <c r="E437" s="45">
        <v>2.0</v>
      </c>
      <c r="F437" s="45">
        <v>1.0</v>
      </c>
      <c r="G437" s="45">
        <v>0.0</v>
      </c>
      <c r="H437" s="45">
        <v>0.0</v>
      </c>
    </row>
    <row r="438">
      <c r="A438" s="195" t="s">
        <v>333</v>
      </c>
      <c r="B438" s="45" t="s">
        <v>225</v>
      </c>
      <c r="C438" s="45" t="s">
        <v>222</v>
      </c>
      <c r="D438" s="194">
        <v>25.687547746371276</v>
      </c>
      <c r="E438" s="45">
        <v>1.0</v>
      </c>
      <c r="F438" s="45">
        <v>0.0</v>
      </c>
      <c r="G438" s="45">
        <v>0.0</v>
      </c>
      <c r="H438" s="45">
        <v>0.0</v>
      </c>
    </row>
    <row r="439">
      <c r="A439" s="195" t="s">
        <v>334</v>
      </c>
      <c r="B439" s="45" t="s">
        <v>221</v>
      </c>
      <c r="C439" s="45" t="s">
        <v>222</v>
      </c>
      <c r="D439" s="46">
        <v>17.188693659281896</v>
      </c>
      <c r="E439" s="45">
        <v>1.0</v>
      </c>
      <c r="F439" s="45">
        <v>1.0</v>
      </c>
      <c r="G439" s="45">
        <v>0.0</v>
      </c>
      <c r="H439" s="45">
        <v>0.0</v>
      </c>
    </row>
    <row r="440">
      <c r="A440" s="195" t="s">
        <v>334</v>
      </c>
      <c r="B440" s="45" t="s">
        <v>218</v>
      </c>
      <c r="C440" s="45" t="s">
        <v>222</v>
      </c>
      <c r="D440" s="46">
        <v>14.96052966641202</v>
      </c>
      <c r="E440" s="45">
        <v>1.0</v>
      </c>
      <c r="F440" s="45">
        <v>0.0</v>
      </c>
      <c r="G440" s="45">
        <v>0.0</v>
      </c>
      <c r="H440" s="45">
        <v>0.0</v>
      </c>
    </row>
    <row r="441">
      <c r="A441" s="195" t="s">
        <v>334</v>
      </c>
      <c r="B441" s="45" t="s">
        <v>225</v>
      </c>
      <c r="C441" s="45" t="s">
        <v>222</v>
      </c>
      <c r="D441" s="46">
        <v>45.0</v>
      </c>
      <c r="E441" s="45">
        <v>1.0</v>
      </c>
      <c r="F441" s="45">
        <v>0.0</v>
      </c>
      <c r="G441" s="45">
        <v>0.0</v>
      </c>
      <c r="H441" s="45">
        <v>0.0</v>
      </c>
    </row>
    <row r="442">
      <c r="A442" s="195" t="s">
        <v>335</v>
      </c>
      <c r="B442" s="45" t="s">
        <v>218</v>
      </c>
      <c r="C442" s="45" t="s">
        <v>222</v>
      </c>
      <c r="D442" s="194">
        <v>92.0</v>
      </c>
      <c r="E442" s="45">
        <v>1.0</v>
      </c>
      <c r="F442" s="45">
        <v>1.0</v>
      </c>
      <c r="G442" s="45">
        <v>0.0</v>
      </c>
      <c r="H442" s="45">
        <v>0.0</v>
      </c>
    </row>
    <row r="443">
      <c r="A443" s="195" t="s">
        <v>335</v>
      </c>
      <c r="B443" s="45" t="s">
        <v>225</v>
      </c>
      <c r="C443" s="45" t="s">
        <v>222</v>
      </c>
      <c r="D443" s="194">
        <v>13.050674815380697</v>
      </c>
      <c r="E443" s="45">
        <v>1.0</v>
      </c>
      <c r="F443" s="45">
        <v>0.0</v>
      </c>
      <c r="G443" s="45">
        <v>0.0</v>
      </c>
      <c r="H443" s="45">
        <v>0.0</v>
      </c>
    </row>
    <row r="444">
      <c r="A444" s="195" t="s">
        <v>335</v>
      </c>
      <c r="B444" s="45" t="s">
        <v>225</v>
      </c>
      <c r="C444" s="45" t="s">
        <v>222</v>
      </c>
      <c r="D444" s="46">
        <v>26.165011459129108</v>
      </c>
      <c r="E444" s="45">
        <v>1.0</v>
      </c>
      <c r="F444" s="45">
        <v>0.0</v>
      </c>
      <c r="G444" s="45">
        <v>0.0</v>
      </c>
      <c r="H444" s="45">
        <v>0.0</v>
      </c>
    </row>
    <row r="445">
      <c r="A445" s="195" t="s">
        <v>335</v>
      </c>
      <c r="B445" s="45" t="s">
        <v>226</v>
      </c>
      <c r="C445" s="45" t="s">
        <v>222</v>
      </c>
      <c r="D445" s="46">
        <v>68.0</v>
      </c>
      <c r="E445" s="45">
        <v>2.0</v>
      </c>
      <c r="F445" s="45">
        <v>1.0</v>
      </c>
      <c r="G445" s="45">
        <v>0.0</v>
      </c>
      <c r="H445" s="45">
        <v>0.0</v>
      </c>
    </row>
    <row r="446">
      <c r="A446" s="195" t="s">
        <v>336</v>
      </c>
      <c r="B446" s="45" t="s">
        <v>218</v>
      </c>
      <c r="C446" s="45" t="s">
        <v>222</v>
      </c>
      <c r="D446" s="194">
        <v>51.0</v>
      </c>
      <c r="E446" s="45">
        <v>1.0</v>
      </c>
      <c r="F446" s="45">
        <v>1.0</v>
      </c>
      <c r="G446" s="45">
        <v>0.0</v>
      </c>
      <c r="H446" s="45">
        <v>0.0</v>
      </c>
    </row>
    <row r="447">
      <c r="A447" s="195" t="s">
        <v>336</v>
      </c>
      <c r="B447" s="45" t="s">
        <v>218</v>
      </c>
      <c r="C447" s="45" t="s">
        <v>222</v>
      </c>
      <c r="D447" s="194">
        <v>43.0</v>
      </c>
      <c r="E447" s="45">
        <v>1.0</v>
      </c>
      <c r="F447" s="45">
        <v>1.0</v>
      </c>
      <c r="G447" s="45">
        <v>0.0</v>
      </c>
      <c r="H447" s="45">
        <v>0.0</v>
      </c>
    </row>
    <row r="448">
      <c r="A448" s="195" t="s">
        <v>336</v>
      </c>
      <c r="B448" s="45" t="s">
        <v>226</v>
      </c>
      <c r="C448" s="45" t="s">
        <v>222</v>
      </c>
      <c r="D448" s="46">
        <v>23.39572192513369</v>
      </c>
      <c r="E448" s="45">
        <v>2.0</v>
      </c>
      <c r="F448" s="45">
        <v>1.0</v>
      </c>
      <c r="G448" s="45">
        <v>0.0</v>
      </c>
      <c r="H448" s="45">
        <v>0.0</v>
      </c>
    </row>
    <row r="449">
      <c r="A449" s="195" t="s">
        <v>336</v>
      </c>
      <c r="B449" s="45" t="s">
        <v>225</v>
      </c>
      <c r="C449" s="45" t="s">
        <v>222</v>
      </c>
      <c r="D449" s="46">
        <v>40.0</v>
      </c>
      <c r="E449" s="45">
        <v>2.0</v>
      </c>
      <c r="F449" s="45">
        <v>0.0</v>
      </c>
      <c r="G449" s="45">
        <v>2.0</v>
      </c>
      <c r="H449" s="45" t="s">
        <v>269</v>
      </c>
    </row>
    <row r="450">
      <c r="A450" s="195" t="s">
        <v>336</v>
      </c>
      <c r="B450" s="45" t="s">
        <v>225</v>
      </c>
      <c r="C450" s="45" t="s">
        <v>222</v>
      </c>
      <c r="D450" s="194">
        <v>54.0</v>
      </c>
      <c r="E450" s="45">
        <v>1.0</v>
      </c>
      <c r="F450" s="45">
        <v>1.0</v>
      </c>
      <c r="G450" s="45">
        <v>0.0</v>
      </c>
      <c r="H450" s="45">
        <v>0.0</v>
      </c>
    </row>
    <row r="451">
      <c r="A451" s="195" t="s">
        <v>337</v>
      </c>
      <c r="B451" s="45" t="s">
        <v>218</v>
      </c>
      <c r="C451" s="45" t="s">
        <v>222</v>
      </c>
      <c r="D451" s="194">
        <v>53.0</v>
      </c>
      <c r="E451" s="45">
        <v>1.0</v>
      </c>
      <c r="F451" s="45">
        <v>0.0</v>
      </c>
      <c r="G451" s="45">
        <v>0.0</v>
      </c>
      <c r="H451" s="45">
        <v>0.0</v>
      </c>
    </row>
    <row r="452">
      <c r="A452" s="195" t="s">
        <v>337</v>
      </c>
      <c r="B452" s="45" t="s">
        <v>218</v>
      </c>
      <c r="C452" s="45" t="s">
        <v>222</v>
      </c>
      <c r="D452" s="194">
        <v>27.3</v>
      </c>
      <c r="E452" s="45">
        <v>1.0</v>
      </c>
      <c r="F452" s="45">
        <v>1.0</v>
      </c>
      <c r="G452" s="45">
        <v>1.0</v>
      </c>
      <c r="H452" s="45" t="s">
        <v>234</v>
      </c>
    </row>
    <row r="453">
      <c r="A453" s="195" t="s">
        <v>337</v>
      </c>
      <c r="B453" s="45" t="s">
        <v>218</v>
      </c>
      <c r="C453" s="45" t="s">
        <v>222</v>
      </c>
      <c r="D453" s="194">
        <v>37.2</v>
      </c>
      <c r="E453" s="45">
        <v>1.0</v>
      </c>
      <c r="F453" s="45">
        <v>1.0</v>
      </c>
      <c r="G453" s="45">
        <v>0.0</v>
      </c>
      <c r="H453" s="45">
        <v>0.0</v>
      </c>
    </row>
    <row r="454">
      <c r="A454" s="195" t="s">
        <v>337</v>
      </c>
      <c r="B454" s="45" t="s">
        <v>225</v>
      </c>
      <c r="C454" s="45" t="s">
        <v>222</v>
      </c>
      <c r="D454" s="46">
        <v>32.88133435192259</v>
      </c>
      <c r="E454" s="45">
        <v>1.0</v>
      </c>
      <c r="F454" s="45">
        <v>1.0</v>
      </c>
      <c r="G454" s="45">
        <v>0.0</v>
      </c>
      <c r="H454" s="45">
        <v>0.0</v>
      </c>
    </row>
    <row r="455">
      <c r="A455" s="195" t="s">
        <v>337</v>
      </c>
      <c r="B455" s="45" t="s">
        <v>225</v>
      </c>
      <c r="C455" s="45" t="s">
        <v>222</v>
      </c>
      <c r="D455" s="46">
        <v>32.40387063916476</v>
      </c>
      <c r="E455" s="45">
        <v>1.0</v>
      </c>
      <c r="F455" s="45">
        <v>1.0</v>
      </c>
      <c r="G455" s="45">
        <v>0.0</v>
      </c>
      <c r="H455" s="45">
        <v>0.0</v>
      </c>
    </row>
    <row r="456">
      <c r="A456" s="195" t="s">
        <v>337</v>
      </c>
      <c r="B456" s="45" t="s">
        <v>225</v>
      </c>
      <c r="C456" s="45" t="s">
        <v>222</v>
      </c>
      <c r="D456" s="46">
        <v>34.218232747644514</v>
      </c>
      <c r="E456" s="45">
        <v>1.0</v>
      </c>
      <c r="F456" s="45">
        <v>1.0</v>
      </c>
      <c r="G456" s="45">
        <v>0.0</v>
      </c>
      <c r="H456" s="45">
        <v>0.0</v>
      </c>
    </row>
    <row r="457">
      <c r="A457" s="195" t="s">
        <v>338</v>
      </c>
      <c r="B457" s="45" t="s">
        <v>218</v>
      </c>
      <c r="C457" s="45" t="s">
        <v>222</v>
      </c>
      <c r="D457" s="46">
        <v>16.233766233766232</v>
      </c>
      <c r="E457" s="45">
        <v>2.0</v>
      </c>
      <c r="F457" s="45">
        <v>0.0</v>
      </c>
      <c r="G457" s="45">
        <v>1.0</v>
      </c>
      <c r="H457" s="45" t="s">
        <v>270</v>
      </c>
    </row>
    <row r="458">
      <c r="A458" s="195" t="s">
        <v>338</v>
      </c>
      <c r="B458" s="45" t="s">
        <v>218</v>
      </c>
      <c r="C458" s="45" t="s">
        <v>222</v>
      </c>
      <c r="D458" s="46">
        <v>32.467532467532465</v>
      </c>
      <c r="E458" s="45">
        <v>1.0</v>
      </c>
      <c r="F458" s="45">
        <v>0.0</v>
      </c>
      <c r="G458" s="45">
        <v>0.0</v>
      </c>
      <c r="H458" s="45">
        <v>0.0</v>
      </c>
    </row>
    <row r="459">
      <c r="A459" s="195" t="s">
        <v>338</v>
      </c>
      <c r="B459" s="45" t="s">
        <v>221</v>
      </c>
      <c r="C459" s="45" t="s">
        <v>222</v>
      </c>
      <c r="D459" s="46">
        <v>22.91825821237586</v>
      </c>
      <c r="E459" s="45">
        <v>1.0</v>
      </c>
      <c r="F459" s="45">
        <v>0.0</v>
      </c>
      <c r="G459" s="45">
        <v>0.0</v>
      </c>
      <c r="H459" s="45">
        <v>0.0</v>
      </c>
    </row>
    <row r="460">
      <c r="A460" s="195" t="s">
        <v>338</v>
      </c>
      <c r="B460" s="45" t="s">
        <v>221</v>
      </c>
      <c r="C460" s="45" t="s">
        <v>224</v>
      </c>
      <c r="D460" s="46">
        <v>43.926661573720395</v>
      </c>
      <c r="E460" s="45">
        <v>1.0</v>
      </c>
      <c r="F460" s="45">
        <v>0.0</v>
      </c>
      <c r="G460" s="45">
        <v>0.0</v>
      </c>
      <c r="H460" s="45">
        <v>0.0</v>
      </c>
    </row>
    <row r="461">
      <c r="A461" s="195" t="s">
        <v>338</v>
      </c>
      <c r="B461" s="45" t="s">
        <v>221</v>
      </c>
      <c r="C461" s="45" t="s">
        <v>222</v>
      </c>
      <c r="D461" s="46">
        <v>33.42245989304813</v>
      </c>
      <c r="E461" s="45">
        <v>1.0</v>
      </c>
      <c r="F461" s="45">
        <v>0.0</v>
      </c>
      <c r="G461" s="45">
        <v>0.0</v>
      </c>
      <c r="H461" s="45">
        <v>0.0</v>
      </c>
    </row>
    <row r="462">
      <c r="A462" s="195" t="s">
        <v>338</v>
      </c>
      <c r="B462" s="45" t="s">
        <v>225</v>
      </c>
      <c r="C462" s="45" t="s">
        <v>222</v>
      </c>
      <c r="D462" s="194">
        <v>47.0</v>
      </c>
      <c r="E462" s="45">
        <v>2.0</v>
      </c>
      <c r="F462" s="45">
        <v>1.0</v>
      </c>
      <c r="G462" s="45">
        <v>0.0</v>
      </c>
      <c r="H462" s="45">
        <v>0.0</v>
      </c>
    </row>
    <row r="463">
      <c r="A463" s="195" t="s">
        <v>338</v>
      </c>
      <c r="B463" s="45" t="s">
        <v>225</v>
      </c>
      <c r="C463" s="45" t="s">
        <v>222</v>
      </c>
      <c r="D463" s="194">
        <v>107.0</v>
      </c>
      <c r="E463" s="45">
        <v>2.0</v>
      </c>
      <c r="F463" s="45">
        <v>0.0</v>
      </c>
      <c r="G463" s="45">
        <v>1.0</v>
      </c>
      <c r="H463" s="45" t="s">
        <v>270</v>
      </c>
    </row>
    <row r="464">
      <c r="A464" s="195" t="s">
        <v>338</v>
      </c>
      <c r="B464" s="45" t="s">
        <v>226</v>
      </c>
      <c r="C464" s="45" t="s">
        <v>222</v>
      </c>
      <c r="D464" s="46">
        <v>19.098548510313215</v>
      </c>
      <c r="E464" s="45">
        <v>2.0</v>
      </c>
      <c r="F464" s="45">
        <v>0.0</v>
      </c>
      <c r="G464" s="45">
        <v>0.0</v>
      </c>
      <c r="H464" s="45">
        <v>0.0</v>
      </c>
    </row>
    <row r="465">
      <c r="A465" s="195" t="s">
        <v>338</v>
      </c>
      <c r="B465" s="45" t="s">
        <v>226</v>
      </c>
      <c r="C465" s="45" t="s">
        <v>222</v>
      </c>
      <c r="D465" s="46">
        <v>20.690094219505983</v>
      </c>
      <c r="E465" s="45">
        <v>2.0</v>
      </c>
      <c r="F465" s="45">
        <v>0.0</v>
      </c>
      <c r="G465" s="45">
        <v>0.0</v>
      </c>
      <c r="H465" s="45">
        <v>0.0</v>
      </c>
    </row>
    <row r="466">
      <c r="A466" s="195" t="s">
        <v>338</v>
      </c>
      <c r="B466" s="45" t="s">
        <v>226</v>
      </c>
      <c r="C466" s="45" t="s">
        <v>224</v>
      </c>
      <c r="D466" s="46">
        <v>17.188693659281896</v>
      </c>
      <c r="E466" s="45">
        <v>1.0</v>
      </c>
      <c r="F466" s="45">
        <v>0.0</v>
      </c>
      <c r="G466" s="45">
        <v>0.0</v>
      </c>
      <c r="H466" s="45">
        <v>0.0</v>
      </c>
    </row>
    <row r="467">
      <c r="A467" s="195" t="s">
        <v>339</v>
      </c>
      <c r="B467" s="45" t="s">
        <v>218</v>
      </c>
      <c r="C467" s="45" t="s">
        <v>222</v>
      </c>
      <c r="D467" s="46">
        <v>18.143621084797555</v>
      </c>
      <c r="E467" s="45">
        <v>2.0</v>
      </c>
      <c r="F467" s="45">
        <v>1.0</v>
      </c>
      <c r="G467" s="45">
        <v>0.0</v>
      </c>
      <c r="H467" s="45">
        <v>0.0</v>
      </c>
    </row>
    <row r="468">
      <c r="A468" s="195" t="s">
        <v>339</v>
      </c>
      <c r="B468" s="45" t="s">
        <v>221</v>
      </c>
      <c r="C468" s="45" t="s">
        <v>244</v>
      </c>
      <c r="D468" s="46">
        <v>14.005602240896359</v>
      </c>
      <c r="E468" s="45">
        <v>1.0</v>
      </c>
      <c r="F468" s="45">
        <v>1.0</v>
      </c>
      <c r="G468" s="45">
        <v>0.0</v>
      </c>
      <c r="H468" s="45">
        <v>0.0</v>
      </c>
    </row>
    <row r="469">
      <c r="A469" s="195" t="s">
        <v>339</v>
      </c>
      <c r="B469" s="45" t="s">
        <v>221</v>
      </c>
      <c r="C469" s="45" t="s">
        <v>222</v>
      </c>
      <c r="D469" s="194">
        <v>54.8</v>
      </c>
      <c r="E469" s="45">
        <v>2.0</v>
      </c>
      <c r="F469" s="45">
        <v>1.0</v>
      </c>
      <c r="G469" s="45">
        <v>0.0</v>
      </c>
      <c r="H469" s="45">
        <v>0.0</v>
      </c>
    </row>
    <row r="470">
      <c r="A470" s="195" t="s">
        <v>339</v>
      </c>
      <c r="B470" s="45" t="s">
        <v>225</v>
      </c>
      <c r="C470" s="45" t="s">
        <v>222</v>
      </c>
      <c r="D470" s="46">
        <v>17.825311942959</v>
      </c>
      <c r="E470" s="45">
        <v>2.0</v>
      </c>
      <c r="F470" s="45">
        <v>1.0</v>
      </c>
      <c r="G470" s="45">
        <v>0.0</v>
      </c>
      <c r="H470" s="45">
        <v>0.0</v>
      </c>
    </row>
    <row r="471">
      <c r="A471" s="195" t="s">
        <v>339</v>
      </c>
      <c r="B471" s="45" t="s">
        <v>225</v>
      </c>
      <c r="C471" s="45" t="s">
        <v>222</v>
      </c>
      <c r="D471" s="194">
        <v>25.46473134708429</v>
      </c>
      <c r="E471" s="45">
        <v>2.0</v>
      </c>
      <c r="F471" s="45">
        <v>1.0</v>
      </c>
      <c r="G471" s="45">
        <v>0.0</v>
      </c>
      <c r="H471" s="45">
        <v>0.0</v>
      </c>
    </row>
    <row r="472">
      <c r="A472" s="195" t="s">
        <v>339</v>
      </c>
      <c r="B472" s="45" t="s">
        <v>226</v>
      </c>
      <c r="C472" s="45" t="s">
        <v>222</v>
      </c>
      <c r="D472" s="46">
        <v>27.692895339954163</v>
      </c>
      <c r="E472" s="45">
        <v>1.0</v>
      </c>
      <c r="F472" s="45">
        <v>1.0</v>
      </c>
      <c r="G472" s="45">
        <v>0.0</v>
      </c>
      <c r="H472" s="45">
        <v>0.0</v>
      </c>
    </row>
    <row r="473">
      <c r="A473" s="195" t="s">
        <v>340</v>
      </c>
      <c r="B473" s="45" t="s">
        <v>218</v>
      </c>
      <c r="C473" s="45" t="s">
        <v>317</v>
      </c>
      <c r="D473" s="46">
        <v>39.852304558186916</v>
      </c>
      <c r="E473" s="45">
        <v>1.0</v>
      </c>
      <c r="F473" s="45">
        <v>0.0</v>
      </c>
      <c r="G473" s="45">
        <v>0.0</v>
      </c>
      <c r="H473" s="45">
        <v>0.0</v>
      </c>
    </row>
    <row r="474">
      <c r="A474" s="195" t="s">
        <v>340</v>
      </c>
      <c r="B474" s="45" t="s">
        <v>218</v>
      </c>
      <c r="C474" s="45" t="s">
        <v>222</v>
      </c>
      <c r="D474" s="46">
        <v>20.690094219505983</v>
      </c>
      <c r="E474" s="45">
        <v>1.0</v>
      </c>
      <c r="F474" s="45">
        <v>0.0</v>
      </c>
      <c r="G474" s="45">
        <v>0.0</v>
      </c>
      <c r="H474" s="45">
        <v>0.0</v>
      </c>
    </row>
    <row r="475">
      <c r="A475" s="195" t="s">
        <v>340</v>
      </c>
      <c r="B475" s="45" t="s">
        <v>226</v>
      </c>
      <c r="C475" s="45" t="s">
        <v>317</v>
      </c>
      <c r="D475" s="46">
        <v>15.43799337916985</v>
      </c>
      <c r="E475" s="45">
        <v>1.0</v>
      </c>
      <c r="F475" s="45">
        <v>0.0</v>
      </c>
      <c r="G475" s="45">
        <v>0.0</v>
      </c>
      <c r="H475" s="45">
        <v>0.0</v>
      </c>
    </row>
    <row r="476">
      <c r="A476" s="195" t="s">
        <v>340</v>
      </c>
      <c r="B476" s="45" t="s">
        <v>218</v>
      </c>
      <c r="C476" s="45" t="s">
        <v>222</v>
      </c>
      <c r="D476" s="46">
        <v>70.0</v>
      </c>
      <c r="E476" s="45">
        <v>1.0</v>
      </c>
      <c r="F476" s="45">
        <v>0.0</v>
      </c>
      <c r="G476" s="45">
        <v>0.0</v>
      </c>
      <c r="H476" s="45">
        <v>0.0</v>
      </c>
    </row>
    <row r="477">
      <c r="A477" s="195" t="s">
        <v>340</v>
      </c>
      <c r="B477" s="45" t="s">
        <v>226</v>
      </c>
      <c r="C477" s="45" t="s">
        <v>317</v>
      </c>
      <c r="D477" s="46">
        <v>20.371785077667433</v>
      </c>
      <c r="E477" s="45">
        <v>1.0</v>
      </c>
      <c r="F477" s="45">
        <v>0.0</v>
      </c>
      <c r="G477" s="45">
        <v>0.0</v>
      </c>
      <c r="H477" s="45">
        <v>0.0</v>
      </c>
    </row>
    <row r="478">
      <c r="A478" s="195" t="s">
        <v>340</v>
      </c>
      <c r="B478" s="45" t="s">
        <v>221</v>
      </c>
      <c r="C478" s="45" t="s">
        <v>222</v>
      </c>
      <c r="D478" s="46">
        <v>34.37738731856379</v>
      </c>
      <c r="E478" s="45">
        <v>1.0</v>
      </c>
      <c r="F478" s="45">
        <v>0.0</v>
      </c>
      <c r="G478" s="45">
        <v>0.0</v>
      </c>
      <c r="H478" s="45">
        <v>0.0</v>
      </c>
    </row>
    <row r="479">
      <c r="A479" s="195" t="s">
        <v>340</v>
      </c>
      <c r="B479" s="45" t="s">
        <v>221</v>
      </c>
      <c r="C479" s="45" t="s">
        <v>222</v>
      </c>
      <c r="D479" s="46">
        <v>16.233766233766232</v>
      </c>
      <c r="E479" s="45">
        <v>1.0</v>
      </c>
      <c r="F479" s="45">
        <v>0.0</v>
      </c>
      <c r="G479" s="45">
        <v>0.0</v>
      </c>
      <c r="H479" s="45">
        <v>0.0</v>
      </c>
    </row>
    <row r="480">
      <c r="A480" s="195" t="s">
        <v>340</v>
      </c>
      <c r="B480" s="45" t="s">
        <v>221</v>
      </c>
      <c r="C480" s="45" t="s">
        <v>222</v>
      </c>
      <c r="D480" s="46">
        <v>26.0</v>
      </c>
      <c r="E480" s="45">
        <v>1.0</v>
      </c>
      <c r="F480" s="45">
        <v>0.0</v>
      </c>
      <c r="G480" s="45">
        <v>0.0</v>
      </c>
      <c r="H480" s="45">
        <v>0.0</v>
      </c>
    </row>
    <row r="481">
      <c r="A481" s="195" t="s">
        <v>340</v>
      </c>
      <c r="B481" s="45" t="s">
        <v>225</v>
      </c>
      <c r="C481" s="45" t="s">
        <v>317</v>
      </c>
      <c r="D481" s="194">
        <v>19.0</v>
      </c>
      <c r="E481" s="45">
        <v>1.0</v>
      </c>
      <c r="F481" s="45">
        <v>0.0</v>
      </c>
      <c r="G481" s="45">
        <v>0.0</v>
      </c>
      <c r="H481" s="45">
        <v>0.0</v>
      </c>
    </row>
    <row r="482">
      <c r="A482" s="195" t="s">
        <v>340</v>
      </c>
      <c r="B482" s="45" t="s">
        <v>225</v>
      </c>
      <c r="C482" s="45" t="s">
        <v>317</v>
      </c>
      <c r="D482" s="194">
        <v>23.0</v>
      </c>
      <c r="E482" s="45">
        <v>1.0</v>
      </c>
      <c r="F482" s="45">
        <v>0.0</v>
      </c>
      <c r="G482" s="45">
        <v>0.0</v>
      </c>
      <c r="H482" s="45">
        <v>0.0</v>
      </c>
    </row>
    <row r="483">
      <c r="A483" s="195" t="s">
        <v>340</v>
      </c>
      <c r="B483" s="45" t="s">
        <v>225</v>
      </c>
      <c r="C483" s="45" t="s">
        <v>222</v>
      </c>
      <c r="D483" s="194">
        <v>43.0</v>
      </c>
      <c r="E483" s="45">
        <v>2.0</v>
      </c>
      <c r="F483" s="45">
        <v>0.0</v>
      </c>
      <c r="G483" s="45">
        <v>0.0</v>
      </c>
      <c r="H483" s="45">
        <v>0.0</v>
      </c>
    </row>
    <row r="484">
      <c r="A484" s="195" t="s">
        <v>341</v>
      </c>
      <c r="B484" s="45" t="s">
        <v>218</v>
      </c>
      <c r="C484" s="45" t="s">
        <v>317</v>
      </c>
      <c r="D484" s="194">
        <v>26.89712248535778</v>
      </c>
      <c r="E484" s="45">
        <v>1.0</v>
      </c>
      <c r="F484" s="45">
        <v>1.0</v>
      </c>
      <c r="G484" s="45">
        <v>0.0</v>
      </c>
      <c r="H484" s="45">
        <v>0.0</v>
      </c>
    </row>
    <row r="485">
      <c r="A485" s="195" t="s">
        <v>341</v>
      </c>
      <c r="B485" s="45" t="s">
        <v>218</v>
      </c>
      <c r="C485" s="45" t="s">
        <v>222</v>
      </c>
      <c r="D485" s="46">
        <v>44.563279857397504</v>
      </c>
      <c r="E485" s="45">
        <v>1.0</v>
      </c>
      <c r="F485" s="45">
        <v>0.0</v>
      </c>
      <c r="G485" s="45">
        <v>0.0</v>
      </c>
      <c r="H485" s="45">
        <v>0.0</v>
      </c>
    </row>
    <row r="486">
      <c r="A486" s="195" t="s">
        <v>341</v>
      </c>
      <c r="B486" s="45" t="s">
        <v>218</v>
      </c>
      <c r="C486" s="45" t="s">
        <v>222</v>
      </c>
      <c r="D486" s="46">
        <v>22.281639928698752</v>
      </c>
      <c r="E486" s="45">
        <v>1.0</v>
      </c>
      <c r="F486" s="45">
        <v>1.0</v>
      </c>
      <c r="G486" s="45">
        <v>0.0</v>
      </c>
      <c r="H486" s="45">
        <v>0.0</v>
      </c>
    </row>
    <row r="487">
      <c r="A487" s="195" t="s">
        <v>341</v>
      </c>
      <c r="B487" s="45" t="s">
        <v>225</v>
      </c>
      <c r="C487" s="45" t="s">
        <v>222</v>
      </c>
      <c r="D487" s="46">
        <v>16.552075375604787</v>
      </c>
      <c r="E487" s="45">
        <v>2.0</v>
      </c>
      <c r="F487" s="45">
        <v>0.0</v>
      </c>
      <c r="G487" s="45">
        <v>1.0</v>
      </c>
      <c r="H487" s="45">
        <v>1.0</v>
      </c>
    </row>
    <row r="488">
      <c r="A488" s="195" t="s">
        <v>341</v>
      </c>
      <c r="B488" s="45" t="s">
        <v>225</v>
      </c>
      <c r="C488" s="45" t="s">
        <v>222</v>
      </c>
      <c r="D488" s="46">
        <v>90.0</v>
      </c>
      <c r="E488" s="45">
        <v>2.0</v>
      </c>
      <c r="F488" s="45">
        <v>1.0</v>
      </c>
      <c r="G488" s="45">
        <v>2.0</v>
      </c>
      <c r="H488" s="45" t="s">
        <v>342</v>
      </c>
    </row>
    <row r="489">
      <c r="A489" s="195" t="s">
        <v>341</v>
      </c>
      <c r="B489" s="45" t="s">
        <v>225</v>
      </c>
      <c r="C489" s="45" t="s">
        <v>220</v>
      </c>
      <c r="D489" s="46">
        <v>20.053475935828878</v>
      </c>
      <c r="E489" s="45">
        <v>1.0</v>
      </c>
      <c r="F489" s="45">
        <v>0.0</v>
      </c>
      <c r="G489" s="45">
        <v>0.0</v>
      </c>
      <c r="H489" s="45">
        <v>0.0</v>
      </c>
    </row>
    <row r="490">
      <c r="A490" s="195" t="s">
        <v>341</v>
      </c>
      <c r="B490" s="45" t="s">
        <v>226</v>
      </c>
      <c r="C490" s="45" t="s">
        <v>222</v>
      </c>
      <c r="D490" s="46">
        <v>25.27374586198116</v>
      </c>
      <c r="E490" s="45">
        <v>1.0</v>
      </c>
      <c r="F490" s="45">
        <v>0.0</v>
      </c>
      <c r="G490" s="45">
        <v>0.0</v>
      </c>
      <c r="H490" s="45">
        <v>0.0</v>
      </c>
    </row>
    <row r="491">
      <c r="A491" s="195" t="s">
        <v>341</v>
      </c>
      <c r="B491" s="45" t="s">
        <v>226</v>
      </c>
      <c r="C491" s="45" t="s">
        <v>222</v>
      </c>
      <c r="D491" s="194">
        <v>46.0</v>
      </c>
      <c r="E491" s="45">
        <v>2.0</v>
      </c>
      <c r="F491" s="45">
        <v>1.0</v>
      </c>
      <c r="G491" s="45">
        <v>3.0</v>
      </c>
      <c r="H491" s="45" t="s">
        <v>343</v>
      </c>
    </row>
    <row r="492">
      <c r="A492" s="195" t="s">
        <v>344</v>
      </c>
      <c r="B492" s="45" t="s">
        <v>221</v>
      </c>
      <c r="C492" s="45" t="s">
        <v>222</v>
      </c>
      <c r="D492" s="46">
        <v>31.194295900178254</v>
      </c>
      <c r="E492" s="45">
        <v>2.0</v>
      </c>
      <c r="F492" s="45">
        <v>1.0</v>
      </c>
      <c r="G492" s="45">
        <v>2.0</v>
      </c>
      <c r="H492" s="45" t="s">
        <v>269</v>
      </c>
    </row>
    <row r="493">
      <c r="A493" s="195" t="s">
        <v>344</v>
      </c>
      <c r="B493" s="45" t="s">
        <v>221</v>
      </c>
      <c r="C493" s="45" t="s">
        <v>222</v>
      </c>
      <c r="D493" s="46">
        <v>27.5974025974026</v>
      </c>
      <c r="E493" s="45">
        <v>2.0</v>
      </c>
      <c r="F493" s="45">
        <v>1.0</v>
      </c>
      <c r="G493" s="45">
        <v>1.0</v>
      </c>
      <c r="H493" s="45" t="s">
        <v>270</v>
      </c>
    </row>
    <row r="494">
      <c r="A494" s="195" t="s">
        <v>344</v>
      </c>
      <c r="B494" s="45" t="s">
        <v>221</v>
      </c>
      <c r="C494" s="45" t="s">
        <v>222</v>
      </c>
      <c r="D494" s="46">
        <v>60.0</v>
      </c>
      <c r="E494" s="45">
        <v>1.0</v>
      </c>
      <c r="F494" s="45">
        <v>1.0</v>
      </c>
      <c r="G494" s="45">
        <v>1.0</v>
      </c>
      <c r="H494" s="45" t="s">
        <v>319</v>
      </c>
    </row>
    <row r="495">
      <c r="A495" s="195" t="s">
        <v>344</v>
      </c>
      <c r="B495" s="45" t="s">
        <v>225</v>
      </c>
      <c r="C495" s="45" t="s">
        <v>222</v>
      </c>
      <c r="D495" s="46">
        <v>50.0</v>
      </c>
      <c r="E495" s="45">
        <v>2.0</v>
      </c>
      <c r="F495" s="45">
        <v>1.0</v>
      </c>
      <c r="G495" s="45">
        <v>1.0</v>
      </c>
      <c r="H495" s="45" t="s">
        <v>270</v>
      </c>
    </row>
    <row r="496">
      <c r="A496" s="195" t="s">
        <v>344</v>
      </c>
      <c r="B496" s="45" t="s">
        <v>226</v>
      </c>
      <c r="C496" s="45" t="s">
        <v>222</v>
      </c>
      <c r="D496" s="194">
        <v>65.0</v>
      </c>
      <c r="E496" s="45">
        <v>1.0</v>
      </c>
      <c r="F496" s="45">
        <v>1.0</v>
      </c>
      <c r="G496" s="45">
        <v>0.0</v>
      </c>
      <c r="H496" s="45">
        <v>0.0</v>
      </c>
    </row>
    <row r="497">
      <c r="A497" s="195" t="s">
        <v>345</v>
      </c>
      <c r="B497" s="45" t="s">
        <v>226</v>
      </c>
      <c r="C497" s="45" t="s">
        <v>222</v>
      </c>
      <c r="D497" s="46">
        <v>34.695696460402345</v>
      </c>
      <c r="E497" s="45">
        <v>1.0</v>
      </c>
      <c r="F497" s="45">
        <v>1.0</v>
      </c>
      <c r="G497" s="45">
        <v>0.0</v>
      </c>
      <c r="H497" s="45">
        <v>0.0</v>
      </c>
    </row>
    <row r="498">
      <c r="A498" s="195" t="s">
        <v>345</v>
      </c>
      <c r="B498" s="45" t="s">
        <v>218</v>
      </c>
      <c r="C498" s="45" t="s">
        <v>222</v>
      </c>
      <c r="D498" s="46">
        <v>68.0</v>
      </c>
      <c r="E498" s="45">
        <v>1.0</v>
      </c>
      <c r="F498" s="45">
        <v>1.0</v>
      </c>
      <c r="G498" s="45">
        <v>1.0</v>
      </c>
      <c r="H498" s="45" t="s">
        <v>270</v>
      </c>
    </row>
    <row r="499">
      <c r="A499" s="195" t="s">
        <v>345</v>
      </c>
      <c r="B499" s="45" t="s">
        <v>218</v>
      </c>
      <c r="C499" s="45" t="s">
        <v>222</v>
      </c>
      <c r="D499" s="46">
        <v>22.91825821237586</v>
      </c>
      <c r="E499" s="45">
        <v>1.0</v>
      </c>
      <c r="F499" s="45">
        <v>1.0</v>
      </c>
      <c r="G499" s="45">
        <v>1.0</v>
      </c>
      <c r="H499" s="45" t="s">
        <v>319</v>
      </c>
    </row>
    <row r="500">
      <c r="A500" s="195" t="s">
        <v>345</v>
      </c>
      <c r="B500" s="45" t="s">
        <v>218</v>
      </c>
      <c r="C500" s="45" t="s">
        <v>222</v>
      </c>
      <c r="D500" s="194">
        <v>29.0</v>
      </c>
      <c r="E500" s="45">
        <v>2.0</v>
      </c>
      <c r="F500" s="45">
        <v>1.0</v>
      </c>
      <c r="G500" s="45">
        <v>0.0</v>
      </c>
      <c r="H500" s="45">
        <v>0.0</v>
      </c>
    </row>
    <row r="501">
      <c r="A501" s="195" t="s">
        <v>345</v>
      </c>
      <c r="B501" s="45" t="s">
        <v>221</v>
      </c>
      <c r="C501" s="45" t="s">
        <v>222</v>
      </c>
      <c r="D501" s="194">
        <v>63.0</v>
      </c>
      <c r="E501" s="45">
        <v>2.0</v>
      </c>
      <c r="F501" s="45">
        <v>1.0</v>
      </c>
      <c r="G501" s="45">
        <v>0.0</v>
      </c>
      <c r="H501" s="45">
        <v>0.0</v>
      </c>
    </row>
    <row r="502">
      <c r="A502" s="195" t="s">
        <v>345</v>
      </c>
      <c r="B502" s="45" t="s">
        <v>225</v>
      </c>
      <c r="C502" s="45" t="s">
        <v>222</v>
      </c>
      <c r="D502" s="194">
        <v>41.18920295390884</v>
      </c>
      <c r="E502" s="45">
        <v>2.0</v>
      </c>
      <c r="F502" s="45">
        <v>1.0</v>
      </c>
      <c r="G502" s="45">
        <v>0.0</v>
      </c>
      <c r="H502" s="45">
        <v>0.0</v>
      </c>
    </row>
    <row r="503">
      <c r="A503" s="195" t="s">
        <v>346</v>
      </c>
      <c r="B503" s="45" t="s">
        <v>221</v>
      </c>
      <c r="C503" s="45" t="s">
        <v>222</v>
      </c>
      <c r="D503" s="194">
        <v>79.0</v>
      </c>
      <c r="E503" s="45">
        <v>2.0</v>
      </c>
      <c r="F503" s="45">
        <v>1.0</v>
      </c>
      <c r="G503" s="45">
        <v>2.0</v>
      </c>
      <c r="H503" s="45" t="s">
        <v>269</v>
      </c>
    </row>
    <row r="504">
      <c r="A504" s="195" t="s">
        <v>346</v>
      </c>
      <c r="B504" s="45" t="s">
        <v>221</v>
      </c>
      <c r="C504" s="45" t="s">
        <v>222</v>
      </c>
      <c r="D504" s="194">
        <v>76.0</v>
      </c>
      <c r="E504" s="45">
        <v>1.0</v>
      </c>
      <c r="F504" s="45">
        <v>1.0</v>
      </c>
      <c r="G504" s="45">
        <v>0.0</v>
      </c>
      <c r="H504" s="45">
        <v>0.0</v>
      </c>
    </row>
    <row r="505">
      <c r="A505" s="195" t="s">
        <v>347</v>
      </c>
      <c r="B505" s="45" t="s">
        <v>225</v>
      </c>
      <c r="C505" s="45" t="s">
        <v>222</v>
      </c>
      <c r="D505" s="194">
        <v>64.0</v>
      </c>
      <c r="E505" s="45">
        <v>1.0</v>
      </c>
      <c r="F505" s="45">
        <v>0.0</v>
      </c>
      <c r="G505" s="45">
        <v>0.0</v>
      </c>
      <c r="H505" s="45">
        <v>0.0</v>
      </c>
    </row>
    <row r="506">
      <c r="A506" s="195" t="s">
        <v>348</v>
      </c>
      <c r="B506" s="45" t="s">
        <v>218</v>
      </c>
      <c r="C506" s="45" t="s">
        <v>222</v>
      </c>
      <c r="D506" s="46">
        <v>20.690094219505983</v>
      </c>
      <c r="E506" s="45">
        <v>3.0</v>
      </c>
      <c r="F506" s="45">
        <v>1.0</v>
      </c>
      <c r="G506" s="45">
        <v>0.0</v>
      </c>
      <c r="H506" s="45">
        <v>0.0</v>
      </c>
    </row>
    <row r="507">
      <c r="A507" s="195" t="s">
        <v>348</v>
      </c>
      <c r="B507" s="45" t="s">
        <v>218</v>
      </c>
      <c r="C507" s="45" t="s">
        <v>222</v>
      </c>
      <c r="D507" s="46">
        <v>23.0</v>
      </c>
      <c r="E507" s="45">
        <v>2.0</v>
      </c>
      <c r="F507" s="45">
        <v>1.0</v>
      </c>
      <c r="G507" s="45">
        <v>0.0</v>
      </c>
      <c r="H507" s="45">
        <v>0.0</v>
      </c>
    </row>
    <row r="508">
      <c r="A508" s="195" t="s">
        <v>348</v>
      </c>
      <c r="B508" s="45" t="s">
        <v>218</v>
      </c>
      <c r="C508" s="45" t="s">
        <v>222</v>
      </c>
      <c r="D508" s="46">
        <v>47.10975299210593</v>
      </c>
      <c r="E508" s="45">
        <v>1.0</v>
      </c>
      <c r="F508" s="45">
        <v>1.0</v>
      </c>
      <c r="G508" s="45">
        <v>0.0</v>
      </c>
      <c r="H508" s="45">
        <v>0.0</v>
      </c>
    </row>
    <row r="509">
      <c r="A509" s="195" t="s">
        <v>348</v>
      </c>
      <c r="B509" s="45" t="s">
        <v>221</v>
      </c>
      <c r="C509" s="45" t="s">
        <v>222</v>
      </c>
      <c r="D509" s="46">
        <v>45.0</v>
      </c>
      <c r="E509" s="45">
        <v>1.0</v>
      </c>
      <c r="F509" s="45">
        <v>1.0</v>
      </c>
      <c r="G509" s="45">
        <v>0.0</v>
      </c>
      <c r="H509" s="45">
        <v>0.0</v>
      </c>
    </row>
    <row r="510">
      <c r="A510" s="195" t="s">
        <v>348</v>
      </c>
      <c r="B510" s="45" t="s">
        <v>221</v>
      </c>
      <c r="C510" s="45" t="s">
        <v>222</v>
      </c>
      <c r="D510" s="46">
        <v>27.0</v>
      </c>
      <c r="E510" s="45">
        <v>1.0</v>
      </c>
      <c r="F510" s="45">
        <v>1.0</v>
      </c>
      <c r="G510" s="45">
        <v>1.0</v>
      </c>
      <c r="H510" s="45">
        <v>1.0</v>
      </c>
    </row>
    <row r="511">
      <c r="A511" s="195" t="s">
        <v>348</v>
      </c>
      <c r="B511" s="45" t="s">
        <v>221</v>
      </c>
      <c r="C511" s="45" t="s">
        <v>222</v>
      </c>
      <c r="D511" s="46">
        <v>28.647822765469826</v>
      </c>
      <c r="E511" s="45">
        <v>1.0</v>
      </c>
      <c r="F511" s="45">
        <v>0.0</v>
      </c>
      <c r="G511" s="45">
        <v>0.0</v>
      </c>
      <c r="H511" s="45">
        <v>0.0</v>
      </c>
    </row>
    <row r="512">
      <c r="A512" s="195" t="s">
        <v>348</v>
      </c>
      <c r="B512" s="45" t="s">
        <v>225</v>
      </c>
      <c r="C512" s="45" t="s">
        <v>222</v>
      </c>
      <c r="D512" s="46">
        <v>65.0</v>
      </c>
      <c r="E512" s="45">
        <v>1.0</v>
      </c>
      <c r="F512" s="45">
        <v>1.0</v>
      </c>
      <c r="G512" s="45">
        <v>1.0</v>
      </c>
      <c r="H512" s="45">
        <v>1.0</v>
      </c>
    </row>
    <row r="513">
      <c r="A513" s="195" t="s">
        <v>348</v>
      </c>
      <c r="B513" s="45" t="s">
        <v>225</v>
      </c>
      <c r="C513" s="45" t="s">
        <v>222</v>
      </c>
      <c r="D513" s="194">
        <v>42.0</v>
      </c>
      <c r="E513" s="45">
        <v>2.0</v>
      </c>
      <c r="F513" s="45">
        <v>1.0</v>
      </c>
      <c r="G513" s="45">
        <v>1.0</v>
      </c>
      <c r="H513" s="45">
        <v>1.0</v>
      </c>
    </row>
    <row r="514">
      <c r="A514" s="195" t="s">
        <v>348</v>
      </c>
      <c r="B514" s="45" t="s">
        <v>225</v>
      </c>
      <c r="C514" s="45" t="s">
        <v>222</v>
      </c>
      <c r="D514" s="46">
        <v>17.825311942959</v>
      </c>
      <c r="E514" s="45">
        <v>1.0</v>
      </c>
      <c r="F514" s="45">
        <v>0.0</v>
      </c>
      <c r="G514" s="45">
        <v>0.0</v>
      </c>
      <c r="H514" s="45">
        <v>0.0</v>
      </c>
    </row>
    <row r="515">
      <c r="A515" s="195" t="s">
        <v>349</v>
      </c>
      <c r="B515" s="45" t="s">
        <v>221</v>
      </c>
      <c r="C515" s="45" t="s">
        <v>222</v>
      </c>
      <c r="D515" s="46">
        <v>47.10975299210593</v>
      </c>
      <c r="E515" s="45">
        <v>1.0</v>
      </c>
      <c r="F515" s="45">
        <v>1.0</v>
      </c>
      <c r="G515" s="45">
        <v>0.0</v>
      </c>
      <c r="H515" s="45">
        <v>0.0</v>
      </c>
    </row>
    <row r="516">
      <c r="A516" s="195" t="s">
        <v>350</v>
      </c>
      <c r="B516" s="45" t="s">
        <v>218</v>
      </c>
      <c r="C516" s="45" t="s">
        <v>222</v>
      </c>
      <c r="D516" s="46">
        <v>49.0</v>
      </c>
      <c r="E516" s="45">
        <v>2.0</v>
      </c>
      <c r="F516" s="45">
        <v>0.0</v>
      </c>
      <c r="G516" s="45">
        <v>3.0</v>
      </c>
      <c r="H516" s="45" t="s">
        <v>343</v>
      </c>
    </row>
    <row r="517">
      <c r="A517" s="195" t="s">
        <v>350</v>
      </c>
      <c r="B517" s="45" t="s">
        <v>218</v>
      </c>
      <c r="C517" s="45" t="s">
        <v>222</v>
      </c>
      <c r="D517" s="46">
        <v>17.252355487649606</v>
      </c>
      <c r="E517" s="45">
        <v>3.0</v>
      </c>
      <c r="F517" s="45">
        <v>0.0</v>
      </c>
      <c r="G517" s="45">
        <v>5.0</v>
      </c>
      <c r="H517" s="45" t="s">
        <v>351</v>
      </c>
    </row>
    <row r="518">
      <c r="A518" s="195" t="s">
        <v>350</v>
      </c>
      <c r="B518" s="45" t="s">
        <v>221</v>
      </c>
      <c r="C518" s="45" t="s">
        <v>222</v>
      </c>
      <c r="D518" s="46">
        <v>104.4</v>
      </c>
      <c r="E518" s="45">
        <v>1.0</v>
      </c>
      <c r="F518" s="45">
        <v>1.0</v>
      </c>
      <c r="G518" s="45">
        <v>0.0</v>
      </c>
      <c r="H518" s="45">
        <v>0.0</v>
      </c>
    </row>
    <row r="519">
      <c r="A519" s="195" t="s">
        <v>350</v>
      </c>
      <c r="B519" s="45" t="s">
        <v>221</v>
      </c>
      <c r="C519" s="45" t="s">
        <v>222</v>
      </c>
      <c r="D519" s="46">
        <v>70.0</v>
      </c>
      <c r="E519" s="45">
        <v>2.0</v>
      </c>
      <c r="F519" s="45">
        <v>1.0</v>
      </c>
      <c r="G519" s="45">
        <v>0.0</v>
      </c>
      <c r="H519" s="45">
        <v>0.0</v>
      </c>
    </row>
    <row r="520">
      <c r="A520" s="195" t="s">
        <v>350</v>
      </c>
      <c r="B520" s="45" t="s">
        <v>221</v>
      </c>
      <c r="C520" s="45" t="s">
        <v>222</v>
      </c>
      <c r="D520" s="194">
        <v>50.0</v>
      </c>
      <c r="E520" s="45">
        <v>2.0</v>
      </c>
      <c r="F520" s="45">
        <v>1.0</v>
      </c>
      <c r="G520" s="45">
        <v>1.0</v>
      </c>
      <c r="H520" s="45" t="s">
        <v>270</v>
      </c>
    </row>
    <row r="521">
      <c r="A521" s="195" t="s">
        <v>350</v>
      </c>
      <c r="B521" s="45" t="s">
        <v>225</v>
      </c>
      <c r="C521" s="45" t="s">
        <v>222</v>
      </c>
      <c r="D521" s="194">
        <v>71.0</v>
      </c>
      <c r="E521" s="45">
        <v>2.0</v>
      </c>
      <c r="F521" s="45">
        <v>1.0</v>
      </c>
      <c r="G521" s="45">
        <v>1.0</v>
      </c>
      <c r="H521" s="45" t="s">
        <v>270</v>
      </c>
    </row>
    <row r="522">
      <c r="A522" s="195" t="s">
        <v>350</v>
      </c>
      <c r="B522" s="45" t="s">
        <v>226</v>
      </c>
      <c r="C522" s="45" t="s">
        <v>222</v>
      </c>
      <c r="D522" s="46">
        <v>15.597147950089127</v>
      </c>
      <c r="E522" s="45">
        <v>3.0</v>
      </c>
      <c r="F522" s="45">
        <v>0.0</v>
      </c>
      <c r="G522" s="45">
        <v>5.0</v>
      </c>
      <c r="H522" s="45" t="s">
        <v>352</v>
      </c>
    </row>
    <row r="523">
      <c r="A523" s="195" t="s">
        <v>350</v>
      </c>
      <c r="B523" s="45" t="s">
        <v>226</v>
      </c>
      <c r="C523" s="45" t="s">
        <v>220</v>
      </c>
      <c r="D523" s="46">
        <v>23.459383753501402</v>
      </c>
      <c r="E523" s="45">
        <v>1.0</v>
      </c>
      <c r="F523" s="45">
        <v>0.0</v>
      </c>
      <c r="G523" s="45">
        <v>0.0</v>
      </c>
      <c r="H523" s="45">
        <v>0.0</v>
      </c>
    </row>
    <row r="524">
      <c r="A524" s="195" t="s">
        <v>353</v>
      </c>
      <c r="B524" s="45" t="s">
        <v>218</v>
      </c>
      <c r="C524" s="45" t="s">
        <v>222</v>
      </c>
      <c r="D524" s="46">
        <v>18.46193022663611</v>
      </c>
      <c r="E524" s="45">
        <v>2.0</v>
      </c>
      <c r="F524" s="45">
        <v>1.0</v>
      </c>
      <c r="G524" s="45">
        <v>0.0</v>
      </c>
      <c r="H524" s="45">
        <v>0.0</v>
      </c>
    </row>
    <row r="525">
      <c r="A525" s="195" t="s">
        <v>353</v>
      </c>
      <c r="B525" s="45" t="s">
        <v>218</v>
      </c>
      <c r="C525" s="45" t="s">
        <v>222</v>
      </c>
      <c r="D525" s="46">
        <v>25.0</v>
      </c>
      <c r="E525" s="45">
        <v>3.0</v>
      </c>
      <c r="F525" s="45">
        <v>1.0</v>
      </c>
      <c r="G525" s="45">
        <v>2.0</v>
      </c>
      <c r="H525" s="45" t="s">
        <v>269</v>
      </c>
    </row>
    <row r="526">
      <c r="A526" s="195" t="s">
        <v>353</v>
      </c>
      <c r="B526" s="45" t="s">
        <v>218</v>
      </c>
      <c r="C526" s="45" t="s">
        <v>222</v>
      </c>
      <c r="D526" s="194">
        <v>34.0</v>
      </c>
      <c r="E526" s="45">
        <v>2.0</v>
      </c>
      <c r="F526" s="45">
        <v>1.0</v>
      </c>
      <c r="G526" s="45">
        <v>1.0</v>
      </c>
      <c r="H526" s="45" t="s">
        <v>319</v>
      </c>
    </row>
    <row r="527">
      <c r="A527" s="195" t="s">
        <v>353</v>
      </c>
      <c r="B527" s="45" t="s">
        <v>221</v>
      </c>
      <c r="C527" s="45" t="s">
        <v>222</v>
      </c>
      <c r="D527" s="46">
        <v>13.687293099057806</v>
      </c>
      <c r="E527" s="45">
        <v>1.0</v>
      </c>
      <c r="F527" s="45">
        <v>0.0</v>
      </c>
      <c r="G527" s="45">
        <v>0.0</v>
      </c>
      <c r="H527" s="45">
        <v>0.0</v>
      </c>
    </row>
    <row r="528">
      <c r="A528" s="195" t="s">
        <v>353</v>
      </c>
      <c r="B528" s="45" t="s">
        <v>221</v>
      </c>
      <c r="C528" s="45" t="s">
        <v>222</v>
      </c>
      <c r="D528" s="194">
        <v>43.0</v>
      </c>
      <c r="E528" s="45">
        <v>1.0</v>
      </c>
      <c r="F528" s="45">
        <v>0.0</v>
      </c>
      <c r="G528" s="45">
        <v>0.0</v>
      </c>
      <c r="H528" s="45">
        <v>0.0</v>
      </c>
    </row>
    <row r="529">
      <c r="A529" s="195" t="s">
        <v>353</v>
      </c>
      <c r="B529" s="45" t="s">
        <v>225</v>
      </c>
      <c r="C529" s="45" t="s">
        <v>222</v>
      </c>
      <c r="D529" s="194">
        <v>45.0</v>
      </c>
      <c r="E529" s="45">
        <v>1.0</v>
      </c>
      <c r="F529" s="45">
        <v>0.0</v>
      </c>
      <c r="G529" s="45">
        <v>0.0</v>
      </c>
      <c r="H529" s="45">
        <v>0.0</v>
      </c>
    </row>
    <row r="530">
      <c r="A530" s="195" t="s">
        <v>353</v>
      </c>
      <c r="B530" s="45" t="s">
        <v>221</v>
      </c>
      <c r="C530" s="45" t="s">
        <v>222</v>
      </c>
      <c r="D530" s="194">
        <v>49.0</v>
      </c>
      <c r="E530" s="45">
        <v>2.0</v>
      </c>
      <c r="F530" s="45">
        <v>1.0</v>
      </c>
      <c r="G530" s="45">
        <v>3.0</v>
      </c>
      <c r="H530" s="45" t="s">
        <v>354</v>
      </c>
    </row>
    <row r="531">
      <c r="A531" s="195" t="s">
        <v>353</v>
      </c>
      <c r="B531" s="45" t="s">
        <v>225</v>
      </c>
      <c r="C531" s="45" t="s">
        <v>224</v>
      </c>
      <c r="D531" s="46">
        <v>17.316017316017316</v>
      </c>
      <c r="E531" s="45">
        <v>1.0</v>
      </c>
      <c r="F531" s="45">
        <v>0.0</v>
      </c>
      <c r="G531" s="45">
        <v>0.0</v>
      </c>
      <c r="H531" s="45">
        <v>0.0</v>
      </c>
    </row>
    <row r="532">
      <c r="A532" s="195" t="s">
        <v>353</v>
      </c>
      <c r="B532" s="45" t="s">
        <v>225</v>
      </c>
      <c r="C532" s="45" t="s">
        <v>224</v>
      </c>
      <c r="D532" s="46">
        <v>16.552075375604787</v>
      </c>
      <c r="E532" s="45">
        <v>1.0</v>
      </c>
      <c r="F532" s="45">
        <v>1.0</v>
      </c>
      <c r="G532" s="45">
        <v>0.0</v>
      </c>
      <c r="H532" s="45">
        <v>0.0</v>
      </c>
    </row>
    <row r="533">
      <c r="A533" s="195" t="s">
        <v>355</v>
      </c>
      <c r="B533" s="45" t="s">
        <v>221</v>
      </c>
      <c r="C533" s="45" t="s">
        <v>222</v>
      </c>
      <c r="D533" s="46">
        <v>42.0</v>
      </c>
      <c r="E533" s="45">
        <v>1.0</v>
      </c>
      <c r="F533" s="45">
        <v>1.0</v>
      </c>
      <c r="G533" s="45">
        <v>1.0</v>
      </c>
      <c r="H533" s="45" t="s">
        <v>319</v>
      </c>
    </row>
    <row r="534">
      <c r="A534" s="195" t="s">
        <v>355</v>
      </c>
      <c r="B534" s="45" t="s">
        <v>221</v>
      </c>
      <c r="C534" s="45" t="s">
        <v>233</v>
      </c>
      <c r="D534" s="194">
        <v>47.0</v>
      </c>
      <c r="E534" s="45">
        <v>1.0</v>
      </c>
      <c r="F534" s="45">
        <v>1.0</v>
      </c>
      <c r="G534" s="45">
        <v>0.0</v>
      </c>
      <c r="H534" s="45">
        <v>0.0</v>
      </c>
    </row>
    <row r="535">
      <c r="A535" s="195" t="s">
        <v>355</v>
      </c>
      <c r="B535" s="45" t="s">
        <v>221</v>
      </c>
      <c r="C535" s="45" t="s">
        <v>222</v>
      </c>
      <c r="D535" s="46">
        <v>36.28724216959511</v>
      </c>
      <c r="E535" s="45">
        <v>1.0</v>
      </c>
      <c r="F535" s="45">
        <v>0.0</v>
      </c>
      <c r="G535" s="45">
        <v>0.0</v>
      </c>
      <c r="H535" s="45">
        <v>0.0</v>
      </c>
    </row>
    <row r="536">
      <c r="A536" s="195" t="s">
        <v>355</v>
      </c>
      <c r="B536" s="45" t="s">
        <v>225</v>
      </c>
      <c r="C536" s="45" t="s">
        <v>222</v>
      </c>
      <c r="D536" s="194">
        <v>55.0</v>
      </c>
      <c r="E536" s="45">
        <v>2.0</v>
      </c>
      <c r="F536" s="45">
        <v>1.0</v>
      </c>
      <c r="G536" s="45">
        <v>0.0</v>
      </c>
      <c r="H536" s="45">
        <v>0.0</v>
      </c>
    </row>
    <row r="537">
      <c r="A537" s="195" t="s">
        <v>355</v>
      </c>
      <c r="B537" s="45" t="s">
        <v>225</v>
      </c>
      <c r="C537" s="45" t="s">
        <v>222</v>
      </c>
      <c r="D537" s="194">
        <v>28.0</v>
      </c>
      <c r="E537" s="45">
        <v>2.0</v>
      </c>
      <c r="F537" s="45">
        <v>1.0</v>
      </c>
      <c r="G537" s="45">
        <v>1.0</v>
      </c>
      <c r="H537" s="45" t="s">
        <v>319</v>
      </c>
    </row>
    <row r="538">
      <c r="A538" s="195" t="s">
        <v>355</v>
      </c>
      <c r="B538" s="45" t="s">
        <v>218</v>
      </c>
      <c r="C538" s="45" t="s">
        <v>222</v>
      </c>
      <c r="D538" s="194">
        <v>23.0</v>
      </c>
      <c r="E538" s="45">
        <v>2.0</v>
      </c>
      <c r="F538" s="45">
        <v>1.0</v>
      </c>
      <c r="G538" s="45">
        <v>0.0</v>
      </c>
      <c r="H538" s="45">
        <v>0.0</v>
      </c>
    </row>
    <row r="539">
      <c r="D539" s="46"/>
    </row>
    <row r="540">
      <c r="D540" s="46"/>
    </row>
    <row r="541">
      <c r="D541" s="46"/>
    </row>
    <row r="542">
      <c r="D542" s="46"/>
    </row>
    <row r="543">
      <c r="D543" s="46"/>
    </row>
    <row r="544">
      <c r="D544" s="46"/>
    </row>
    <row r="545">
      <c r="D545" s="46"/>
    </row>
    <row r="546">
      <c r="D546" s="46"/>
    </row>
    <row r="547">
      <c r="D547" s="46"/>
    </row>
    <row r="548">
      <c r="D548" s="46"/>
    </row>
    <row r="549">
      <c r="D549" s="46"/>
    </row>
    <row r="550">
      <c r="D550" s="46"/>
    </row>
    <row r="551">
      <c r="D551" s="46"/>
    </row>
    <row r="552">
      <c r="D552" s="46"/>
    </row>
    <row r="553">
      <c r="D553" s="46"/>
    </row>
    <row r="554">
      <c r="D554" s="46"/>
    </row>
    <row r="555">
      <c r="D555" s="46"/>
    </row>
    <row r="556">
      <c r="D556" s="46"/>
    </row>
    <row r="557">
      <c r="D557" s="46"/>
    </row>
    <row r="558">
      <c r="D558" s="46"/>
    </row>
    <row r="559">
      <c r="D559" s="46"/>
    </row>
    <row r="560">
      <c r="D560" s="46"/>
    </row>
    <row r="561">
      <c r="D561" s="46"/>
    </row>
    <row r="562">
      <c r="D562" s="46"/>
    </row>
    <row r="563">
      <c r="D563" s="46"/>
    </row>
    <row r="564">
      <c r="D564" s="46"/>
    </row>
    <row r="565">
      <c r="D565" s="46"/>
    </row>
    <row r="566">
      <c r="D566" s="46"/>
    </row>
    <row r="567">
      <c r="D567" s="46"/>
    </row>
    <row r="568">
      <c r="D568" s="46"/>
    </row>
    <row r="569">
      <c r="D569" s="46"/>
    </row>
    <row r="570">
      <c r="D570" s="46"/>
    </row>
    <row r="571">
      <c r="D571" s="46"/>
    </row>
    <row r="572">
      <c r="D572" s="46"/>
    </row>
    <row r="573">
      <c r="D573" s="46"/>
    </row>
    <row r="574">
      <c r="D574" s="46"/>
    </row>
    <row r="575">
      <c r="D575" s="46"/>
    </row>
    <row r="576">
      <c r="D576" s="46"/>
    </row>
    <row r="577">
      <c r="D577" s="46"/>
    </row>
    <row r="578">
      <c r="D578" s="46"/>
    </row>
    <row r="579">
      <c r="D579" s="46"/>
    </row>
    <row r="580">
      <c r="D580" s="46"/>
    </row>
    <row r="581">
      <c r="D581" s="46"/>
    </row>
    <row r="582">
      <c r="D582" s="46"/>
    </row>
    <row r="583">
      <c r="D583" s="46"/>
    </row>
    <row r="584">
      <c r="D584" s="46"/>
    </row>
    <row r="585">
      <c r="D585" s="46"/>
    </row>
    <row r="586">
      <c r="D586" s="46"/>
    </row>
    <row r="587">
      <c r="D587" s="46"/>
    </row>
    <row r="588">
      <c r="D588" s="46"/>
    </row>
    <row r="589">
      <c r="D589" s="46"/>
    </row>
    <row r="590">
      <c r="D590" s="46"/>
    </row>
    <row r="591">
      <c r="D591" s="46"/>
    </row>
    <row r="592">
      <c r="D592" s="46"/>
    </row>
    <row r="593">
      <c r="D593" s="46"/>
    </row>
    <row r="594">
      <c r="D594" s="46"/>
    </row>
    <row r="595">
      <c r="D595" s="46"/>
    </row>
    <row r="596">
      <c r="D596" s="46"/>
    </row>
    <row r="597">
      <c r="D597" s="46"/>
    </row>
    <row r="598">
      <c r="D598" s="46"/>
    </row>
    <row r="599">
      <c r="D599" s="46"/>
    </row>
    <row r="600">
      <c r="D600" s="46"/>
    </row>
    <row r="601">
      <c r="D601" s="46"/>
    </row>
    <row r="602">
      <c r="D602" s="46"/>
    </row>
    <row r="603">
      <c r="D603" s="46"/>
    </row>
    <row r="604">
      <c r="D604" s="46"/>
    </row>
    <row r="605">
      <c r="D605" s="46"/>
    </row>
    <row r="606">
      <c r="D606" s="46"/>
    </row>
    <row r="607">
      <c r="D607" s="46"/>
    </row>
    <row r="608">
      <c r="D608" s="46"/>
    </row>
    <row r="609">
      <c r="D609" s="46"/>
    </row>
    <row r="610">
      <c r="D610" s="46"/>
    </row>
    <row r="611">
      <c r="D611" s="46"/>
    </row>
    <row r="612">
      <c r="D612" s="46"/>
    </row>
    <row r="613">
      <c r="D613" s="46"/>
    </row>
    <row r="614">
      <c r="D614" s="46"/>
    </row>
    <row r="615">
      <c r="D615" s="46"/>
    </row>
    <row r="616">
      <c r="D616" s="46"/>
    </row>
    <row r="617">
      <c r="D617" s="46"/>
    </row>
    <row r="618">
      <c r="D618" s="46"/>
    </row>
    <row r="619">
      <c r="D619" s="46"/>
    </row>
    <row r="620">
      <c r="D620" s="46"/>
    </row>
    <row r="621">
      <c r="D621" s="46"/>
    </row>
    <row r="622">
      <c r="D622" s="46"/>
    </row>
    <row r="623">
      <c r="D623" s="46"/>
    </row>
    <row r="624">
      <c r="D624" s="46"/>
    </row>
    <row r="625">
      <c r="D625" s="46"/>
    </row>
    <row r="626">
      <c r="D626" s="46"/>
    </row>
    <row r="627">
      <c r="D627" s="46"/>
    </row>
    <row r="628">
      <c r="D628" s="46"/>
    </row>
    <row r="629">
      <c r="D629" s="46"/>
    </row>
    <row r="630">
      <c r="D630" s="46"/>
    </row>
    <row r="631">
      <c r="D631" s="46"/>
    </row>
    <row r="632">
      <c r="D632" s="46"/>
    </row>
    <row r="633">
      <c r="D633" s="46"/>
    </row>
    <row r="634">
      <c r="D634" s="46"/>
    </row>
    <row r="635">
      <c r="D635" s="46"/>
    </row>
    <row r="636">
      <c r="D636" s="46"/>
    </row>
    <row r="637">
      <c r="D637" s="46"/>
    </row>
    <row r="638">
      <c r="D638" s="46"/>
    </row>
    <row r="639">
      <c r="D639" s="46"/>
    </row>
    <row r="640">
      <c r="D640" s="46"/>
    </row>
    <row r="641">
      <c r="D641" s="46"/>
    </row>
    <row r="642">
      <c r="D642" s="46"/>
    </row>
    <row r="643">
      <c r="D643" s="46"/>
    </row>
    <row r="644">
      <c r="D644" s="46"/>
    </row>
    <row r="645">
      <c r="D645" s="46"/>
    </row>
    <row r="646">
      <c r="D646" s="46"/>
    </row>
    <row r="647">
      <c r="D647" s="46"/>
    </row>
    <row r="648">
      <c r="D648" s="46"/>
    </row>
    <row r="649">
      <c r="D649" s="46"/>
    </row>
    <row r="650">
      <c r="D650" s="46"/>
    </row>
    <row r="651">
      <c r="D651" s="46"/>
    </row>
    <row r="652">
      <c r="D652" s="46"/>
    </row>
    <row r="653">
      <c r="D653" s="46"/>
    </row>
    <row r="654">
      <c r="D654" s="46"/>
    </row>
    <row r="655">
      <c r="D655" s="46"/>
    </row>
    <row r="656">
      <c r="D656" s="46"/>
    </row>
    <row r="657">
      <c r="D657" s="46"/>
    </row>
    <row r="658">
      <c r="D658" s="46"/>
    </row>
    <row r="659">
      <c r="D659" s="46"/>
    </row>
    <row r="660">
      <c r="D660" s="46"/>
    </row>
    <row r="661">
      <c r="D661" s="46"/>
    </row>
    <row r="662">
      <c r="D662" s="46"/>
    </row>
    <row r="663">
      <c r="D663" s="46"/>
    </row>
    <row r="664">
      <c r="D664" s="46"/>
    </row>
    <row r="665">
      <c r="D665" s="46"/>
    </row>
    <row r="666">
      <c r="D666" s="46"/>
    </row>
    <row r="667">
      <c r="D667" s="46"/>
    </row>
    <row r="668">
      <c r="D668" s="46"/>
    </row>
    <row r="669">
      <c r="D669" s="46"/>
    </row>
    <row r="670">
      <c r="D670" s="46"/>
    </row>
    <row r="671">
      <c r="D671" s="46"/>
    </row>
    <row r="672">
      <c r="D672" s="46"/>
    </row>
    <row r="673">
      <c r="D673" s="46"/>
    </row>
    <row r="674">
      <c r="D674" s="46"/>
    </row>
    <row r="675">
      <c r="D675" s="46"/>
    </row>
    <row r="676">
      <c r="D676" s="46"/>
    </row>
    <row r="677">
      <c r="D677" s="46"/>
    </row>
    <row r="678">
      <c r="D678" s="46"/>
    </row>
    <row r="679">
      <c r="D679" s="46"/>
    </row>
    <row r="680">
      <c r="D680" s="46"/>
    </row>
    <row r="681">
      <c r="D681" s="46"/>
    </row>
    <row r="682">
      <c r="D682" s="46"/>
    </row>
    <row r="683">
      <c r="D683" s="46"/>
    </row>
    <row r="684">
      <c r="D684" s="46"/>
    </row>
    <row r="685">
      <c r="D685" s="46"/>
    </row>
    <row r="686">
      <c r="D686" s="46"/>
    </row>
    <row r="687">
      <c r="D687" s="46"/>
    </row>
    <row r="688">
      <c r="D688" s="46"/>
    </row>
    <row r="689">
      <c r="D689" s="46"/>
    </row>
    <row r="690">
      <c r="D690" s="46"/>
    </row>
    <row r="691">
      <c r="D691" s="46"/>
    </row>
    <row r="692">
      <c r="D692" s="46"/>
    </row>
    <row r="693">
      <c r="D693" s="46"/>
    </row>
    <row r="694">
      <c r="D694" s="46"/>
    </row>
    <row r="695">
      <c r="D695" s="46"/>
    </row>
    <row r="696">
      <c r="D696" s="46"/>
    </row>
    <row r="697">
      <c r="D697" s="46"/>
    </row>
    <row r="698">
      <c r="D698" s="46"/>
    </row>
    <row r="699">
      <c r="D699" s="46"/>
    </row>
    <row r="700">
      <c r="D700" s="46"/>
    </row>
    <row r="701">
      <c r="D701" s="46"/>
    </row>
    <row r="702">
      <c r="D702" s="46"/>
    </row>
    <row r="703">
      <c r="D703" s="46"/>
    </row>
    <row r="704">
      <c r="D704" s="46"/>
    </row>
    <row r="705">
      <c r="D705" s="46"/>
    </row>
    <row r="706">
      <c r="D706" s="46"/>
    </row>
    <row r="707">
      <c r="D707" s="46"/>
    </row>
    <row r="708">
      <c r="D708" s="46"/>
    </row>
    <row r="709">
      <c r="D709" s="46"/>
    </row>
    <row r="710">
      <c r="D710" s="46"/>
    </row>
    <row r="711">
      <c r="D711" s="46"/>
    </row>
    <row r="712">
      <c r="D712" s="46"/>
    </row>
    <row r="713">
      <c r="D713" s="46"/>
    </row>
    <row r="714">
      <c r="D714" s="46"/>
    </row>
    <row r="715">
      <c r="D715" s="46"/>
    </row>
    <row r="716">
      <c r="D716" s="46"/>
    </row>
    <row r="717">
      <c r="D717" s="46"/>
    </row>
    <row r="718">
      <c r="D718" s="46"/>
    </row>
    <row r="719">
      <c r="D719" s="46"/>
    </row>
    <row r="720">
      <c r="D720" s="46"/>
    </row>
    <row r="721">
      <c r="D721" s="46"/>
    </row>
    <row r="722">
      <c r="D722" s="46"/>
    </row>
    <row r="723">
      <c r="D723" s="46"/>
    </row>
    <row r="724">
      <c r="D724" s="46"/>
    </row>
    <row r="725">
      <c r="D725" s="46"/>
    </row>
    <row r="726">
      <c r="D726" s="46"/>
    </row>
    <row r="727">
      <c r="D727" s="46"/>
    </row>
    <row r="728">
      <c r="D728" s="46"/>
    </row>
    <row r="729">
      <c r="D729" s="46"/>
    </row>
    <row r="730">
      <c r="D730" s="46"/>
    </row>
    <row r="731">
      <c r="D731" s="46"/>
    </row>
    <row r="732">
      <c r="D732" s="46"/>
    </row>
    <row r="733">
      <c r="D733" s="46"/>
    </row>
    <row r="734">
      <c r="D734" s="46"/>
    </row>
    <row r="735">
      <c r="D735" s="46"/>
    </row>
    <row r="736">
      <c r="D736" s="46"/>
    </row>
    <row r="737">
      <c r="D737" s="46"/>
    </row>
    <row r="738">
      <c r="D738" s="46"/>
    </row>
    <row r="739">
      <c r="D739" s="46"/>
    </row>
    <row r="740">
      <c r="D740" s="46"/>
    </row>
    <row r="741">
      <c r="D741" s="46"/>
    </row>
    <row r="742">
      <c r="D742" s="46"/>
    </row>
    <row r="743">
      <c r="D743" s="46"/>
    </row>
    <row r="744">
      <c r="D744" s="46"/>
    </row>
    <row r="745">
      <c r="D745" s="46"/>
    </row>
    <row r="746">
      <c r="D746" s="46"/>
    </row>
    <row r="747">
      <c r="D747" s="46"/>
    </row>
    <row r="748">
      <c r="D748" s="46"/>
    </row>
    <row r="749">
      <c r="D749" s="46"/>
    </row>
    <row r="750">
      <c r="D750" s="46"/>
    </row>
    <row r="751">
      <c r="D751" s="46"/>
    </row>
    <row r="752">
      <c r="D752" s="46"/>
    </row>
    <row r="753">
      <c r="D753" s="46"/>
    </row>
    <row r="754">
      <c r="D754" s="46"/>
    </row>
    <row r="755">
      <c r="D755" s="46"/>
    </row>
    <row r="756">
      <c r="D756" s="46"/>
    </row>
    <row r="757">
      <c r="D757" s="46"/>
    </row>
    <row r="758">
      <c r="D758" s="46"/>
    </row>
    <row r="759">
      <c r="D759" s="46"/>
    </row>
    <row r="760">
      <c r="D760" s="46"/>
    </row>
    <row r="761">
      <c r="D761" s="46"/>
    </row>
    <row r="762">
      <c r="D762" s="46"/>
    </row>
    <row r="763">
      <c r="D763" s="46"/>
    </row>
    <row r="764">
      <c r="D764" s="46"/>
    </row>
    <row r="765">
      <c r="D765" s="46"/>
    </row>
    <row r="766">
      <c r="D766" s="46"/>
    </row>
    <row r="767">
      <c r="D767" s="46"/>
    </row>
    <row r="768">
      <c r="D768" s="46"/>
    </row>
    <row r="769">
      <c r="D769" s="46"/>
    </row>
    <row r="770">
      <c r="D770" s="46"/>
    </row>
    <row r="771">
      <c r="D771" s="46"/>
    </row>
    <row r="772">
      <c r="D772" s="46"/>
    </row>
    <row r="773">
      <c r="D773" s="46"/>
    </row>
    <row r="774">
      <c r="D774" s="46"/>
    </row>
    <row r="775">
      <c r="D775" s="46"/>
    </row>
    <row r="776">
      <c r="D776" s="46"/>
    </row>
    <row r="777">
      <c r="D777" s="46"/>
    </row>
    <row r="778">
      <c r="D778" s="46"/>
    </row>
    <row r="779">
      <c r="D779" s="46"/>
    </row>
    <row r="780">
      <c r="D780" s="46"/>
    </row>
    <row r="781">
      <c r="D781" s="46"/>
    </row>
    <row r="782">
      <c r="D782" s="46"/>
    </row>
    <row r="783">
      <c r="D783" s="46"/>
    </row>
    <row r="784">
      <c r="D784" s="46"/>
    </row>
    <row r="785">
      <c r="D785" s="46"/>
    </row>
    <row r="786">
      <c r="D786" s="46"/>
    </row>
    <row r="787">
      <c r="D787" s="46"/>
    </row>
    <row r="788">
      <c r="D788" s="46"/>
    </row>
    <row r="789">
      <c r="D789" s="46"/>
    </row>
    <row r="790">
      <c r="D790" s="46"/>
    </row>
    <row r="791">
      <c r="D791" s="46"/>
    </row>
    <row r="792">
      <c r="D792" s="46"/>
    </row>
    <row r="793">
      <c r="D793" s="46"/>
    </row>
    <row r="794">
      <c r="D794" s="46"/>
    </row>
    <row r="795">
      <c r="D795" s="46"/>
    </row>
    <row r="796">
      <c r="D796" s="46"/>
    </row>
    <row r="797">
      <c r="D797" s="46"/>
    </row>
    <row r="798">
      <c r="D798" s="46"/>
    </row>
    <row r="799">
      <c r="D799" s="46"/>
    </row>
    <row r="800">
      <c r="D800" s="46"/>
    </row>
    <row r="801">
      <c r="D801" s="46"/>
    </row>
    <row r="802">
      <c r="D802" s="46"/>
    </row>
    <row r="803">
      <c r="D803" s="46"/>
    </row>
    <row r="804">
      <c r="D804" s="46"/>
    </row>
    <row r="805">
      <c r="D805" s="46"/>
    </row>
    <row r="806">
      <c r="D806" s="46"/>
    </row>
    <row r="807">
      <c r="D807" s="46"/>
    </row>
    <row r="808">
      <c r="D808" s="46"/>
    </row>
    <row r="809">
      <c r="D809" s="46"/>
    </row>
    <row r="810">
      <c r="D810" s="46"/>
    </row>
    <row r="811">
      <c r="D811" s="46"/>
    </row>
    <row r="812">
      <c r="D812" s="46"/>
    </row>
    <row r="813">
      <c r="D813" s="46"/>
    </row>
    <row r="814">
      <c r="D814" s="46"/>
    </row>
    <row r="815">
      <c r="D815" s="46"/>
    </row>
    <row r="816">
      <c r="D816" s="46"/>
    </row>
    <row r="817">
      <c r="D817" s="46"/>
    </row>
    <row r="818">
      <c r="D818" s="46"/>
    </row>
    <row r="819">
      <c r="D819" s="46"/>
    </row>
    <row r="820">
      <c r="D820" s="46"/>
    </row>
    <row r="821">
      <c r="D821" s="46"/>
    </row>
    <row r="822">
      <c r="D822" s="46"/>
    </row>
    <row r="823">
      <c r="D823" s="46"/>
    </row>
    <row r="824">
      <c r="D824" s="46"/>
    </row>
    <row r="825">
      <c r="D825" s="46"/>
    </row>
    <row r="826">
      <c r="D826" s="46"/>
    </row>
    <row r="827">
      <c r="D827" s="46"/>
    </row>
    <row r="828">
      <c r="D828" s="46"/>
    </row>
    <row r="829">
      <c r="D829" s="46"/>
    </row>
    <row r="830">
      <c r="D830" s="46"/>
    </row>
    <row r="831">
      <c r="D831" s="46"/>
    </row>
    <row r="832">
      <c r="D832" s="46"/>
    </row>
    <row r="833">
      <c r="D833" s="46"/>
    </row>
    <row r="834">
      <c r="D834" s="46"/>
    </row>
    <row r="835">
      <c r="D835" s="46"/>
    </row>
    <row r="836">
      <c r="D836" s="46"/>
    </row>
    <row r="837">
      <c r="D837" s="46"/>
    </row>
    <row r="838">
      <c r="D838" s="46"/>
    </row>
    <row r="839">
      <c r="D839" s="46"/>
    </row>
    <row r="840">
      <c r="D840" s="46"/>
    </row>
    <row r="841">
      <c r="D841" s="46"/>
    </row>
    <row r="842">
      <c r="D842" s="46"/>
    </row>
    <row r="843">
      <c r="D843" s="46"/>
    </row>
    <row r="844">
      <c r="D844" s="46"/>
    </row>
    <row r="845">
      <c r="D845" s="46"/>
    </row>
    <row r="846">
      <c r="D846" s="46"/>
    </row>
    <row r="847">
      <c r="D847" s="46"/>
    </row>
    <row r="848">
      <c r="D848" s="46"/>
    </row>
    <row r="849">
      <c r="D849" s="46"/>
    </row>
    <row r="850">
      <c r="D850" s="46"/>
    </row>
    <row r="851">
      <c r="D851" s="46"/>
    </row>
    <row r="852">
      <c r="D852" s="46"/>
    </row>
    <row r="853">
      <c r="D853" s="46"/>
    </row>
    <row r="854">
      <c r="D854" s="46"/>
    </row>
    <row r="855">
      <c r="D855" s="46"/>
    </row>
    <row r="856">
      <c r="D856" s="46"/>
    </row>
    <row r="857">
      <c r="D857" s="46"/>
    </row>
    <row r="858">
      <c r="D858" s="46"/>
    </row>
    <row r="859">
      <c r="D859" s="46"/>
    </row>
    <row r="860">
      <c r="D860" s="46"/>
    </row>
    <row r="861">
      <c r="D861" s="46"/>
    </row>
    <row r="862">
      <c r="D862" s="46"/>
    </row>
    <row r="863">
      <c r="D863" s="46"/>
    </row>
    <row r="864">
      <c r="D864" s="46"/>
    </row>
    <row r="865">
      <c r="D865" s="46"/>
    </row>
    <row r="866">
      <c r="D866" s="46"/>
    </row>
    <row r="867">
      <c r="D867" s="46"/>
    </row>
    <row r="868">
      <c r="D868" s="46"/>
    </row>
    <row r="869">
      <c r="D869" s="46"/>
    </row>
    <row r="870">
      <c r="D870" s="46"/>
    </row>
    <row r="871">
      <c r="D871" s="46"/>
    </row>
    <row r="872">
      <c r="D872" s="46"/>
    </row>
    <row r="873">
      <c r="D873" s="46"/>
    </row>
    <row r="874">
      <c r="D874" s="46"/>
    </row>
    <row r="875">
      <c r="D875" s="46"/>
    </row>
    <row r="876">
      <c r="D876" s="46"/>
    </row>
    <row r="877">
      <c r="D877" s="46"/>
    </row>
    <row r="878">
      <c r="D878" s="46"/>
    </row>
    <row r="879">
      <c r="D879" s="46"/>
    </row>
    <row r="880">
      <c r="D880" s="46"/>
    </row>
    <row r="881">
      <c r="D881" s="46"/>
    </row>
    <row r="882">
      <c r="D882" s="46"/>
    </row>
    <row r="883">
      <c r="D883" s="46"/>
    </row>
    <row r="884">
      <c r="D884" s="46"/>
    </row>
    <row r="885">
      <c r="D885" s="46"/>
    </row>
    <row r="886">
      <c r="D886" s="46"/>
    </row>
    <row r="887">
      <c r="D887" s="46"/>
    </row>
    <row r="888">
      <c r="D888" s="46"/>
    </row>
    <row r="889">
      <c r="D889" s="46"/>
    </row>
    <row r="890">
      <c r="D890" s="46"/>
    </row>
    <row r="891">
      <c r="D891" s="46"/>
    </row>
    <row r="892">
      <c r="D892" s="46"/>
    </row>
    <row r="893">
      <c r="D893" s="46"/>
    </row>
    <row r="894">
      <c r="D894" s="46"/>
    </row>
    <row r="895">
      <c r="D895" s="46"/>
    </row>
    <row r="896">
      <c r="D896" s="46"/>
    </row>
    <row r="897">
      <c r="D897" s="46"/>
    </row>
    <row r="898">
      <c r="D898" s="46"/>
    </row>
    <row r="899">
      <c r="D899" s="46"/>
    </row>
    <row r="900">
      <c r="D900" s="46"/>
    </row>
    <row r="901">
      <c r="D901" s="46"/>
    </row>
    <row r="902">
      <c r="D902" s="46"/>
    </row>
    <row r="903">
      <c r="D903" s="46"/>
    </row>
    <row r="904">
      <c r="D904" s="46"/>
    </row>
    <row r="905">
      <c r="D905" s="46"/>
    </row>
    <row r="906">
      <c r="D906" s="46"/>
    </row>
    <row r="907">
      <c r="D907" s="46"/>
    </row>
    <row r="908">
      <c r="D908" s="46"/>
    </row>
    <row r="909">
      <c r="D909" s="46"/>
    </row>
    <row r="910">
      <c r="D910" s="46"/>
    </row>
    <row r="911">
      <c r="D911" s="46"/>
    </row>
    <row r="912">
      <c r="D912" s="46"/>
    </row>
    <row r="913">
      <c r="D913" s="46"/>
    </row>
    <row r="914">
      <c r="D914" s="46"/>
    </row>
    <row r="915">
      <c r="D915" s="46"/>
    </row>
    <row r="916">
      <c r="D916" s="46"/>
    </row>
    <row r="917">
      <c r="D917" s="46"/>
    </row>
    <row r="918">
      <c r="D918" s="46"/>
    </row>
    <row r="919">
      <c r="D919" s="46"/>
    </row>
    <row r="920">
      <c r="D920" s="46"/>
    </row>
    <row r="921">
      <c r="D921" s="46"/>
    </row>
    <row r="922">
      <c r="D922" s="46"/>
    </row>
    <row r="923">
      <c r="D923" s="46"/>
    </row>
    <row r="924">
      <c r="D924" s="46"/>
    </row>
    <row r="925">
      <c r="D925" s="46"/>
    </row>
    <row r="926">
      <c r="D926" s="46"/>
    </row>
    <row r="927">
      <c r="D927" s="46"/>
    </row>
    <row r="928">
      <c r="D928" s="46"/>
    </row>
    <row r="929">
      <c r="D929" s="46"/>
    </row>
    <row r="930">
      <c r="D930" s="46"/>
    </row>
    <row r="931">
      <c r="D931" s="46"/>
    </row>
    <row r="932">
      <c r="D932" s="46"/>
    </row>
    <row r="933">
      <c r="D933" s="46"/>
    </row>
    <row r="934">
      <c r="D934" s="46"/>
    </row>
    <row r="935">
      <c r="D935" s="46"/>
    </row>
    <row r="936">
      <c r="D936" s="46"/>
    </row>
    <row r="937">
      <c r="D937" s="46"/>
    </row>
    <row r="938">
      <c r="D938" s="46"/>
    </row>
    <row r="939">
      <c r="D939" s="46"/>
    </row>
    <row r="940">
      <c r="D940" s="46"/>
    </row>
    <row r="941">
      <c r="D941" s="46"/>
    </row>
    <row r="942">
      <c r="D942" s="46"/>
    </row>
    <row r="943">
      <c r="D943" s="46"/>
    </row>
    <row r="944">
      <c r="D944" s="46"/>
    </row>
    <row r="945">
      <c r="D945" s="46"/>
    </row>
    <row r="946">
      <c r="D946" s="46"/>
    </row>
    <row r="947">
      <c r="D947" s="46"/>
    </row>
    <row r="948">
      <c r="D948" s="46"/>
    </row>
    <row r="949">
      <c r="D949" s="46"/>
    </row>
    <row r="950">
      <c r="D950" s="46"/>
    </row>
    <row r="951">
      <c r="D951" s="46"/>
    </row>
    <row r="952">
      <c r="D952" s="46"/>
    </row>
    <row r="953">
      <c r="D953" s="46"/>
    </row>
    <row r="954">
      <c r="D954" s="46"/>
    </row>
    <row r="955">
      <c r="D955" s="46"/>
    </row>
    <row r="956">
      <c r="D956" s="46"/>
    </row>
    <row r="957">
      <c r="D957" s="46"/>
    </row>
    <row r="958">
      <c r="D958" s="46"/>
    </row>
    <row r="959">
      <c r="D959" s="46"/>
    </row>
    <row r="960">
      <c r="D960" s="46"/>
    </row>
    <row r="961">
      <c r="D961" s="46"/>
    </row>
    <row r="962">
      <c r="D962" s="46"/>
    </row>
    <row r="963">
      <c r="D963" s="46"/>
    </row>
    <row r="964">
      <c r="D964" s="46"/>
    </row>
    <row r="965">
      <c r="D965" s="46"/>
    </row>
    <row r="966">
      <c r="D966" s="46"/>
    </row>
    <row r="967">
      <c r="D967" s="46"/>
    </row>
    <row r="968">
      <c r="D968" s="46"/>
    </row>
    <row r="969">
      <c r="D969" s="46"/>
    </row>
    <row r="970">
      <c r="D970" s="46"/>
    </row>
    <row r="971">
      <c r="D971" s="46"/>
    </row>
    <row r="972">
      <c r="D972" s="46"/>
    </row>
    <row r="973">
      <c r="D973" s="46"/>
    </row>
    <row r="974">
      <c r="D974" s="46"/>
    </row>
    <row r="975">
      <c r="D975" s="46"/>
    </row>
    <row r="976">
      <c r="D976" s="46"/>
    </row>
    <row r="977">
      <c r="D977" s="46"/>
    </row>
    <row r="978">
      <c r="D978" s="46"/>
    </row>
    <row r="979">
      <c r="D979" s="46"/>
    </row>
    <row r="980">
      <c r="D980" s="46"/>
    </row>
    <row r="981">
      <c r="D981" s="46"/>
    </row>
    <row r="982">
      <c r="D982" s="46"/>
    </row>
    <row r="983">
      <c r="D983" s="46"/>
    </row>
    <row r="984">
      <c r="D984" s="46"/>
    </row>
    <row r="985">
      <c r="D985" s="46"/>
    </row>
    <row r="986">
      <c r="D986" s="46"/>
    </row>
    <row r="987">
      <c r="D987" s="46"/>
    </row>
    <row r="988">
      <c r="D988" s="46"/>
    </row>
    <row r="989">
      <c r="D989" s="46"/>
    </row>
    <row r="990">
      <c r="D990" s="46"/>
    </row>
    <row r="991">
      <c r="D991" s="46"/>
    </row>
    <row r="992">
      <c r="D992" s="46"/>
    </row>
    <row r="993">
      <c r="D993" s="46"/>
    </row>
    <row r="994">
      <c r="D994" s="46"/>
    </row>
    <row r="995">
      <c r="D995" s="46"/>
    </row>
    <row r="996">
      <c r="D996" s="46"/>
    </row>
    <row r="997">
      <c r="D997" s="46"/>
    </row>
    <row r="998">
      <c r="D998" s="46"/>
    </row>
    <row r="999">
      <c r="D999" s="46"/>
    </row>
    <row r="1000">
      <c r="D1000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11.88"/>
  </cols>
  <sheetData>
    <row r="18">
      <c r="A18" s="197" t="s">
        <v>390</v>
      </c>
      <c r="B18" s="197" t="s">
        <v>391</v>
      </c>
      <c r="C18" s="197" t="s">
        <v>392</v>
      </c>
      <c r="D18" s="197" t="s">
        <v>393</v>
      </c>
      <c r="E18" s="198"/>
      <c r="F18" s="198"/>
    </row>
    <row r="19">
      <c r="A19" s="45" t="s">
        <v>394</v>
      </c>
      <c r="B19" s="197" t="s">
        <v>395</v>
      </c>
      <c r="C19" s="198"/>
      <c r="D19" s="198"/>
      <c r="E19" s="198"/>
      <c r="F19" s="198"/>
      <c r="G19" s="198"/>
    </row>
    <row r="20">
      <c r="A20" s="45" t="s">
        <v>396</v>
      </c>
      <c r="B20" s="197" t="s">
        <v>397</v>
      </c>
      <c r="C20" s="198"/>
      <c r="D20" s="198"/>
      <c r="E20" s="198"/>
      <c r="F20" s="198"/>
      <c r="G20" s="198"/>
    </row>
    <row r="21">
      <c r="A21" s="45" t="s">
        <v>398</v>
      </c>
      <c r="B21" s="197" t="s">
        <v>399</v>
      </c>
      <c r="C21" s="198"/>
      <c r="D21" s="198"/>
      <c r="E21" s="198"/>
      <c r="F21" s="198"/>
      <c r="G21" s="198"/>
    </row>
    <row r="22">
      <c r="B22" s="198"/>
      <c r="C22" s="198"/>
      <c r="D22" s="198"/>
      <c r="E22" s="198"/>
      <c r="F22" s="198"/>
      <c r="G22" s="198"/>
    </row>
    <row r="23">
      <c r="B23" s="198"/>
      <c r="C23" s="198"/>
      <c r="D23" s="198"/>
      <c r="E23" s="198"/>
      <c r="F23" s="198"/>
      <c r="G23" s="198"/>
    </row>
  </sheetData>
  <drawing r:id="rId1"/>
</worksheet>
</file>