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games\"/>
    </mc:Choice>
  </mc:AlternateContent>
  <xr:revisionPtr revIDLastSave="0" documentId="13_ncr:1_{3FE9CEEF-25FE-49CB-9948-365EAE2F79E3}" xr6:coauthVersionLast="47" xr6:coauthVersionMax="47" xr10:uidLastSave="{00000000-0000-0000-0000-000000000000}"/>
  <bookViews>
    <workbookView xWindow="2070" yWindow="1880" windowWidth="19200" windowHeight="9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I12" i="1" s="1"/>
  <c r="P28" i="1"/>
  <c r="Q28" i="1"/>
  <c r="P29" i="1"/>
  <c r="Q29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Q27" i="1"/>
  <c r="P27" i="1"/>
  <c r="E103" i="1"/>
  <c r="E82" i="1"/>
  <c r="G82" i="1" s="1"/>
  <c r="I82" i="1" s="1"/>
  <c r="E83" i="1"/>
  <c r="E72" i="1"/>
  <c r="E71" i="1"/>
  <c r="E66" i="1"/>
  <c r="E65" i="1"/>
  <c r="E45" i="1"/>
  <c r="E30" i="1"/>
  <c r="G30" i="1" s="1"/>
  <c r="I30" i="1" s="1"/>
  <c r="E25" i="1"/>
  <c r="G25" i="1" s="1"/>
  <c r="I25" i="1" s="1"/>
  <c r="E19" i="1"/>
  <c r="G19" i="1" s="1"/>
  <c r="I19" i="1" s="1"/>
  <c r="E100" i="1"/>
  <c r="G100" i="1" s="1"/>
  <c r="E74" i="1"/>
  <c r="E69" i="1"/>
  <c r="H69" i="1" s="1"/>
  <c r="E68" i="1"/>
  <c r="H68" i="1" s="1"/>
  <c r="E63" i="1"/>
  <c r="H63" i="1" s="1"/>
  <c r="E61" i="1"/>
  <c r="H61" i="1" s="1"/>
  <c r="E59" i="1"/>
  <c r="G59" i="1" s="1"/>
  <c r="I59" i="1" s="1"/>
  <c r="E57" i="1"/>
  <c r="H57" i="1" s="1"/>
  <c r="E56" i="1"/>
  <c r="H56" i="1" s="1"/>
  <c r="E48" i="1"/>
  <c r="H48" i="1" s="1"/>
  <c r="E47" i="1"/>
  <c r="G47" i="1" s="1"/>
  <c r="I47" i="1" s="1"/>
  <c r="E42" i="1"/>
  <c r="G42" i="1" s="1"/>
  <c r="I42" i="1" s="1"/>
  <c r="E41" i="1"/>
  <c r="H41" i="1" s="1"/>
  <c r="E38" i="1"/>
  <c r="H38" i="1" s="1"/>
  <c r="E37" i="1"/>
  <c r="G37" i="1" s="1"/>
  <c r="I37" i="1" s="1"/>
  <c r="E36" i="1"/>
  <c r="G36" i="1" s="1"/>
  <c r="I36" i="1" s="1"/>
  <c r="E27" i="1"/>
  <c r="G27" i="1" s="1"/>
  <c r="I27" i="1" s="1"/>
  <c r="E53" i="1"/>
  <c r="H53" i="1" s="1"/>
  <c r="E52" i="1"/>
  <c r="G52" i="1" s="1"/>
  <c r="I52" i="1" s="1"/>
  <c r="C75" i="1"/>
  <c r="C77" i="1"/>
  <c r="E75" i="1"/>
  <c r="E21" i="1"/>
  <c r="G21" i="1" s="1"/>
  <c r="I21" i="1" s="1"/>
  <c r="E18" i="1"/>
  <c r="H18" i="1" s="1"/>
  <c r="E17" i="1"/>
  <c r="H17" i="1" s="1"/>
  <c r="E62" i="1"/>
  <c r="G62" i="1" s="1"/>
  <c r="I62" i="1" s="1"/>
  <c r="E54" i="1"/>
  <c r="H54" i="1" s="1"/>
  <c r="E70" i="1"/>
  <c r="H70" i="1" s="1"/>
  <c r="E16" i="1"/>
  <c r="H16" i="1" s="1"/>
  <c r="E15" i="1"/>
  <c r="G15" i="1" s="1"/>
  <c r="I15" i="1" s="1"/>
  <c r="E81" i="1"/>
  <c r="G81" i="1" s="1"/>
  <c r="F77" i="1"/>
  <c r="E44" i="1" s="1"/>
  <c r="F76" i="1"/>
  <c r="E102" i="1" s="1"/>
  <c r="F75" i="1"/>
  <c r="E43" i="1" s="1"/>
  <c r="F74" i="1"/>
  <c r="E101" i="1" s="1"/>
  <c r="G85" i="1"/>
  <c r="G86" i="1"/>
  <c r="G87" i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3" i="1"/>
  <c r="I3" i="1" s="1"/>
  <c r="E24" i="1"/>
  <c r="G24" i="1" s="1"/>
  <c r="I24" i="1" s="1"/>
  <c r="E23" i="1"/>
  <c r="G23" i="1" s="1"/>
  <c r="I23" i="1" s="1"/>
  <c r="E77" i="1"/>
  <c r="E22" i="1"/>
  <c r="G22" i="1" s="1"/>
  <c r="I22" i="1" s="1"/>
  <c r="E76" i="1"/>
  <c r="E80" i="1"/>
  <c r="H80" i="1" s="1"/>
  <c r="E79" i="1"/>
  <c r="H79" i="1" s="1"/>
  <c r="E51" i="1"/>
  <c r="G51" i="1" s="1"/>
  <c r="I51" i="1" s="1"/>
  <c r="C81" i="1"/>
  <c r="C80" i="1"/>
  <c r="C79" i="1"/>
  <c r="C76" i="1"/>
  <c r="C74" i="1"/>
  <c r="E34" i="1"/>
  <c r="G34" i="1" s="1"/>
  <c r="I34" i="1" s="1"/>
  <c r="E33" i="1"/>
  <c r="G33" i="1" s="1"/>
  <c r="I33" i="1" s="1"/>
  <c r="E32" i="1"/>
  <c r="G32" i="1" s="1"/>
  <c r="I32" i="1" s="1"/>
  <c r="E40" i="1"/>
  <c r="H40" i="1" s="1"/>
  <c r="E29" i="1"/>
  <c r="H29" i="1" s="1"/>
  <c r="E28" i="1"/>
  <c r="G28" i="1" s="1"/>
  <c r="I28" i="1" s="1"/>
  <c r="H82" i="1" l="1"/>
  <c r="E104" i="1"/>
  <c r="E49" i="1"/>
  <c r="G75" i="1"/>
  <c r="I75" i="1" s="1"/>
  <c r="E64" i="1"/>
  <c r="H25" i="1"/>
  <c r="H30" i="1"/>
  <c r="H19" i="1"/>
  <c r="E58" i="1"/>
  <c r="G58" i="1" s="1"/>
  <c r="I58" i="1" s="1"/>
  <c r="H81" i="1"/>
  <c r="H100" i="1"/>
  <c r="H22" i="1"/>
  <c r="H21" i="1"/>
  <c r="H47" i="1"/>
  <c r="H77" i="1"/>
  <c r="H59" i="1"/>
  <c r="G57" i="1"/>
  <c r="I57" i="1" s="1"/>
  <c r="H51" i="1"/>
  <c r="I81" i="1"/>
  <c r="H33" i="1"/>
  <c r="H23" i="1"/>
  <c r="G54" i="1"/>
  <c r="I54" i="1" s="1"/>
  <c r="G48" i="1"/>
  <c r="I48" i="1" s="1"/>
  <c r="H28" i="1"/>
  <c r="H27" i="1"/>
  <c r="H76" i="1"/>
  <c r="H74" i="1"/>
  <c r="H62" i="1"/>
  <c r="G61" i="1"/>
  <c r="I61" i="1" s="1"/>
  <c r="G41" i="1"/>
  <c r="I41" i="1" s="1"/>
  <c r="G40" i="1"/>
  <c r="I40" i="1" s="1"/>
  <c r="H52" i="1"/>
  <c r="H24" i="1"/>
  <c r="G18" i="1"/>
  <c r="I18" i="1" s="1"/>
  <c r="G17" i="1"/>
  <c r="I17" i="1" s="1"/>
  <c r="H37" i="1"/>
  <c r="G16" i="1"/>
  <c r="I16" i="1" s="1"/>
  <c r="G76" i="1"/>
  <c r="I76" i="1" s="1"/>
  <c r="G77" i="1"/>
  <c r="I77" i="1" s="1"/>
  <c r="H36" i="1"/>
  <c r="G74" i="1"/>
  <c r="I74" i="1" s="1"/>
  <c r="H49" i="1"/>
  <c r="H42" i="1"/>
  <c r="H32" i="1"/>
  <c r="G70" i="1"/>
  <c r="I70" i="1" s="1"/>
  <c r="G69" i="1"/>
  <c r="I69" i="1" s="1"/>
  <c r="H34" i="1"/>
  <c r="G68" i="1"/>
  <c r="I68" i="1" s="1"/>
  <c r="H15" i="1"/>
  <c r="G63" i="1"/>
  <c r="I63" i="1" s="1"/>
  <c r="G29" i="1"/>
  <c r="I29" i="1" s="1"/>
  <c r="G56" i="1"/>
  <c r="I56" i="1" s="1"/>
  <c r="H75" i="1"/>
  <c r="G80" i="1"/>
  <c r="I80" i="1" s="1"/>
  <c r="G53" i="1"/>
  <c r="I53" i="1" s="1"/>
  <c r="G38" i="1"/>
  <c r="I38" i="1" s="1"/>
  <c r="G79" i="1"/>
  <c r="I79" i="1" s="1"/>
  <c r="G49" i="1"/>
  <c r="I49" i="1" s="1"/>
  <c r="H58" i="1" l="1"/>
  <c r="H43" i="1"/>
  <c r="G43" i="1"/>
  <c r="I43" i="1" s="1"/>
  <c r="G44" i="1"/>
  <c r="I44" i="1" s="1"/>
  <c r="H44" i="1"/>
</calcChain>
</file>

<file path=xl/sharedStrings.xml><?xml version="1.0" encoding="utf-8"?>
<sst xmlns="http://schemas.openxmlformats.org/spreadsheetml/2006/main" count="315" uniqueCount="202">
  <si>
    <t>名称</t>
    <phoneticPr fontId="1" type="noConversion"/>
  </si>
  <si>
    <t>属性</t>
    <phoneticPr fontId="1" type="noConversion"/>
  </si>
  <si>
    <t>最高交易价格</t>
    <phoneticPr fontId="1" type="noConversion"/>
  </si>
  <si>
    <t>小麦</t>
    <phoneticPr fontId="1" type="noConversion"/>
  </si>
  <si>
    <t>玉米</t>
    <phoneticPr fontId="1" type="noConversion"/>
  </si>
  <si>
    <t>大豆</t>
    <phoneticPr fontId="1" type="noConversion"/>
  </si>
  <si>
    <t>甘蔗</t>
    <phoneticPr fontId="1" type="noConversion"/>
  </si>
  <si>
    <t>胡萝卜</t>
    <phoneticPr fontId="1" type="noConversion"/>
  </si>
  <si>
    <t>木蓝</t>
    <phoneticPr fontId="1" type="noConversion"/>
  </si>
  <si>
    <t>鸡饲料</t>
    <phoneticPr fontId="1" type="noConversion"/>
  </si>
  <si>
    <t>奶牛饲料</t>
    <phoneticPr fontId="1" type="noConversion"/>
  </si>
  <si>
    <t>猪饲料</t>
    <phoneticPr fontId="1" type="noConversion"/>
  </si>
  <si>
    <t>成本</t>
    <phoneticPr fontId="1" type="noConversion"/>
  </si>
  <si>
    <t>鸡蛋</t>
    <phoneticPr fontId="1" type="noConversion"/>
  </si>
  <si>
    <t>牛奶</t>
    <phoneticPr fontId="1" type="noConversion"/>
  </si>
  <si>
    <t>猪肉</t>
    <phoneticPr fontId="1" type="noConversion"/>
  </si>
  <si>
    <t>奶油</t>
    <phoneticPr fontId="1" type="noConversion"/>
  </si>
  <si>
    <t>黄油</t>
    <phoneticPr fontId="1" type="noConversion"/>
  </si>
  <si>
    <t>奶酪</t>
    <phoneticPr fontId="1" type="noConversion"/>
  </si>
  <si>
    <t>面包</t>
    <phoneticPr fontId="1" type="noConversion"/>
  </si>
  <si>
    <t>玉米面包</t>
    <phoneticPr fontId="1" type="noConversion"/>
  </si>
  <si>
    <t>曲奇饼</t>
    <phoneticPr fontId="1" type="noConversion"/>
  </si>
  <si>
    <t>红糖</t>
    <phoneticPr fontId="1" type="noConversion"/>
  </si>
  <si>
    <t>白糖</t>
    <phoneticPr fontId="1" type="noConversion"/>
  </si>
  <si>
    <t>爆米花</t>
    <phoneticPr fontId="1" type="noConversion"/>
  </si>
  <si>
    <t>土地</t>
    <phoneticPr fontId="1" type="noConversion"/>
  </si>
  <si>
    <t>饲料厂</t>
    <phoneticPr fontId="1" type="noConversion"/>
  </si>
  <si>
    <t>畜牧业</t>
    <phoneticPr fontId="1" type="noConversion"/>
  </si>
  <si>
    <t>乳品厂</t>
    <phoneticPr fontId="1" type="noConversion"/>
  </si>
  <si>
    <t>制糖厂</t>
    <phoneticPr fontId="1" type="noConversion"/>
  </si>
  <si>
    <t>爆米花烤锅</t>
    <phoneticPr fontId="1" type="noConversion"/>
  </si>
  <si>
    <t>面包房</t>
    <phoneticPr fontId="1" type="noConversion"/>
  </si>
  <si>
    <t>缝纫机</t>
    <phoneticPr fontId="1" type="noConversion"/>
  </si>
  <si>
    <t>织布机</t>
    <phoneticPr fontId="1" type="noConversion"/>
  </si>
  <si>
    <t>馅饼烤炉</t>
    <phoneticPr fontId="1" type="noConversion"/>
  </si>
  <si>
    <t>烧烤架</t>
    <phoneticPr fontId="1" type="noConversion"/>
  </si>
  <si>
    <t>果树与灌木丛</t>
    <phoneticPr fontId="1" type="noConversion"/>
  </si>
  <si>
    <t>绵羊饲料</t>
    <phoneticPr fontId="1" type="noConversion"/>
  </si>
  <si>
    <t>羊毛</t>
    <phoneticPr fontId="1" type="noConversion"/>
  </si>
  <si>
    <t>糖浆</t>
    <phoneticPr fontId="1" type="noConversion"/>
  </si>
  <si>
    <t>奶油爆米花</t>
    <phoneticPr fontId="1" type="noConversion"/>
  </si>
  <si>
    <t>辣味爆米花</t>
    <phoneticPr fontId="1" type="noConversion"/>
  </si>
  <si>
    <t>南瓜</t>
    <phoneticPr fontId="1" type="noConversion"/>
  </si>
  <si>
    <t>棉花</t>
    <phoneticPr fontId="1" type="noConversion"/>
  </si>
  <si>
    <t>辣椒</t>
    <phoneticPr fontId="1" type="noConversion"/>
  </si>
  <si>
    <t>棉质衬衫</t>
    <phoneticPr fontId="1" type="noConversion"/>
  </si>
  <si>
    <t>羊毛裤</t>
    <phoneticPr fontId="1" type="noConversion"/>
  </si>
  <si>
    <t>紫色连衣裙</t>
    <phoneticPr fontId="1" type="noConversion"/>
  </si>
  <si>
    <t>白毛衣</t>
    <phoneticPr fontId="1" type="noConversion"/>
  </si>
  <si>
    <t>棉布</t>
    <phoneticPr fontId="1" type="noConversion"/>
  </si>
  <si>
    <t>蓝绵帽</t>
    <phoneticPr fontId="1" type="noConversion"/>
  </si>
  <si>
    <t>蓝毛衣</t>
    <phoneticPr fontId="1" type="noConversion"/>
  </si>
  <si>
    <t>生长时间（min）</t>
    <phoneticPr fontId="1" type="noConversion"/>
  </si>
  <si>
    <t>蛋糕烤炉</t>
    <phoneticPr fontId="1" type="noConversion"/>
  </si>
  <si>
    <t>胡萝卜蛋糕</t>
    <phoneticPr fontId="1" type="noConversion"/>
  </si>
  <si>
    <t>奶油蛋糕</t>
    <phoneticPr fontId="1" type="noConversion"/>
  </si>
  <si>
    <t>红莓蛋糕</t>
    <phoneticPr fontId="1" type="noConversion"/>
  </si>
  <si>
    <t>奶酪蛋糕</t>
    <phoneticPr fontId="1" type="noConversion"/>
  </si>
  <si>
    <t>胡萝卜派</t>
    <phoneticPr fontId="1" type="noConversion"/>
  </si>
  <si>
    <t>南瓜派</t>
    <phoneticPr fontId="1" type="noConversion"/>
  </si>
  <si>
    <t>熏肉派</t>
    <phoneticPr fontId="1" type="noConversion"/>
  </si>
  <si>
    <t>小煎饼</t>
    <phoneticPr fontId="1" type="noConversion"/>
  </si>
  <si>
    <t>培根煎蛋</t>
    <phoneticPr fontId="1" type="noConversion"/>
  </si>
  <si>
    <t>汉堡包</t>
    <phoneticPr fontId="1" type="noConversion"/>
  </si>
  <si>
    <t>苹果树</t>
    <phoneticPr fontId="1" type="noConversion"/>
  </si>
  <si>
    <t>树莓丛</t>
    <phoneticPr fontId="1" type="noConversion"/>
  </si>
  <si>
    <t>樱桃树</t>
    <phoneticPr fontId="1" type="noConversion"/>
  </si>
  <si>
    <t>黑莓丛</t>
    <phoneticPr fontId="1" type="noConversion"/>
  </si>
  <si>
    <t>炼金炉</t>
    <phoneticPr fontId="1" type="noConversion"/>
  </si>
  <si>
    <t>银条</t>
    <phoneticPr fontId="1" type="noConversion"/>
  </si>
  <si>
    <t>金条</t>
    <phoneticPr fontId="1" type="noConversion"/>
  </si>
  <si>
    <t>铂金条</t>
    <phoneticPr fontId="1" type="noConversion"/>
  </si>
  <si>
    <t>矿坑</t>
    <phoneticPr fontId="1" type="noConversion"/>
  </si>
  <si>
    <t>银矿石</t>
    <phoneticPr fontId="1" type="noConversion"/>
  </si>
  <si>
    <t>金矿石</t>
    <phoneticPr fontId="1" type="noConversion"/>
  </si>
  <si>
    <t>铂金矿石</t>
    <phoneticPr fontId="1" type="noConversion"/>
  </si>
  <si>
    <t>炸药</t>
    <phoneticPr fontId="1" type="noConversion"/>
  </si>
  <si>
    <t>铁铲</t>
    <phoneticPr fontId="1" type="noConversion"/>
  </si>
  <si>
    <t>炸药桶</t>
    <phoneticPr fontId="1" type="noConversion"/>
  </si>
  <si>
    <t>树莓松饼</t>
    <phoneticPr fontId="1" type="noConversion"/>
  </si>
  <si>
    <t>黑莓松饼</t>
    <phoneticPr fontId="1" type="noConversion"/>
  </si>
  <si>
    <t>工具</t>
    <phoneticPr fontId="1" type="noConversion"/>
  </si>
  <si>
    <t>斧头</t>
    <phoneticPr fontId="1" type="noConversion"/>
  </si>
  <si>
    <t>木锯</t>
    <phoneticPr fontId="1" type="noConversion"/>
  </si>
  <si>
    <t>生产时间</t>
    <phoneticPr fontId="1" type="noConversion"/>
  </si>
  <si>
    <t>无</t>
    <phoneticPr fontId="1" type="noConversion"/>
  </si>
  <si>
    <t>利润率</t>
    <phoneticPr fontId="1" type="noConversion"/>
  </si>
  <si>
    <t>单位时间利润</t>
    <phoneticPr fontId="1" type="noConversion"/>
  </si>
  <si>
    <t>/</t>
    <phoneticPr fontId="1" type="noConversion"/>
  </si>
  <si>
    <t>利润</t>
    <phoneticPr fontId="1" type="noConversion"/>
  </si>
  <si>
    <t>作息</t>
    <phoneticPr fontId="1" type="noConversion"/>
  </si>
  <si>
    <t>早</t>
    <phoneticPr fontId="1" type="noConversion"/>
  </si>
  <si>
    <t>中</t>
    <phoneticPr fontId="1" type="noConversion"/>
  </si>
  <si>
    <t>晚</t>
    <phoneticPr fontId="1" type="noConversion"/>
  </si>
  <si>
    <t>主要任务</t>
    <phoneticPr fontId="1" type="noConversion"/>
  </si>
  <si>
    <t>开始时间</t>
    <phoneticPr fontId="1" type="noConversion"/>
  </si>
  <si>
    <t>结束时间</t>
    <phoneticPr fontId="1" type="noConversion"/>
  </si>
  <si>
    <t>持续时间</t>
    <phoneticPr fontId="1" type="noConversion"/>
  </si>
  <si>
    <t>上午</t>
    <phoneticPr fontId="1" type="noConversion"/>
  </si>
  <si>
    <t>下午</t>
    <phoneticPr fontId="1" type="noConversion"/>
  </si>
  <si>
    <t>睡觉</t>
    <phoneticPr fontId="1" type="noConversion"/>
  </si>
  <si>
    <t>销售容易程度（5简单，1最难）</t>
    <phoneticPr fontId="1" type="noConversion"/>
  </si>
  <si>
    <t>配方</t>
    <phoneticPr fontId="1" type="noConversion"/>
  </si>
  <si>
    <t>2小麦+1玉米</t>
    <phoneticPr fontId="1" type="noConversion"/>
  </si>
  <si>
    <t>1玉米+2大豆</t>
    <phoneticPr fontId="1" type="noConversion"/>
  </si>
  <si>
    <t>2面包+2猪肉</t>
    <phoneticPr fontId="1" type="noConversion"/>
  </si>
  <si>
    <t>2木蓝+2羊毛</t>
    <phoneticPr fontId="1" type="noConversion"/>
  </si>
  <si>
    <t>2小麦+3南瓜+1鸡蛋</t>
    <phoneticPr fontId="1" type="noConversion"/>
  </si>
  <si>
    <t>tips</t>
    <phoneticPr fontId="1" type="noConversion"/>
  </si>
  <si>
    <t>销售容易程度定级</t>
    <phoneticPr fontId="1" type="noConversion"/>
  </si>
  <si>
    <t>广告后0.5min内售空</t>
    <phoneticPr fontId="1" type="noConversion"/>
  </si>
  <si>
    <t>广告后1min内售空</t>
    <phoneticPr fontId="1" type="noConversion"/>
  </si>
  <si>
    <t>广告后5min内售空</t>
    <phoneticPr fontId="1" type="noConversion"/>
  </si>
  <si>
    <t>广告后10min内售空</t>
    <phoneticPr fontId="1" type="noConversion"/>
  </si>
  <si>
    <t>广告后10min外售空</t>
    <phoneticPr fontId="1" type="noConversion"/>
  </si>
  <si>
    <t>平均销售价格</t>
    <phoneticPr fontId="1" type="noConversion"/>
  </si>
  <si>
    <t>销售折价金额（相比最高价格折价金额，不用折价率是因为目的是在单位时间内套利最多）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</si>
  <si>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时间松弛</t>
    </r>
    <r>
      <rPr>
        <sz val="11"/>
        <color theme="1"/>
        <rFont val="等线"/>
        <family val="2"/>
        <scheme val="minor"/>
      </rPr>
      <t>，即间隔时间长，选间隔时间范围内</t>
    </r>
    <r>
      <rPr>
        <b/>
        <sz val="11"/>
        <color theme="1"/>
        <rFont val="等线"/>
        <family val="3"/>
        <charset val="134"/>
        <scheme val="minor"/>
      </rPr>
      <t>利润</t>
    </r>
    <r>
      <rPr>
        <sz val="11"/>
        <color theme="1"/>
        <rFont val="等线"/>
        <family val="2"/>
        <scheme val="minor"/>
      </rPr>
      <t>最大的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</si>
  <si>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时间紧张</t>
    </r>
    <r>
      <rPr>
        <sz val="11"/>
        <color theme="1"/>
        <rFont val="等线"/>
        <family val="2"/>
        <scheme val="minor"/>
      </rPr>
      <t>，选</t>
    </r>
    <r>
      <rPr>
        <b/>
        <sz val="11"/>
        <color theme="1"/>
        <rFont val="等线"/>
        <family val="3"/>
        <charset val="134"/>
        <scheme val="minor"/>
      </rPr>
      <t>单位时间利润</t>
    </r>
    <r>
      <rPr>
        <sz val="11"/>
        <color theme="1"/>
        <rFont val="等线"/>
        <family val="2"/>
        <scheme val="minor"/>
      </rPr>
      <t>最高的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</si>
  <si>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套利</t>
    </r>
    <r>
      <rPr>
        <sz val="11"/>
        <color theme="1"/>
        <rFont val="等线"/>
        <family val="2"/>
        <scheme val="minor"/>
      </rPr>
      <t>时，选择</t>
    </r>
    <r>
      <rPr>
        <b/>
        <sz val="11"/>
        <color theme="1"/>
        <rFont val="等线"/>
        <family val="3"/>
        <charset val="134"/>
        <scheme val="minor"/>
      </rPr>
      <t>折价金额</t>
    </r>
    <r>
      <rPr>
        <sz val="11"/>
        <color theme="1"/>
        <rFont val="等线"/>
        <family val="2"/>
        <scheme val="minor"/>
      </rPr>
      <t>高，且</t>
    </r>
    <r>
      <rPr>
        <b/>
        <sz val="11"/>
        <color theme="1"/>
        <rFont val="等线"/>
        <family val="3"/>
        <charset val="134"/>
        <scheme val="minor"/>
      </rPr>
      <t>销售容易</t>
    </r>
    <r>
      <rPr>
        <sz val="11"/>
        <color theme="1"/>
        <rFont val="等线"/>
        <family val="2"/>
        <scheme val="minor"/>
      </rPr>
      <t>的</t>
    </r>
    <phoneticPr fontId="1" type="noConversion"/>
  </si>
  <si>
    <t>1大豆+2胡萝卜</t>
    <phoneticPr fontId="1" type="noConversion"/>
  </si>
  <si>
    <t>3小麦+1大豆</t>
    <phoneticPr fontId="1" type="noConversion"/>
  </si>
  <si>
    <t>1鸡饲料</t>
    <phoneticPr fontId="1" type="noConversion"/>
  </si>
  <si>
    <t>1奶牛饲料</t>
    <phoneticPr fontId="1" type="noConversion"/>
  </si>
  <si>
    <t>1猪饲料</t>
    <phoneticPr fontId="1" type="noConversion"/>
  </si>
  <si>
    <t>1绵羊饲料</t>
    <phoneticPr fontId="1" type="noConversion"/>
  </si>
  <si>
    <t>3棉花</t>
    <phoneticPr fontId="1" type="noConversion"/>
  </si>
  <si>
    <t>1木蓝+1羊毛</t>
    <phoneticPr fontId="1" type="noConversion"/>
  </si>
  <si>
    <t>1牛奶</t>
    <phoneticPr fontId="1" type="noConversion"/>
  </si>
  <si>
    <t>2牛奶</t>
    <phoneticPr fontId="1" type="noConversion"/>
  </si>
  <si>
    <t>3牛奶</t>
    <phoneticPr fontId="1" type="noConversion"/>
  </si>
  <si>
    <t>1甘蔗</t>
    <phoneticPr fontId="1" type="noConversion"/>
  </si>
  <si>
    <t>2甘蔗</t>
    <phoneticPr fontId="1" type="noConversion"/>
  </si>
  <si>
    <t>4甘蔗</t>
    <phoneticPr fontId="1" type="noConversion"/>
  </si>
  <si>
    <t>2玉米</t>
    <phoneticPr fontId="1" type="noConversion"/>
  </si>
  <si>
    <t>2玉米+1黄油</t>
    <phoneticPr fontId="1" type="noConversion"/>
  </si>
  <si>
    <t>2玉米+2辣椒</t>
    <phoneticPr fontId="1" type="noConversion"/>
  </si>
  <si>
    <t>3小麦</t>
    <phoneticPr fontId="1" type="noConversion"/>
  </si>
  <si>
    <t>2玉米+2鸡蛋</t>
    <phoneticPr fontId="1" type="noConversion"/>
  </si>
  <si>
    <t>2小麦+2鸡蛋+1红糖</t>
    <phoneticPr fontId="1" type="noConversion"/>
  </si>
  <si>
    <t>2小麦+1鸡蛋+2树莓</t>
    <phoneticPr fontId="1" type="noConversion"/>
  </si>
  <si>
    <t>1小麦+2鸡蛋+2黑莓</t>
    <phoneticPr fontId="1" type="noConversion"/>
  </si>
  <si>
    <t>2棉布</t>
    <phoneticPr fontId="1" type="noConversion"/>
  </si>
  <si>
    <t>1棉布+3羊毛</t>
    <phoneticPr fontId="1" type="noConversion"/>
  </si>
  <si>
    <t>2棉布+1树莓+1木蓝</t>
    <phoneticPr fontId="1" type="noConversion"/>
  </si>
  <si>
    <t>2胡萝卜+1黄油+1红糖</t>
    <phoneticPr fontId="1" type="noConversion"/>
  </si>
  <si>
    <t>5小麦+1奶油+1白糖</t>
    <phoneticPr fontId="1" type="noConversion"/>
  </si>
  <si>
    <t>1树莓+2樱桃+1鸡蛋+1牛奶</t>
    <phoneticPr fontId="1" type="noConversion"/>
  </si>
  <si>
    <t>1曲奇饼+1奶酪</t>
    <phoneticPr fontId="1" type="noConversion"/>
  </si>
  <si>
    <t>3胡萝卜+2小麦+1鸡蛋</t>
    <phoneticPr fontId="1" type="noConversion"/>
  </si>
  <si>
    <t>3猪肉+2小麦+1鸡蛋</t>
    <phoneticPr fontId="1" type="noConversion"/>
  </si>
  <si>
    <t>3鸡蛋+1红糖</t>
    <phoneticPr fontId="1" type="noConversion"/>
  </si>
  <si>
    <t>4鸡蛋+2猪肉</t>
    <phoneticPr fontId="1" type="noConversion"/>
  </si>
  <si>
    <t>对于销售利润/利润率都较低、或者销售困难的商品，适合完成任务，且尽量保持较低的存货水平</t>
    <phoneticPr fontId="1" type="noConversion"/>
  </si>
  <si>
    <t>简单收集，洗漱间隙完成广告</t>
    <phoneticPr fontId="1" type="noConversion"/>
  </si>
  <si>
    <t>紧缺</t>
    <phoneticPr fontId="1" type="noConversion"/>
  </si>
  <si>
    <t>胡萝卜汁</t>
    <phoneticPr fontId="1" type="noConversion"/>
  </si>
  <si>
    <t>苹果派</t>
    <phoneticPr fontId="1" type="noConversion"/>
  </si>
  <si>
    <t>西红柿汁</t>
    <phoneticPr fontId="1" type="noConversion"/>
  </si>
  <si>
    <t>芝士派</t>
    <phoneticPr fontId="1" type="noConversion"/>
  </si>
  <si>
    <t>数量</t>
    <phoneticPr fontId="1" type="noConversion"/>
  </si>
  <si>
    <t>装填航运货箱</t>
    <phoneticPr fontId="1" type="noConversion"/>
  </si>
  <si>
    <t>喂食山羊</t>
    <phoneticPr fontId="1" type="noConversion"/>
  </si>
  <si>
    <t>钓鱼</t>
    <phoneticPr fontId="1" type="noConversion"/>
  </si>
  <si>
    <t>饲料</t>
    <phoneticPr fontId="1" type="noConversion"/>
  </si>
  <si>
    <t>需要物资</t>
    <phoneticPr fontId="1" type="noConversion"/>
  </si>
  <si>
    <t>max</t>
    <phoneticPr fontId="1" type="noConversion"/>
  </si>
  <si>
    <t>果汁机</t>
    <phoneticPr fontId="1" type="noConversion"/>
  </si>
  <si>
    <t>3胡萝卜</t>
    <phoneticPr fontId="1" type="noConversion"/>
  </si>
  <si>
    <t>苹果汁</t>
    <phoneticPr fontId="1" type="noConversion"/>
  </si>
  <si>
    <t>2苹果</t>
    <phoneticPr fontId="1" type="noConversion"/>
  </si>
  <si>
    <t>樱桃汁</t>
    <phoneticPr fontId="1" type="noConversion"/>
  </si>
  <si>
    <t>2樱桃</t>
    <phoneticPr fontId="1" type="noConversion"/>
  </si>
  <si>
    <t>3西红柿</t>
    <phoneticPr fontId="1" type="noConversion"/>
  </si>
  <si>
    <t>西红柿</t>
    <phoneticPr fontId="1" type="noConversion"/>
  </si>
  <si>
    <t>草莓</t>
    <phoneticPr fontId="1" type="noConversion"/>
  </si>
  <si>
    <t>山羊饲料</t>
    <phoneticPr fontId="1" type="noConversion"/>
  </si>
  <si>
    <t>1小麦+2胡萝卜+1玉米</t>
    <phoneticPr fontId="1" type="noConversion"/>
  </si>
  <si>
    <t>山羊奶</t>
    <phoneticPr fontId="1" type="noConversion"/>
  </si>
  <si>
    <t>1山羊饲料</t>
    <phoneticPr fontId="1" type="noConversion"/>
  </si>
  <si>
    <t>山羊奶酪</t>
    <phoneticPr fontId="1" type="noConversion"/>
  </si>
  <si>
    <t>2山羊奶</t>
    <phoneticPr fontId="1" type="noConversion"/>
  </si>
  <si>
    <t>比萨饼</t>
    <phoneticPr fontId="1" type="noConversion"/>
  </si>
  <si>
    <t>2小麦+1西红柿+1奶酪</t>
    <phoneticPr fontId="1" type="noConversion"/>
  </si>
  <si>
    <t>鲜鱼烧</t>
    <phoneticPr fontId="1" type="noConversion"/>
  </si>
  <si>
    <t>3苹果+2小麦+1鸡蛋+1糖浆</t>
    <phoneticPr fontId="1" type="noConversion"/>
  </si>
  <si>
    <t>3鱼片+2小麦+1鸡蛋</t>
    <phoneticPr fontId="1" type="noConversion"/>
  </si>
  <si>
    <t>鱼片</t>
    <phoneticPr fontId="1" type="noConversion"/>
  </si>
  <si>
    <t>1山羊奶酪+2小麦+1鸡蛋</t>
    <phoneticPr fontId="1" type="noConversion"/>
  </si>
  <si>
    <t>鲜鱼汉堡</t>
    <phoneticPr fontId="1" type="noConversion"/>
  </si>
  <si>
    <t>烤西红柿</t>
    <phoneticPr fontId="1" type="noConversion"/>
  </si>
  <si>
    <t>2鱼片+2面包+1辣椒</t>
    <phoneticPr fontId="1" type="noConversion"/>
  </si>
  <si>
    <t>2西红柿</t>
    <phoneticPr fontId="1" type="noConversion"/>
  </si>
  <si>
    <t>精炼煤炭</t>
    <phoneticPr fontId="1" type="noConversion"/>
  </si>
  <si>
    <t>铁锭</t>
    <phoneticPr fontId="1" type="noConversion"/>
  </si>
  <si>
    <t>煤炭</t>
    <phoneticPr fontId="1" type="noConversion"/>
  </si>
  <si>
    <t>铁矿石</t>
    <phoneticPr fontId="1" type="noConversion"/>
  </si>
  <si>
    <t>浆果汁</t>
    <phoneticPr fontId="1" type="noConversion"/>
  </si>
  <si>
    <t>1树莓+1黑莓</t>
    <phoneticPr fontId="1" type="noConversion"/>
  </si>
  <si>
    <t>十字镐</t>
    <phoneticPr fontId="1" type="noConversion"/>
  </si>
  <si>
    <t>饵料</t>
    <phoneticPr fontId="1" type="noConversion"/>
  </si>
  <si>
    <t>2羊毛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</si>
</sst>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0" fontId="0" fillId="0" borderId="0" xfId="0" applyNumberFormat="1"/>
    <xf numFmtId="0" fontId="2" fillId="2" borderId="0" xfId="0" applyFont="1" applyFill="1"/>
    <xf numFmtId="0" fontId="3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"/>
  <sheetViews>
    <sheetView tabSelected="1" zoomScaleNormal="100" workbookViewId="0">
      <pane ySplit="1" topLeftCell="A59" activePane="bottomLeft" state="frozen"/>
      <selection pane="bottomLeft" activeCell="F64" sqref="F64"/>
    </sheetView>
  </sheetViews>
  <sheetFormatPr defaultRowHeight="14" x14ac:dyDescent="0.3"/>
  <cols>
    <col min="3" max="4" width="7.6640625" customWidth="1"/>
    <col min="5" max="5" width="8.08203125" customWidth="1"/>
    <col min="6" max="6" width="12.33203125" bestFit="1" customWidth="1"/>
    <col min="14" max="14" width="12.33203125" bestFit="1" customWidth="1"/>
    <col min="15" max="16" width="8.5" bestFit="1" customWidth="1"/>
    <col min="19" max="19" width="9.1640625" bestFit="1" customWidth="1"/>
  </cols>
  <sheetData>
    <row r="1" spans="1:19" x14ac:dyDescent="0.3">
      <c r="A1" t="s">
        <v>0</v>
      </c>
      <c r="B1" t="s">
        <v>1</v>
      </c>
      <c r="C1" t="s">
        <v>52</v>
      </c>
      <c r="D1" t="s">
        <v>102</v>
      </c>
      <c r="E1" t="s">
        <v>12</v>
      </c>
      <c r="F1" t="s">
        <v>2</v>
      </c>
      <c r="G1" t="s">
        <v>89</v>
      </c>
      <c r="H1" t="s">
        <v>86</v>
      </c>
      <c r="I1" t="s">
        <v>87</v>
      </c>
      <c r="J1" t="s">
        <v>101</v>
      </c>
      <c r="K1" t="s">
        <v>115</v>
      </c>
      <c r="L1" t="s">
        <v>116</v>
      </c>
      <c r="N1">
        <v>20250125</v>
      </c>
      <c r="O1" t="s">
        <v>90</v>
      </c>
      <c r="P1" t="s">
        <v>95</v>
      </c>
      <c r="Q1" t="s">
        <v>96</v>
      </c>
      <c r="R1" t="s">
        <v>97</v>
      </c>
      <c r="S1" t="s">
        <v>94</v>
      </c>
    </row>
    <row r="2" spans="1:19" x14ac:dyDescent="0.3">
      <c r="A2" s="4" t="s">
        <v>25</v>
      </c>
      <c r="O2" t="s">
        <v>91</v>
      </c>
      <c r="P2" s="2">
        <v>0.33333333333333331</v>
      </c>
      <c r="Q2" s="2">
        <v>0.35416666666666669</v>
      </c>
      <c r="R2">
        <v>30</v>
      </c>
      <c r="S2" t="s">
        <v>154</v>
      </c>
    </row>
    <row r="3" spans="1:19" x14ac:dyDescent="0.3">
      <c r="A3" s="1" t="s">
        <v>3</v>
      </c>
      <c r="B3" t="s">
        <v>25</v>
      </c>
      <c r="C3">
        <v>2</v>
      </c>
      <c r="D3" t="s">
        <v>85</v>
      </c>
      <c r="E3">
        <v>0</v>
      </c>
      <c r="F3">
        <v>3.6</v>
      </c>
      <c r="G3">
        <f>F3-E3</f>
        <v>3.6</v>
      </c>
      <c r="H3" t="s">
        <v>88</v>
      </c>
      <c r="I3" s="1">
        <f>G3/C3</f>
        <v>1.8</v>
      </c>
      <c r="J3">
        <v>4</v>
      </c>
      <c r="O3" t="s">
        <v>98</v>
      </c>
      <c r="P3" s="2">
        <v>0.375</v>
      </c>
      <c r="Q3" s="2">
        <v>0.47916666666666669</v>
      </c>
      <c r="R3">
        <v>150</v>
      </c>
    </row>
    <row r="4" spans="1:19" x14ac:dyDescent="0.3">
      <c r="A4" s="1" t="s">
        <v>4</v>
      </c>
      <c r="B4" t="s">
        <v>25</v>
      </c>
      <c r="C4">
        <v>5</v>
      </c>
      <c r="D4" t="s">
        <v>85</v>
      </c>
      <c r="E4">
        <v>0</v>
      </c>
      <c r="F4">
        <v>7.2</v>
      </c>
      <c r="G4">
        <f t="shared" ref="G4:G77" si="0">F4-E4</f>
        <v>7.2</v>
      </c>
      <c r="H4" t="s">
        <v>88</v>
      </c>
      <c r="I4">
        <f t="shared" ref="I4:I19" si="1">G4/C4</f>
        <v>1.44</v>
      </c>
      <c r="J4">
        <v>4</v>
      </c>
      <c r="O4" t="s">
        <v>92</v>
      </c>
      <c r="P4" s="2">
        <v>0.51388888888888884</v>
      </c>
      <c r="Q4" s="2">
        <v>0.52777777777777779</v>
      </c>
      <c r="R4">
        <v>20</v>
      </c>
    </row>
    <row r="5" spans="1:19" x14ac:dyDescent="0.3">
      <c r="A5" t="s">
        <v>5</v>
      </c>
      <c r="B5" t="s">
        <v>25</v>
      </c>
      <c r="C5">
        <v>20</v>
      </c>
      <c r="D5" t="s">
        <v>85</v>
      </c>
      <c r="E5">
        <v>0</v>
      </c>
      <c r="F5">
        <v>10.8</v>
      </c>
      <c r="G5">
        <f t="shared" si="0"/>
        <v>10.8</v>
      </c>
      <c r="H5" t="s">
        <v>88</v>
      </c>
      <c r="I5">
        <f t="shared" si="1"/>
        <v>0.54</v>
      </c>
      <c r="J5">
        <v>5</v>
      </c>
      <c r="O5" t="s">
        <v>99</v>
      </c>
      <c r="P5" s="2">
        <v>0.52777777777777779</v>
      </c>
      <c r="Q5" s="2">
        <v>0.91666666666666663</v>
      </c>
      <c r="R5">
        <v>560</v>
      </c>
    </row>
    <row r="6" spans="1:19" x14ac:dyDescent="0.3">
      <c r="A6" t="s">
        <v>6</v>
      </c>
      <c r="B6" t="s">
        <v>25</v>
      </c>
      <c r="C6">
        <v>30</v>
      </c>
      <c r="D6" t="s">
        <v>85</v>
      </c>
      <c r="E6">
        <v>0</v>
      </c>
      <c r="F6">
        <v>14.4</v>
      </c>
      <c r="G6">
        <f t="shared" si="0"/>
        <v>14.4</v>
      </c>
      <c r="H6" t="s">
        <v>88</v>
      </c>
      <c r="I6">
        <f t="shared" si="1"/>
        <v>0.48000000000000004</v>
      </c>
      <c r="J6">
        <v>1</v>
      </c>
      <c r="O6" t="s">
        <v>93</v>
      </c>
      <c r="P6" s="2">
        <v>0.91666666666666663</v>
      </c>
      <c r="Q6" s="2">
        <v>0.9375</v>
      </c>
      <c r="R6">
        <v>30</v>
      </c>
    </row>
    <row r="7" spans="1:19" x14ac:dyDescent="0.3">
      <c r="A7" t="s">
        <v>7</v>
      </c>
      <c r="B7" t="s">
        <v>25</v>
      </c>
      <c r="C7">
        <v>10</v>
      </c>
      <c r="D7" t="s">
        <v>85</v>
      </c>
      <c r="E7">
        <v>0</v>
      </c>
      <c r="F7">
        <v>7.2</v>
      </c>
      <c r="G7">
        <f t="shared" si="0"/>
        <v>7.2</v>
      </c>
      <c r="H7" t="s">
        <v>88</v>
      </c>
      <c r="I7">
        <f t="shared" si="1"/>
        <v>0.72</v>
      </c>
      <c r="J7">
        <v>3</v>
      </c>
      <c r="O7" t="s">
        <v>100</v>
      </c>
      <c r="P7" s="2">
        <v>0.9375</v>
      </c>
      <c r="Q7" s="2">
        <v>0.33333333333333331</v>
      </c>
      <c r="R7">
        <v>570</v>
      </c>
    </row>
    <row r="8" spans="1:19" x14ac:dyDescent="0.3">
      <c r="A8" t="s">
        <v>8</v>
      </c>
      <c r="B8" t="s">
        <v>25</v>
      </c>
      <c r="C8">
        <v>120</v>
      </c>
      <c r="D8" t="s">
        <v>85</v>
      </c>
      <c r="E8">
        <v>0</v>
      </c>
      <c r="F8">
        <v>25.2</v>
      </c>
      <c r="G8">
        <f t="shared" si="0"/>
        <v>25.2</v>
      </c>
      <c r="H8" t="s">
        <v>88</v>
      </c>
      <c r="I8">
        <f t="shared" si="1"/>
        <v>0.21</v>
      </c>
      <c r="J8">
        <v>1</v>
      </c>
    </row>
    <row r="9" spans="1:19" x14ac:dyDescent="0.3">
      <c r="A9" t="s">
        <v>42</v>
      </c>
      <c r="B9" t="s">
        <v>25</v>
      </c>
      <c r="C9">
        <v>180</v>
      </c>
      <c r="D9" t="s">
        <v>85</v>
      </c>
      <c r="E9">
        <v>0</v>
      </c>
      <c r="F9">
        <v>32.4</v>
      </c>
      <c r="G9">
        <f t="shared" si="0"/>
        <v>32.4</v>
      </c>
      <c r="H9" t="s">
        <v>88</v>
      </c>
      <c r="I9">
        <f t="shared" si="1"/>
        <v>0.18</v>
      </c>
      <c r="J9">
        <v>2</v>
      </c>
      <c r="N9" t="s">
        <v>108</v>
      </c>
    </row>
    <row r="10" spans="1:19" x14ac:dyDescent="0.3">
      <c r="A10" t="s">
        <v>43</v>
      </c>
      <c r="B10" t="s">
        <v>25</v>
      </c>
      <c r="C10">
        <v>150</v>
      </c>
      <c r="D10" t="s">
        <v>85</v>
      </c>
      <c r="E10">
        <v>0</v>
      </c>
      <c r="F10">
        <v>28.75</v>
      </c>
      <c r="G10">
        <f t="shared" si="0"/>
        <v>28.75</v>
      </c>
      <c r="H10" t="s">
        <v>88</v>
      </c>
      <c r="I10">
        <f t="shared" si="1"/>
        <v>0.19166666666666668</v>
      </c>
      <c r="J10">
        <v>3</v>
      </c>
      <c r="N10" s="5" t="s">
        <v>117</v>
      </c>
    </row>
    <row r="11" spans="1:19" x14ac:dyDescent="0.3">
      <c r="A11" t="s">
        <v>44</v>
      </c>
      <c r="B11" t="s">
        <v>25</v>
      </c>
      <c r="C11">
        <v>240</v>
      </c>
      <c r="D11" t="s">
        <v>85</v>
      </c>
      <c r="E11">
        <v>0</v>
      </c>
      <c r="F11">
        <v>36</v>
      </c>
      <c r="G11" s="1">
        <f t="shared" si="0"/>
        <v>36</v>
      </c>
      <c r="H11" t="s">
        <v>88</v>
      </c>
      <c r="I11">
        <f t="shared" si="1"/>
        <v>0.15</v>
      </c>
      <c r="J11">
        <v>3</v>
      </c>
      <c r="N11" s="5" t="s">
        <v>118</v>
      </c>
    </row>
    <row r="12" spans="1:19" x14ac:dyDescent="0.3">
      <c r="A12" t="s">
        <v>174</v>
      </c>
      <c r="B12" t="s">
        <v>25</v>
      </c>
      <c r="C12">
        <v>360</v>
      </c>
      <c r="D12" t="s">
        <v>85</v>
      </c>
      <c r="E12">
        <v>0</v>
      </c>
      <c r="F12">
        <v>43.2</v>
      </c>
      <c r="G12" s="1">
        <f t="shared" si="0"/>
        <v>43.2</v>
      </c>
      <c r="I12">
        <f t="shared" si="1"/>
        <v>0.12000000000000001</v>
      </c>
      <c r="N12" s="5"/>
    </row>
    <row r="13" spans="1:19" x14ac:dyDescent="0.3">
      <c r="A13" t="s">
        <v>175</v>
      </c>
      <c r="B13" t="s">
        <v>25</v>
      </c>
      <c r="C13">
        <v>480</v>
      </c>
      <c r="D13" t="s">
        <v>85</v>
      </c>
      <c r="E13">
        <v>0</v>
      </c>
      <c r="F13">
        <v>50.4</v>
      </c>
      <c r="G13" s="1"/>
      <c r="N13" s="5"/>
    </row>
    <row r="14" spans="1:19" x14ac:dyDescent="0.3">
      <c r="A14" s="4" t="s">
        <v>26</v>
      </c>
      <c r="N14" s="5" t="s">
        <v>119</v>
      </c>
    </row>
    <row r="15" spans="1:19" x14ac:dyDescent="0.3">
      <c r="A15" s="1" t="s">
        <v>9</v>
      </c>
      <c r="B15" t="s">
        <v>26</v>
      </c>
      <c r="C15">
        <v>5</v>
      </c>
      <c r="D15" t="s">
        <v>103</v>
      </c>
      <c r="E15">
        <f>F3*2+F4</f>
        <v>14.4</v>
      </c>
      <c r="F15">
        <v>21</v>
      </c>
      <c r="G15">
        <f t="shared" si="0"/>
        <v>6.6</v>
      </c>
      <c r="H15">
        <f>F15/E15-1</f>
        <v>0.45833333333333326</v>
      </c>
      <c r="I15">
        <f t="shared" si="1"/>
        <v>1.3199999999999998</v>
      </c>
      <c r="N15" s="5" t="s">
        <v>153</v>
      </c>
    </row>
    <row r="16" spans="1:19" x14ac:dyDescent="0.3">
      <c r="A16" s="1" t="s">
        <v>10</v>
      </c>
      <c r="B16" t="s">
        <v>26</v>
      </c>
      <c r="C16">
        <v>10</v>
      </c>
      <c r="D16" t="s">
        <v>104</v>
      </c>
      <c r="E16">
        <f>F4+2*F5</f>
        <v>28.8</v>
      </c>
      <c r="F16">
        <v>43</v>
      </c>
      <c r="G16">
        <f t="shared" si="0"/>
        <v>14.2</v>
      </c>
      <c r="H16">
        <f t="shared" ref="H16:H19" si="2">F16/E16-1</f>
        <v>0.49305555555555558</v>
      </c>
      <c r="I16" s="1">
        <f t="shared" si="1"/>
        <v>1.42</v>
      </c>
      <c r="N16" t="s">
        <v>109</v>
      </c>
    </row>
    <row r="17" spans="1:18" x14ac:dyDescent="0.3">
      <c r="A17" t="s">
        <v>11</v>
      </c>
      <c r="B17" t="s">
        <v>26</v>
      </c>
      <c r="C17">
        <v>20</v>
      </c>
      <c r="D17" t="s">
        <v>120</v>
      </c>
      <c r="E17">
        <f>2*F7+F5</f>
        <v>25.200000000000003</v>
      </c>
      <c r="F17">
        <v>43</v>
      </c>
      <c r="G17">
        <f t="shared" si="0"/>
        <v>17.799999999999997</v>
      </c>
      <c r="H17">
        <f t="shared" si="2"/>
        <v>0.70634920634920606</v>
      </c>
      <c r="I17">
        <f t="shared" si="1"/>
        <v>0.8899999999999999</v>
      </c>
      <c r="N17">
        <v>5</v>
      </c>
      <c r="O17" t="s">
        <v>110</v>
      </c>
    </row>
    <row r="18" spans="1:18" x14ac:dyDescent="0.3">
      <c r="A18" t="s">
        <v>37</v>
      </c>
      <c r="B18" t="s">
        <v>26</v>
      </c>
      <c r="C18">
        <v>30</v>
      </c>
      <c r="D18" t="s">
        <v>121</v>
      </c>
      <c r="E18">
        <f>3*F3+F5</f>
        <v>21.6</v>
      </c>
      <c r="F18">
        <v>43</v>
      </c>
      <c r="G18" s="1">
        <f t="shared" si="0"/>
        <v>21.4</v>
      </c>
      <c r="H18" s="1">
        <f t="shared" si="2"/>
        <v>0.9907407407407407</v>
      </c>
      <c r="I18">
        <f t="shared" si="1"/>
        <v>0.71333333333333326</v>
      </c>
      <c r="N18">
        <v>4</v>
      </c>
      <c r="O18" t="s">
        <v>111</v>
      </c>
    </row>
    <row r="19" spans="1:18" x14ac:dyDescent="0.3">
      <c r="A19" t="s">
        <v>176</v>
      </c>
      <c r="B19" t="s">
        <v>26</v>
      </c>
      <c r="C19">
        <v>40</v>
      </c>
      <c r="D19" t="s">
        <v>177</v>
      </c>
      <c r="E19">
        <f>F3+2*F7+F4</f>
        <v>25.2</v>
      </c>
      <c r="F19">
        <v>43</v>
      </c>
      <c r="G19" s="1">
        <f t="shared" si="0"/>
        <v>17.8</v>
      </c>
      <c r="H19" s="1">
        <f t="shared" si="2"/>
        <v>0.7063492063492065</v>
      </c>
      <c r="I19">
        <f t="shared" si="1"/>
        <v>0.44500000000000001</v>
      </c>
    </row>
    <row r="20" spans="1:18" x14ac:dyDescent="0.3">
      <c r="A20" s="4" t="s">
        <v>27</v>
      </c>
      <c r="N20">
        <v>3</v>
      </c>
      <c r="O20" t="s">
        <v>112</v>
      </c>
    </row>
    <row r="21" spans="1:18" x14ac:dyDescent="0.3">
      <c r="A21" t="s">
        <v>13</v>
      </c>
      <c r="B21" t="s">
        <v>27</v>
      </c>
      <c r="C21">
        <v>20</v>
      </c>
      <c r="D21" t="s">
        <v>122</v>
      </c>
      <c r="E21">
        <f>F15/3</f>
        <v>7</v>
      </c>
      <c r="F21">
        <v>18</v>
      </c>
      <c r="G21">
        <f t="shared" si="0"/>
        <v>11</v>
      </c>
      <c r="H21">
        <f>F21/E21-1</f>
        <v>1.5714285714285716</v>
      </c>
      <c r="I21" s="1">
        <f t="shared" ref="I21:I81" si="3">G21/C21</f>
        <v>0.55000000000000004</v>
      </c>
      <c r="J21">
        <v>4</v>
      </c>
      <c r="N21">
        <v>2</v>
      </c>
      <c r="O21" t="s">
        <v>113</v>
      </c>
    </row>
    <row r="22" spans="1:18" x14ac:dyDescent="0.3">
      <c r="A22" t="s">
        <v>14</v>
      </c>
      <c r="B22" t="s">
        <v>27</v>
      </c>
      <c r="C22">
        <v>60</v>
      </c>
      <c r="D22" t="s">
        <v>123</v>
      </c>
      <c r="E22">
        <f>F16/3</f>
        <v>14.333333333333334</v>
      </c>
      <c r="F22">
        <v>32.4</v>
      </c>
      <c r="G22">
        <f t="shared" si="0"/>
        <v>18.066666666666663</v>
      </c>
      <c r="H22">
        <f>F22/E22-1</f>
        <v>1.2604651162790694</v>
      </c>
      <c r="I22">
        <f t="shared" si="3"/>
        <v>0.30111111111111105</v>
      </c>
      <c r="N22">
        <v>1</v>
      </c>
      <c r="O22" t="s">
        <v>114</v>
      </c>
    </row>
    <row r="23" spans="1:18" x14ac:dyDescent="0.3">
      <c r="A23" t="s">
        <v>15</v>
      </c>
      <c r="B23" t="s">
        <v>27</v>
      </c>
      <c r="C23">
        <v>240</v>
      </c>
      <c r="D23" t="s">
        <v>124</v>
      </c>
      <c r="E23">
        <f>F17/3</f>
        <v>14.333333333333334</v>
      </c>
      <c r="F23">
        <v>50</v>
      </c>
      <c r="G23">
        <f t="shared" si="0"/>
        <v>35.666666666666664</v>
      </c>
      <c r="H23">
        <f t="shared" ref="H23:H81" si="4">F23/E23-1</f>
        <v>2.4883720930232558</v>
      </c>
      <c r="I23">
        <f t="shared" si="3"/>
        <v>0.14861111111111111</v>
      </c>
    </row>
    <row r="24" spans="1:18" x14ac:dyDescent="0.3">
      <c r="A24" t="s">
        <v>38</v>
      </c>
      <c r="B24" t="s">
        <v>27</v>
      </c>
      <c r="C24">
        <v>360</v>
      </c>
      <c r="D24" t="s">
        <v>125</v>
      </c>
      <c r="E24">
        <f>F18/3</f>
        <v>14.333333333333334</v>
      </c>
      <c r="F24">
        <v>54</v>
      </c>
      <c r="G24" s="1">
        <f t="shared" si="0"/>
        <v>39.666666666666664</v>
      </c>
      <c r="H24" s="1">
        <f t="shared" si="4"/>
        <v>2.7674418604651163</v>
      </c>
      <c r="I24">
        <f t="shared" si="3"/>
        <v>0.11018518518518518</v>
      </c>
    </row>
    <row r="25" spans="1:18" x14ac:dyDescent="0.3">
      <c r="A25" t="s">
        <v>178</v>
      </c>
      <c r="B25" t="s">
        <v>27</v>
      </c>
      <c r="C25">
        <v>480</v>
      </c>
      <c r="D25" t="s">
        <v>179</v>
      </c>
      <c r="E25">
        <f>F19/3</f>
        <v>14.333333333333334</v>
      </c>
      <c r="F25">
        <v>64</v>
      </c>
      <c r="G25" s="1">
        <f t="shared" si="0"/>
        <v>49.666666666666664</v>
      </c>
      <c r="H25" s="1">
        <f t="shared" si="4"/>
        <v>3.4651162790697674</v>
      </c>
      <c r="I25">
        <f t="shared" si="3"/>
        <v>0.10347222222222222</v>
      </c>
    </row>
    <row r="26" spans="1:18" x14ac:dyDescent="0.3">
      <c r="A26" s="4" t="s">
        <v>28</v>
      </c>
      <c r="N26" t="s">
        <v>155</v>
      </c>
      <c r="O26" t="s">
        <v>160</v>
      </c>
      <c r="P26" t="s">
        <v>84</v>
      </c>
      <c r="Q26" t="s">
        <v>102</v>
      </c>
      <c r="R26" t="s">
        <v>165</v>
      </c>
    </row>
    <row r="27" spans="1:18" x14ac:dyDescent="0.3">
      <c r="A27" t="s">
        <v>16</v>
      </c>
      <c r="B27" t="s">
        <v>28</v>
      </c>
      <c r="C27">
        <v>20</v>
      </c>
      <c r="D27" t="s">
        <v>128</v>
      </c>
      <c r="E27">
        <f>F22*1</f>
        <v>32.4</v>
      </c>
      <c r="F27">
        <v>50.33</v>
      </c>
      <c r="G27">
        <f t="shared" si="0"/>
        <v>17.93</v>
      </c>
      <c r="H27" s="1">
        <f t="shared" si="4"/>
        <v>0.55339506172839514</v>
      </c>
      <c r="I27" s="1">
        <f t="shared" si="3"/>
        <v>0.89649999999999996</v>
      </c>
      <c r="N27" t="s">
        <v>39</v>
      </c>
      <c r="O27">
        <v>3</v>
      </c>
      <c r="P27">
        <f>VLOOKUP($N27,$A$1:$J$104,3,FALSE)</f>
        <v>90</v>
      </c>
      <c r="Q27" t="str">
        <f>VLOOKUP($N27,$A$1:$J$104,4,FALSE)</f>
        <v>4甘蔗</v>
      </c>
    </row>
    <row r="28" spans="1:18" x14ac:dyDescent="0.3">
      <c r="A28" t="s">
        <v>17</v>
      </c>
      <c r="B28" t="s">
        <v>28</v>
      </c>
      <c r="C28">
        <v>30</v>
      </c>
      <c r="D28" t="s">
        <v>129</v>
      </c>
      <c r="E28">
        <f>2*F22</f>
        <v>64.8</v>
      </c>
      <c r="F28">
        <v>82.7</v>
      </c>
      <c r="G28">
        <f t="shared" si="0"/>
        <v>17.900000000000006</v>
      </c>
      <c r="H28">
        <f t="shared" si="4"/>
        <v>0.27623456790123457</v>
      </c>
      <c r="I28">
        <f t="shared" si="3"/>
        <v>0.5966666666666669</v>
      </c>
      <c r="N28" t="s">
        <v>40</v>
      </c>
      <c r="O28">
        <v>5</v>
      </c>
      <c r="P28">
        <f t="shared" ref="P28:P37" si="5">VLOOKUP($N28,$A$1:$J$104,3,FALSE)</f>
        <v>60</v>
      </c>
      <c r="Q28" t="str">
        <f t="shared" ref="Q28:Q37" si="6">VLOOKUP($N28,$A$1:$J$104,4,FALSE)</f>
        <v>2玉米+1黄油</v>
      </c>
    </row>
    <row r="29" spans="1:18" x14ac:dyDescent="0.3">
      <c r="A29" t="s">
        <v>18</v>
      </c>
      <c r="B29" t="s">
        <v>28</v>
      </c>
      <c r="C29">
        <v>60</v>
      </c>
      <c r="D29" t="s">
        <v>130</v>
      </c>
      <c r="E29">
        <f>3*F22</f>
        <v>97.199999999999989</v>
      </c>
      <c r="F29">
        <v>122</v>
      </c>
      <c r="G29" s="1">
        <f t="shared" si="0"/>
        <v>24.800000000000011</v>
      </c>
      <c r="H29">
        <f t="shared" si="4"/>
        <v>0.25514403292181087</v>
      </c>
      <c r="I29">
        <f t="shared" si="3"/>
        <v>0.4133333333333335</v>
      </c>
      <c r="N29" t="s">
        <v>51</v>
      </c>
      <c r="O29">
        <v>2</v>
      </c>
      <c r="P29">
        <f t="shared" si="5"/>
        <v>180</v>
      </c>
      <c r="Q29" t="str">
        <f t="shared" si="6"/>
        <v>2木蓝+2羊毛</v>
      </c>
    </row>
    <row r="30" spans="1:18" x14ac:dyDescent="0.3">
      <c r="A30" t="s">
        <v>180</v>
      </c>
      <c r="B30" t="s">
        <v>28</v>
      </c>
      <c r="C30">
        <v>90</v>
      </c>
      <c r="D30" t="s">
        <v>181</v>
      </c>
      <c r="E30">
        <f>2*F25</f>
        <v>128</v>
      </c>
      <c r="F30">
        <v>162</v>
      </c>
      <c r="G30" s="1">
        <f t="shared" si="0"/>
        <v>34</v>
      </c>
      <c r="H30">
        <f t="shared" si="4"/>
        <v>0.265625</v>
      </c>
      <c r="I30">
        <f t="shared" si="3"/>
        <v>0.37777777777777777</v>
      </c>
    </row>
    <row r="31" spans="1:18" x14ac:dyDescent="0.3">
      <c r="A31" s="4" t="s">
        <v>29</v>
      </c>
      <c r="N31" t="s">
        <v>43</v>
      </c>
      <c r="O31">
        <v>10</v>
      </c>
      <c r="P31">
        <f t="shared" si="5"/>
        <v>150</v>
      </c>
      <c r="Q31" t="str">
        <f t="shared" si="6"/>
        <v>无</v>
      </c>
    </row>
    <row r="32" spans="1:18" x14ac:dyDescent="0.3">
      <c r="A32" t="s">
        <v>22</v>
      </c>
      <c r="B32" t="s">
        <v>29</v>
      </c>
      <c r="C32">
        <v>20</v>
      </c>
      <c r="D32" t="s">
        <v>131</v>
      </c>
      <c r="E32">
        <f>F6*1</f>
        <v>14.4</v>
      </c>
      <c r="F32">
        <v>32</v>
      </c>
      <c r="G32">
        <f t="shared" si="0"/>
        <v>17.600000000000001</v>
      </c>
      <c r="H32" s="1">
        <f t="shared" si="4"/>
        <v>1.2222222222222223</v>
      </c>
      <c r="I32" s="1">
        <f t="shared" si="3"/>
        <v>0.88000000000000012</v>
      </c>
      <c r="N32" t="s">
        <v>49</v>
      </c>
      <c r="O32" t="s">
        <v>166</v>
      </c>
      <c r="P32">
        <f t="shared" si="5"/>
        <v>30</v>
      </c>
      <c r="Q32" t="str">
        <f t="shared" si="6"/>
        <v>3棉花</v>
      </c>
    </row>
    <row r="33" spans="1:17" x14ac:dyDescent="0.3">
      <c r="A33" t="s">
        <v>23</v>
      </c>
      <c r="B33" t="s">
        <v>29</v>
      </c>
      <c r="C33">
        <v>40</v>
      </c>
      <c r="D33" t="s">
        <v>132</v>
      </c>
      <c r="E33">
        <f>F6*2</f>
        <v>28.8</v>
      </c>
      <c r="F33">
        <v>50</v>
      </c>
      <c r="G33">
        <f t="shared" si="0"/>
        <v>21.2</v>
      </c>
      <c r="H33">
        <f t="shared" si="4"/>
        <v>0.73611111111111116</v>
      </c>
      <c r="I33">
        <f t="shared" si="3"/>
        <v>0.53</v>
      </c>
      <c r="N33" t="s">
        <v>58</v>
      </c>
      <c r="O33">
        <v>2</v>
      </c>
      <c r="P33">
        <f t="shared" si="5"/>
        <v>60</v>
      </c>
      <c r="Q33" t="str">
        <f t="shared" si="6"/>
        <v>3胡萝卜+2小麦+1鸡蛋</v>
      </c>
    </row>
    <row r="34" spans="1:17" x14ac:dyDescent="0.3">
      <c r="A34" t="s">
        <v>39</v>
      </c>
      <c r="B34" t="s">
        <v>29</v>
      </c>
      <c r="C34">
        <v>90</v>
      </c>
      <c r="D34" t="s">
        <v>133</v>
      </c>
      <c r="E34">
        <f>4*F6</f>
        <v>57.6</v>
      </c>
      <c r="F34">
        <v>90</v>
      </c>
      <c r="G34" s="1">
        <f t="shared" si="0"/>
        <v>32.4</v>
      </c>
      <c r="H34">
        <f t="shared" si="4"/>
        <v>0.5625</v>
      </c>
      <c r="I34">
        <f t="shared" si="3"/>
        <v>0.36</v>
      </c>
      <c r="N34" t="s">
        <v>156</v>
      </c>
      <c r="O34">
        <v>3</v>
      </c>
      <c r="P34">
        <f t="shared" si="5"/>
        <v>30</v>
      </c>
      <c r="Q34" t="str">
        <f t="shared" si="6"/>
        <v>3胡萝卜</v>
      </c>
    </row>
    <row r="35" spans="1:17" x14ac:dyDescent="0.3">
      <c r="A35" s="4" t="s">
        <v>30</v>
      </c>
      <c r="N35" t="s">
        <v>157</v>
      </c>
      <c r="O35">
        <v>1</v>
      </c>
      <c r="P35">
        <f t="shared" si="5"/>
        <v>150</v>
      </c>
      <c r="Q35" t="str">
        <f t="shared" si="6"/>
        <v>3苹果+2小麦+1鸡蛋+1糖浆</v>
      </c>
    </row>
    <row r="36" spans="1:17" x14ac:dyDescent="0.3">
      <c r="A36" t="s">
        <v>24</v>
      </c>
      <c r="B36" t="s">
        <v>30</v>
      </c>
      <c r="C36">
        <v>30</v>
      </c>
      <c r="D36" t="s">
        <v>134</v>
      </c>
      <c r="E36">
        <f>F4*2</f>
        <v>14.4</v>
      </c>
      <c r="F36">
        <v>32.33</v>
      </c>
      <c r="G36">
        <f t="shared" si="0"/>
        <v>17.93</v>
      </c>
      <c r="H36" s="1">
        <f t="shared" si="4"/>
        <v>1.2451388888888886</v>
      </c>
      <c r="I36" s="1">
        <f t="shared" si="3"/>
        <v>0.59766666666666668</v>
      </c>
      <c r="N36" t="s">
        <v>158</v>
      </c>
      <c r="O36">
        <v>1</v>
      </c>
      <c r="P36">
        <f t="shared" si="5"/>
        <v>90</v>
      </c>
      <c r="Q36" t="str">
        <f t="shared" si="6"/>
        <v>3西红柿</v>
      </c>
    </row>
    <row r="37" spans="1:17" x14ac:dyDescent="0.3">
      <c r="A37" t="s">
        <v>40</v>
      </c>
      <c r="B37" t="s">
        <v>30</v>
      </c>
      <c r="C37">
        <v>60</v>
      </c>
      <c r="D37" t="s">
        <v>135</v>
      </c>
      <c r="E37">
        <f>2*F4+F28</f>
        <v>97.100000000000009</v>
      </c>
      <c r="F37">
        <v>126</v>
      </c>
      <c r="G37">
        <f t="shared" si="0"/>
        <v>28.899999999999991</v>
      </c>
      <c r="H37">
        <f t="shared" si="4"/>
        <v>0.29763130792996906</v>
      </c>
      <c r="I37">
        <f t="shared" si="3"/>
        <v>0.48166666666666652</v>
      </c>
      <c r="N37" t="s">
        <v>48</v>
      </c>
      <c r="O37">
        <v>2</v>
      </c>
      <c r="P37">
        <f t="shared" si="5"/>
        <v>120</v>
      </c>
      <c r="Q37" t="str">
        <f t="shared" si="6"/>
        <v>2羊毛</v>
      </c>
    </row>
    <row r="38" spans="1:17" x14ac:dyDescent="0.3">
      <c r="A38" t="s">
        <v>41</v>
      </c>
      <c r="B38" t="s">
        <v>30</v>
      </c>
      <c r="C38">
        <v>120</v>
      </c>
      <c r="D38" t="s">
        <v>136</v>
      </c>
      <c r="E38">
        <f>2*F4+2*F11</f>
        <v>86.4</v>
      </c>
      <c r="F38">
        <v>122.25</v>
      </c>
      <c r="G38" s="1">
        <f t="shared" si="0"/>
        <v>35.849999999999994</v>
      </c>
      <c r="H38">
        <f t="shared" si="4"/>
        <v>0.41493055555555536</v>
      </c>
      <c r="I38">
        <f t="shared" si="3"/>
        <v>0.29874999999999996</v>
      </c>
    </row>
    <row r="39" spans="1:17" x14ac:dyDescent="0.3">
      <c r="A39" s="4" t="s">
        <v>31</v>
      </c>
    </row>
    <row r="40" spans="1:17" x14ac:dyDescent="0.3">
      <c r="A40" s="1" t="s">
        <v>19</v>
      </c>
      <c r="B40" t="s">
        <v>31</v>
      </c>
      <c r="C40">
        <v>5</v>
      </c>
      <c r="D40" t="s">
        <v>137</v>
      </c>
      <c r="E40">
        <f>F3*3</f>
        <v>10.8</v>
      </c>
      <c r="F40">
        <v>21</v>
      </c>
      <c r="G40">
        <f t="shared" si="0"/>
        <v>10.199999999999999</v>
      </c>
      <c r="H40" s="1">
        <f t="shared" si="4"/>
        <v>0.94444444444444442</v>
      </c>
      <c r="I40" s="1">
        <f t="shared" si="3"/>
        <v>2.04</v>
      </c>
      <c r="N40" t="s">
        <v>161</v>
      </c>
    </row>
    <row r="41" spans="1:17" x14ac:dyDescent="0.3">
      <c r="A41" t="s">
        <v>20</v>
      </c>
      <c r="B41" t="s">
        <v>31</v>
      </c>
      <c r="C41">
        <v>30</v>
      </c>
      <c r="D41" t="s">
        <v>138</v>
      </c>
      <c r="E41">
        <f>F4*2+F21*2</f>
        <v>50.4</v>
      </c>
      <c r="F41">
        <v>72</v>
      </c>
      <c r="G41">
        <f t="shared" si="0"/>
        <v>21.6</v>
      </c>
      <c r="H41">
        <f t="shared" si="4"/>
        <v>0.4285714285714286</v>
      </c>
      <c r="I41">
        <f t="shared" si="3"/>
        <v>0.72000000000000008</v>
      </c>
      <c r="N41" t="s">
        <v>162</v>
      </c>
    </row>
    <row r="42" spans="1:17" x14ac:dyDescent="0.3">
      <c r="A42" t="s">
        <v>21</v>
      </c>
      <c r="B42" t="s">
        <v>31</v>
      </c>
      <c r="C42">
        <v>60</v>
      </c>
      <c r="D42" t="s">
        <v>139</v>
      </c>
      <c r="E42">
        <f>F3*2+F32+F21*2</f>
        <v>75.2</v>
      </c>
      <c r="F42">
        <v>104.25</v>
      </c>
      <c r="G42" s="1">
        <f>F42-E42</f>
        <v>29.049999999999997</v>
      </c>
      <c r="H42">
        <f t="shared" si="4"/>
        <v>0.38630319148936154</v>
      </c>
      <c r="I42">
        <f t="shared" si="3"/>
        <v>0.48416666666666663</v>
      </c>
      <c r="N42" t="s">
        <v>163</v>
      </c>
    </row>
    <row r="43" spans="1:17" x14ac:dyDescent="0.3">
      <c r="A43" t="s">
        <v>79</v>
      </c>
      <c r="B43" t="s">
        <v>31</v>
      </c>
      <c r="C43">
        <v>45</v>
      </c>
      <c r="D43" t="s">
        <v>140</v>
      </c>
      <c r="E43">
        <f>2*F75/13+2*F3+F21</f>
        <v>118.8</v>
      </c>
      <c r="F43">
        <v>140.4</v>
      </c>
      <c r="G43">
        <f t="shared" si="0"/>
        <v>21.600000000000009</v>
      </c>
      <c r="H43">
        <f t="shared" si="4"/>
        <v>0.18181818181818188</v>
      </c>
      <c r="I43">
        <f t="shared" si="3"/>
        <v>0.4800000000000002</v>
      </c>
      <c r="N43" t="s">
        <v>164</v>
      </c>
    </row>
    <row r="44" spans="1:17" x14ac:dyDescent="0.3">
      <c r="A44" t="s">
        <v>80</v>
      </c>
      <c r="B44" t="s">
        <v>31</v>
      </c>
      <c r="C44">
        <v>45</v>
      </c>
      <c r="D44" t="s">
        <v>141</v>
      </c>
      <c r="E44">
        <f>2*F77/13+F3+2*F21</f>
        <v>205.19999999999996</v>
      </c>
      <c r="F44">
        <v>226.67</v>
      </c>
      <c r="G44">
        <f t="shared" si="0"/>
        <v>21.470000000000027</v>
      </c>
      <c r="H44">
        <f t="shared" si="4"/>
        <v>0.10462962962962985</v>
      </c>
      <c r="I44">
        <f t="shared" si="3"/>
        <v>0.47711111111111171</v>
      </c>
    </row>
    <row r="45" spans="1:17" x14ac:dyDescent="0.3">
      <c r="A45" t="s">
        <v>182</v>
      </c>
      <c r="C45">
        <v>15</v>
      </c>
      <c r="D45" t="s">
        <v>183</v>
      </c>
      <c r="E45">
        <f>2*F3+F12+F29</f>
        <v>172.4</v>
      </c>
    </row>
    <row r="46" spans="1:17" x14ac:dyDescent="0.3">
      <c r="A46" s="4" t="s">
        <v>32</v>
      </c>
    </row>
    <row r="47" spans="1:17" x14ac:dyDescent="0.3">
      <c r="A47" t="s">
        <v>45</v>
      </c>
      <c r="B47" t="s">
        <v>32</v>
      </c>
      <c r="C47">
        <v>45</v>
      </c>
      <c r="D47" t="s">
        <v>142</v>
      </c>
      <c r="E47">
        <f>2*F52</f>
        <v>216</v>
      </c>
      <c r="F47">
        <v>241.2</v>
      </c>
      <c r="G47">
        <f t="shared" si="0"/>
        <v>25.199999999999989</v>
      </c>
      <c r="H47">
        <f t="shared" si="4"/>
        <v>0.1166666666666667</v>
      </c>
      <c r="I47" s="1">
        <f t="shared" si="3"/>
        <v>0.55999999999999972</v>
      </c>
    </row>
    <row r="48" spans="1:17" x14ac:dyDescent="0.3">
      <c r="A48" t="s">
        <v>46</v>
      </c>
      <c r="B48" t="s">
        <v>32</v>
      </c>
      <c r="C48">
        <v>90</v>
      </c>
      <c r="D48" t="s">
        <v>143</v>
      </c>
      <c r="E48">
        <f>F52+3*F24</f>
        <v>270</v>
      </c>
      <c r="F48">
        <v>309.60000000000002</v>
      </c>
      <c r="G48" s="1">
        <f t="shared" si="0"/>
        <v>39.600000000000023</v>
      </c>
      <c r="H48" s="1">
        <f t="shared" si="4"/>
        <v>0.14666666666666672</v>
      </c>
      <c r="I48">
        <f t="shared" si="3"/>
        <v>0.44000000000000028</v>
      </c>
    </row>
    <row r="49" spans="1:10" x14ac:dyDescent="0.3">
      <c r="A49" t="s">
        <v>47</v>
      </c>
      <c r="B49" t="s">
        <v>32</v>
      </c>
      <c r="C49">
        <v>135</v>
      </c>
      <c r="D49" t="s">
        <v>144</v>
      </c>
      <c r="E49">
        <f>2*F52+F8+F75/13</f>
        <v>288</v>
      </c>
      <c r="F49">
        <v>327.5</v>
      </c>
      <c r="G49">
        <f t="shared" si="0"/>
        <v>39.5</v>
      </c>
      <c r="H49">
        <f t="shared" si="4"/>
        <v>0.13715277777777768</v>
      </c>
      <c r="I49">
        <f t="shared" si="3"/>
        <v>0.29259259259259257</v>
      </c>
    </row>
    <row r="50" spans="1:10" x14ac:dyDescent="0.3">
      <c r="A50" s="4" t="s">
        <v>33</v>
      </c>
    </row>
    <row r="51" spans="1:10" x14ac:dyDescent="0.3">
      <c r="A51" t="s">
        <v>48</v>
      </c>
      <c r="B51" t="s">
        <v>33</v>
      </c>
      <c r="C51">
        <v>120</v>
      </c>
      <c r="D51" t="s">
        <v>201</v>
      </c>
      <c r="E51">
        <f>2*F24</f>
        <v>108</v>
      </c>
      <c r="F51">
        <v>151</v>
      </c>
      <c r="G51">
        <f t="shared" si="0"/>
        <v>43</v>
      </c>
      <c r="H51">
        <f t="shared" si="4"/>
        <v>0.39814814814814814</v>
      </c>
      <c r="I51">
        <f t="shared" si="3"/>
        <v>0.35833333333333334</v>
      </c>
    </row>
    <row r="52" spans="1:10" x14ac:dyDescent="0.3">
      <c r="A52" t="s">
        <v>49</v>
      </c>
      <c r="B52" t="s">
        <v>33</v>
      </c>
      <c r="C52">
        <v>30</v>
      </c>
      <c r="D52" t="s">
        <v>126</v>
      </c>
      <c r="E52">
        <f>3*F10</f>
        <v>86.25</v>
      </c>
      <c r="F52">
        <v>108</v>
      </c>
      <c r="G52">
        <f t="shared" si="0"/>
        <v>21.75</v>
      </c>
      <c r="H52">
        <f t="shared" si="4"/>
        <v>0.25217391304347836</v>
      </c>
      <c r="I52" s="1">
        <f t="shared" si="3"/>
        <v>0.72499999999999998</v>
      </c>
    </row>
    <row r="53" spans="1:10" x14ac:dyDescent="0.3">
      <c r="A53" t="s">
        <v>50</v>
      </c>
      <c r="B53" t="s">
        <v>33</v>
      </c>
      <c r="C53">
        <v>60</v>
      </c>
      <c r="D53" t="s">
        <v>127</v>
      </c>
      <c r="E53">
        <f>F8+F24</f>
        <v>79.2</v>
      </c>
      <c r="F53">
        <v>111</v>
      </c>
      <c r="G53">
        <f t="shared" si="0"/>
        <v>31.799999999999997</v>
      </c>
      <c r="H53" s="1">
        <f t="shared" si="4"/>
        <v>0.40151515151515138</v>
      </c>
      <c r="I53">
        <f t="shared" si="3"/>
        <v>0.52999999999999992</v>
      </c>
    </row>
    <row r="54" spans="1:10" x14ac:dyDescent="0.3">
      <c r="A54" t="s">
        <v>51</v>
      </c>
      <c r="B54" t="s">
        <v>33</v>
      </c>
      <c r="C54">
        <v>180</v>
      </c>
      <c r="D54" t="s">
        <v>106</v>
      </c>
      <c r="E54">
        <f>2*F8+2*F24</f>
        <v>158.4</v>
      </c>
      <c r="F54">
        <v>208</v>
      </c>
      <c r="G54" s="1">
        <f t="shared" si="0"/>
        <v>49.599999999999994</v>
      </c>
      <c r="H54">
        <f t="shared" si="4"/>
        <v>0.31313131313131315</v>
      </c>
      <c r="I54">
        <f t="shared" si="3"/>
        <v>0.2755555555555555</v>
      </c>
      <c r="J54">
        <v>5</v>
      </c>
    </row>
    <row r="55" spans="1:10" x14ac:dyDescent="0.3">
      <c r="A55" s="4" t="s">
        <v>53</v>
      </c>
    </row>
    <row r="56" spans="1:10" x14ac:dyDescent="0.3">
      <c r="A56" t="s">
        <v>54</v>
      </c>
      <c r="B56" t="s">
        <v>53</v>
      </c>
      <c r="C56">
        <v>90</v>
      </c>
      <c r="D56" t="s">
        <v>145</v>
      </c>
      <c r="E56">
        <f>2*F7+F28+F32</f>
        <v>129.10000000000002</v>
      </c>
      <c r="F56">
        <v>165.5</v>
      </c>
      <c r="G56">
        <f t="shared" si="0"/>
        <v>36.399999999999977</v>
      </c>
      <c r="H56">
        <f t="shared" si="4"/>
        <v>0.28195197521301285</v>
      </c>
      <c r="I56">
        <f t="shared" si="3"/>
        <v>0.40444444444444422</v>
      </c>
    </row>
    <row r="57" spans="1:10" x14ac:dyDescent="0.3">
      <c r="A57" t="s">
        <v>55</v>
      </c>
      <c r="B57" t="s">
        <v>53</v>
      </c>
      <c r="C57">
        <v>180</v>
      </c>
      <c r="D57" t="s">
        <v>146</v>
      </c>
      <c r="E57">
        <f>5*F3+F27+F33</f>
        <v>118.33</v>
      </c>
      <c r="F57">
        <v>219</v>
      </c>
      <c r="G57" s="1">
        <f t="shared" si="0"/>
        <v>100.67</v>
      </c>
      <c r="H57" s="1">
        <f t="shared" si="4"/>
        <v>0.85075635933406568</v>
      </c>
      <c r="I57" s="1">
        <f t="shared" si="3"/>
        <v>0.55927777777777776</v>
      </c>
      <c r="J57">
        <v>5</v>
      </c>
    </row>
    <row r="58" spans="1:10" x14ac:dyDescent="0.3">
      <c r="A58" t="s">
        <v>56</v>
      </c>
      <c r="B58" t="s">
        <v>53</v>
      </c>
      <c r="C58">
        <v>60</v>
      </c>
      <c r="D58" t="s">
        <v>147</v>
      </c>
      <c r="E58">
        <f>F75/13+2*F76/13+F22+F21</f>
        <v>234.00000000000003</v>
      </c>
      <c r="F58">
        <v>255.33</v>
      </c>
      <c r="G58">
        <f t="shared" si="0"/>
        <v>21.329999999999984</v>
      </c>
      <c r="H58">
        <f t="shared" si="4"/>
        <v>9.1153846153846141E-2</v>
      </c>
      <c r="I58">
        <f t="shared" si="3"/>
        <v>0.35549999999999976</v>
      </c>
    </row>
    <row r="59" spans="1:10" x14ac:dyDescent="0.3">
      <c r="A59" t="s">
        <v>57</v>
      </c>
      <c r="B59" t="s">
        <v>53</v>
      </c>
      <c r="C59">
        <v>240</v>
      </c>
      <c r="D59" t="s">
        <v>148</v>
      </c>
      <c r="E59">
        <f>F42+F29</f>
        <v>226.25</v>
      </c>
      <c r="F59">
        <v>284</v>
      </c>
      <c r="G59">
        <f t="shared" si="0"/>
        <v>57.75</v>
      </c>
      <c r="H59">
        <f t="shared" si="4"/>
        <v>0.25524861878453042</v>
      </c>
      <c r="I59">
        <f t="shared" si="3"/>
        <v>0.24062500000000001</v>
      </c>
    </row>
    <row r="60" spans="1:10" x14ac:dyDescent="0.3">
      <c r="A60" s="4" t="s">
        <v>34</v>
      </c>
    </row>
    <row r="61" spans="1:10" x14ac:dyDescent="0.3">
      <c r="A61" t="s">
        <v>58</v>
      </c>
      <c r="B61" t="s">
        <v>34</v>
      </c>
      <c r="C61">
        <v>60</v>
      </c>
      <c r="D61" t="s">
        <v>149</v>
      </c>
      <c r="E61">
        <f>3*F7+2*F3+F21</f>
        <v>46.8</v>
      </c>
      <c r="F61">
        <v>82.5</v>
      </c>
      <c r="G61">
        <f t="shared" si="0"/>
        <v>35.700000000000003</v>
      </c>
      <c r="H61" s="1">
        <f t="shared" si="4"/>
        <v>0.762820512820513</v>
      </c>
      <c r="I61" s="1">
        <f t="shared" si="3"/>
        <v>0.59500000000000008</v>
      </c>
    </row>
    <row r="62" spans="1:10" x14ac:dyDescent="0.3">
      <c r="A62" t="s">
        <v>59</v>
      </c>
      <c r="B62" t="s">
        <v>34</v>
      </c>
      <c r="C62">
        <v>120</v>
      </c>
      <c r="D62" t="s">
        <v>107</v>
      </c>
      <c r="E62">
        <f>3*F9+2*F3+F21</f>
        <v>122.39999999999999</v>
      </c>
      <c r="F62">
        <v>158</v>
      </c>
      <c r="G62">
        <f t="shared" si="0"/>
        <v>35.600000000000009</v>
      </c>
      <c r="H62">
        <f t="shared" si="4"/>
        <v>0.29084967320261446</v>
      </c>
      <c r="I62">
        <f t="shared" si="3"/>
        <v>0.29666666666666675</v>
      </c>
    </row>
    <row r="63" spans="1:10" x14ac:dyDescent="0.3">
      <c r="A63" t="s">
        <v>60</v>
      </c>
      <c r="B63" t="s">
        <v>34</v>
      </c>
      <c r="C63">
        <v>180</v>
      </c>
      <c r="D63" t="s">
        <v>150</v>
      </c>
      <c r="E63">
        <f>3*F23+2*F3+F21</f>
        <v>175.2</v>
      </c>
      <c r="F63">
        <v>219</v>
      </c>
      <c r="G63" s="1">
        <f t="shared" si="0"/>
        <v>43.800000000000011</v>
      </c>
      <c r="H63">
        <f t="shared" si="4"/>
        <v>0.25</v>
      </c>
      <c r="I63">
        <f t="shared" si="3"/>
        <v>0.2433333333333334</v>
      </c>
    </row>
    <row r="64" spans="1:10" x14ac:dyDescent="0.3">
      <c r="A64" t="s">
        <v>157</v>
      </c>
      <c r="B64" t="s">
        <v>34</v>
      </c>
      <c r="C64">
        <v>150</v>
      </c>
      <c r="D64" t="s">
        <v>185</v>
      </c>
      <c r="E64">
        <f>3*F74/13+2*F3+F21+F34</f>
        <v>234</v>
      </c>
      <c r="G64" s="1"/>
    </row>
    <row r="65" spans="1:10" x14ac:dyDescent="0.3">
      <c r="A65" t="s">
        <v>184</v>
      </c>
      <c r="B65" t="s">
        <v>34</v>
      </c>
      <c r="C65">
        <v>120</v>
      </c>
      <c r="D65" t="s">
        <v>186</v>
      </c>
      <c r="E65">
        <f>3*F98+2*F3+F21</f>
        <v>187.2</v>
      </c>
      <c r="G65" s="1"/>
    </row>
    <row r="66" spans="1:10" x14ac:dyDescent="0.3">
      <c r="A66" t="s">
        <v>159</v>
      </c>
      <c r="B66" t="s">
        <v>34</v>
      </c>
      <c r="C66">
        <v>90</v>
      </c>
      <c r="D66" t="s">
        <v>188</v>
      </c>
      <c r="E66">
        <f>F30+2*F3+F21</f>
        <v>187.2</v>
      </c>
      <c r="G66" s="1"/>
    </row>
    <row r="67" spans="1:10" x14ac:dyDescent="0.3">
      <c r="A67" s="4" t="s">
        <v>35</v>
      </c>
    </row>
    <row r="68" spans="1:10" x14ac:dyDescent="0.3">
      <c r="A68" t="s">
        <v>61</v>
      </c>
      <c r="B68" t="s">
        <v>35</v>
      </c>
      <c r="C68">
        <v>30</v>
      </c>
      <c r="D68" t="s">
        <v>151</v>
      </c>
      <c r="E68">
        <f>3*F21+F32</f>
        <v>86</v>
      </c>
      <c r="F68">
        <v>108</v>
      </c>
      <c r="G68">
        <f t="shared" si="0"/>
        <v>22</v>
      </c>
      <c r="H68">
        <f t="shared" si="4"/>
        <v>0.2558139534883721</v>
      </c>
      <c r="I68" s="1">
        <f t="shared" si="3"/>
        <v>0.73333333333333328</v>
      </c>
      <c r="J68">
        <v>4</v>
      </c>
    </row>
    <row r="69" spans="1:10" x14ac:dyDescent="0.3">
      <c r="A69" t="s">
        <v>62</v>
      </c>
      <c r="B69" t="s">
        <v>35</v>
      </c>
      <c r="C69">
        <v>60</v>
      </c>
      <c r="D69" t="s">
        <v>152</v>
      </c>
      <c r="E69">
        <f>4*F21+2*F23</f>
        <v>172</v>
      </c>
      <c r="F69">
        <v>201.5</v>
      </c>
      <c r="G69">
        <f t="shared" si="0"/>
        <v>29.5</v>
      </c>
      <c r="H69">
        <f t="shared" si="4"/>
        <v>0.17151162790697683</v>
      </c>
      <c r="I69">
        <f t="shared" si="3"/>
        <v>0.49166666666666664</v>
      </c>
    </row>
    <row r="70" spans="1:10" x14ac:dyDescent="0.3">
      <c r="A70" t="s">
        <v>63</v>
      </c>
      <c r="B70" t="s">
        <v>35</v>
      </c>
      <c r="C70">
        <v>120</v>
      </c>
      <c r="D70" t="s">
        <v>105</v>
      </c>
      <c r="E70">
        <f>2*F40+2*F23</f>
        <v>142</v>
      </c>
      <c r="F70">
        <v>180</v>
      </c>
      <c r="G70" s="1">
        <f t="shared" si="0"/>
        <v>38</v>
      </c>
      <c r="H70" s="1">
        <f t="shared" si="4"/>
        <v>0.26760563380281699</v>
      </c>
      <c r="I70">
        <f t="shared" si="3"/>
        <v>0.31666666666666665</v>
      </c>
    </row>
    <row r="71" spans="1:10" x14ac:dyDescent="0.3">
      <c r="A71" t="s">
        <v>189</v>
      </c>
      <c r="B71" t="s">
        <v>35</v>
      </c>
      <c r="C71">
        <v>120</v>
      </c>
      <c r="D71" t="s">
        <v>191</v>
      </c>
      <c r="E71">
        <f>2*F98+2*F40+F21</f>
        <v>168</v>
      </c>
      <c r="F71">
        <v>226</v>
      </c>
      <c r="G71" s="1"/>
      <c r="H71" s="1"/>
    </row>
    <row r="72" spans="1:10" x14ac:dyDescent="0.3">
      <c r="A72" t="s">
        <v>190</v>
      </c>
      <c r="B72" t="s">
        <v>35</v>
      </c>
      <c r="C72">
        <v>90</v>
      </c>
      <c r="D72" t="s">
        <v>192</v>
      </c>
      <c r="E72">
        <f>2*F12</f>
        <v>86.4</v>
      </c>
      <c r="G72" s="1"/>
      <c r="H72" s="1"/>
    </row>
    <row r="73" spans="1:10" x14ac:dyDescent="0.3">
      <c r="A73" s="4" t="s">
        <v>36</v>
      </c>
    </row>
    <row r="74" spans="1:10" x14ac:dyDescent="0.3">
      <c r="A74" t="s">
        <v>64</v>
      </c>
      <c r="B74" t="s">
        <v>36</v>
      </c>
      <c r="C74">
        <f>16*60</f>
        <v>960</v>
      </c>
      <c r="E74">
        <f>160+F96</f>
        <v>214</v>
      </c>
      <c r="F74">
        <f>39.6*13</f>
        <v>514.80000000000007</v>
      </c>
      <c r="G74">
        <f t="shared" si="0"/>
        <v>300.80000000000007</v>
      </c>
      <c r="H74" s="1">
        <f t="shared" si="4"/>
        <v>1.4056074766355144</v>
      </c>
      <c r="I74">
        <f t="shared" si="3"/>
        <v>0.31333333333333341</v>
      </c>
    </row>
    <row r="75" spans="1:10" x14ac:dyDescent="0.3">
      <c r="A75" t="s">
        <v>65</v>
      </c>
      <c r="B75" t="s">
        <v>36</v>
      </c>
      <c r="C75">
        <f>18*60</f>
        <v>1080</v>
      </c>
      <c r="E75">
        <f>220+F95</f>
        <v>256</v>
      </c>
      <c r="F75">
        <f>46.8*13</f>
        <v>608.4</v>
      </c>
      <c r="G75">
        <f>F75-E75</f>
        <v>352.4</v>
      </c>
      <c r="H75">
        <f t="shared" si="4"/>
        <v>1.3765624999999999</v>
      </c>
      <c r="I75" s="1">
        <f t="shared" si="3"/>
        <v>0.32629629629629625</v>
      </c>
      <c r="J75">
        <v>5</v>
      </c>
    </row>
    <row r="76" spans="1:10" x14ac:dyDescent="0.3">
      <c r="A76" t="s">
        <v>66</v>
      </c>
      <c r="B76" t="s">
        <v>36</v>
      </c>
      <c r="C76">
        <f>27*60</f>
        <v>1620</v>
      </c>
      <c r="E76">
        <f>410+F96</f>
        <v>464</v>
      </c>
      <c r="F76">
        <f>68.4*13</f>
        <v>889.2</v>
      </c>
      <c r="G76">
        <f t="shared" si="0"/>
        <v>425.20000000000005</v>
      </c>
      <c r="H76">
        <f t="shared" si="4"/>
        <v>0.91637931034482767</v>
      </c>
      <c r="I76">
        <f t="shared" si="3"/>
        <v>0.26246913580246917</v>
      </c>
    </row>
    <row r="77" spans="1:10" x14ac:dyDescent="0.3">
      <c r="A77" t="s">
        <v>67</v>
      </c>
      <c r="B77" t="s">
        <v>36</v>
      </c>
      <c r="C77">
        <f>31*60</f>
        <v>1860</v>
      </c>
      <c r="E77">
        <f>530+F95</f>
        <v>566</v>
      </c>
      <c r="F77">
        <f>82.8*13</f>
        <v>1076.3999999999999</v>
      </c>
      <c r="G77" s="1">
        <f t="shared" si="0"/>
        <v>510.39999999999986</v>
      </c>
      <c r="H77">
        <f t="shared" si="4"/>
        <v>0.90176678445229652</v>
      </c>
      <c r="I77">
        <f t="shared" si="3"/>
        <v>0.27440860215053758</v>
      </c>
    </row>
    <row r="78" spans="1:10" x14ac:dyDescent="0.3">
      <c r="A78" s="4" t="s">
        <v>68</v>
      </c>
    </row>
    <row r="79" spans="1:10" x14ac:dyDescent="0.3">
      <c r="A79" t="s">
        <v>69</v>
      </c>
      <c r="B79" t="s">
        <v>68</v>
      </c>
      <c r="C79">
        <f>8*60</f>
        <v>480</v>
      </c>
      <c r="E79">
        <f>3*F85</f>
        <v>54</v>
      </c>
      <c r="F79">
        <v>147</v>
      </c>
      <c r="G79">
        <f t="shared" ref="G79:G87" si="7">F79-E79</f>
        <v>93</v>
      </c>
      <c r="H79">
        <f t="shared" si="4"/>
        <v>1.7222222222222223</v>
      </c>
      <c r="I79" s="3">
        <f t="shared" si="3"/>
        <v>0.19375000000000001</v>
      </c>
    </row>
    <row r="80" spans="1:10" x14ac:dyDescent="0.3">
      <c r="A80" t="s">
        <v>70</v>
      </c>
      <c r="B80" t="s">
        <v>68</v>
      </c>
      <c r="C80">
        <f>12*60</f>
        <v>720</v>
      </c>
      <c r="E80">
        <f>3*F86</f>
        <v>64.800000000000011</v>
      </c>
      <c r="F80">
        <v>180</v>
      </c>
      <c r="G80" s="1">
        <f t="shared" si="7"/>
        <v>115.19999999999999</v>
      </c>
      <c r="H80" s="1">
        <f t="shared" si="4"/>
        <v>1.7777777777777772</v>
      </c>
      <c r="I80">
        <f t="shared" si="3"/>
        <v>0.15999999999999998</v>
      </c>
    </row>
    <row r="81" spans="1:9" x14ac:dyDescent="0.3">
      <c r="A81" t="s">
        <v>71</v>
      </c>
      <c r="B81" t="s">
        <v>68</v>
      </c>
      <c r="C81">
        <f>16*60</f>
        <v>960</v>
      </c>
      <c r="E81">
        <f>3*F87</f>
        <v>97.199999999999989</v>
      </c>
      <c r="F81">
        <v>205.2</v>
      </c>
      <c r="G81">
        <f t="shared" si="7"/>
        <v>108</v>
      </c>
      <c r="H81">
        <f t="shared" si="4"/>
        <v>1.1111111111111112</v>
      </c>
      <c r="I81">
        <f t="shared" si="3"/>
        <v>0.1125</v>
      </c>
    </row>
    <row r="82" spans="1:9" x14ac:dyDescent="0.3">
      <c r="A82" t="s">
        <v>193</v>
      </c>
      <c r="B82" t="s">
        <v>68</v>
      </c>
      <c r="C82">
        <v>360</v>
      </c>
      <c r="E82">
        <f>3*F88</f>
        <v>32.400000000000006</v>
      </c>
      <c r="F82">
        <v>108</v>
      </c>
      <c r="G82">
        <f t="shared" ref="G82" si="8">F82-E82</f>
        <v>75.599999999999994</v>
      </c>
      <c r="H82">
        <f t="shared" ref="H82" si="9">F82/E82-1</f>
        <v>2.3333333333333326</v>
      </c>
      <c r="I82">
        <f t="shared" ref="I82" si="10">G82/C82</f>
        <v>0.21</v>
      </c>
    </row>
    <row r="83" spans="1:9" x14ac:dyDescent="0.3">
      <c r="A83" t="s">
        <v>194</v>
      </c>
      <c r="B83" t="s">
        <v>68</v>
      </c>
      <c r="C83">
        <v>420</v>
      </c>
      <c r="E83">
        <f>3*F89</f>
        <v>42</v>
      </c>
    </row>
    <row r="84" spans="1:9" x14ac:dyDescent="0.3">
      <c r="A84" s="4" t="s">
        <v>72</v>
      </c>
    </row>
    <row r="85" spans="1:9" x14ac:dyDescent="0.3">
      <c r="A85" t="s">
        <v>73</v>
      </c>
      <c r="B85" t="s">
        <v>72</v>
      </c>
      <c r="F85">
        <v>18</v>
      </c>
      <c r="G85">
        <f t="shared" si="7"/>
        <v>18</v>
      </c>
    </row>
    <row r="86" spans="1:9" x14ac:dyDescent="0.3">
      <c r="A86" t="s">
        <v>74</v>
      </c>
      <c r="B86" t="s">
        <v>72</v>
      </c>
      <c r="F86">
        <v>21.6</v>
      </c>
      <c r="G86">
        <f t="shared" si="7"/>
        <v>21.6</v>
      </c>
    </row>
    <row r="87" spans="1:9" x14ac:dyDescent="0.3">
      <c r="A87" t="s">
        <v>75</v>
      </c>
      <c r="B87" t="s">
        <v>72</v>
      </c>
      <c r="F87">
        <v>32.4</v>
      </c>
      <c r="G87">
        <f t="shared" si="7"/>
        <v>32.4</v>
      </c>
    </row>
    <row r="88" spans="1:9" x14ac:dyDescent="0.3">
      <c r="A88" t="s">
        <v>195</v>
      </c>
      <c r="B88" t="s">
        <v>72</v>
      </c>
      <c r="F88">
        <v>10.8</v>
      </c>
    </row>
    <row r="89" spans="1:9" x14ac:dyDescent="0.3">
      <c r="A89" t="s">
        <v>196</v>
      </c>
      <c r="B89" t="s">
        <v>72</v>
      </c>
      <c r="F89">
        <v>14</v>
      </c>
    </row>
    <row r="90" spans="1:9" x14ac:dyDescent="0.3">
      <c r="A90" s="4" t="s">
        <v>81</v>
      </c>
    </row>
    <row r="91" spans="1:9" x14ac:dyDescent="0.3">
      <c r="A91" t="s">
        <v>76</v>
      </c>
      <c r="B91" t="s">
        <v>81</v>
      </c>
      <c r="F91">
        <v>25.2</v>
      </c>
    </row>
    <row r="92" spans="1:9" x14ac:dyDescent="0.3">
      <c r="A92" t="s">
        <v>78</v>
      </c>
      <c r="B92" t="s">
        <v>81</v>
      </c>
      <c r="F92">
        <v>72</v>
      </c>
    </row>
    <row r="93" spans="1:9" x14ac:dyDescent="0.3">
      <c r="A93" t="s">
        <v>77</v>
      </c>
      <c r="B93" t="s">
        <v>81</v>
      </c>
      <c r="F93">
        <v>108</v>
      </c>
    </row>
    <row r="94" spans="1:9" x14ac:dyDescent="0.3">
      <c r="A94" t="s">
        <v>199</v>
      </c>
      <c r="B94" t="s">
        <v>81</v>
      </c>
    </row>
    <row r="95" spans="1:9" x14ac:dyDescent="0.3">
      <c r="A95" t="s">
        <v>82</v>
      </c>
      <c r="B95" t="s">
        <v>81</v>
      </c>
      <c r="F95">
        <v>36</v>
      </c>
    </row>
    <row r="96" spans="1:9" x14ac:dyDescent="0.3">
      <c r="A96" t="s">
        <v>83</v>
      </c>
      <c r="B96" t="s">
        <v>81</v>
      </c>
      <c r="F96">
        <v>54</v>
      </c>
    </row>
    <row r="97" spans="1:8" x14ac:dyDescent="0.3">
      <c r="A97" s="4" t="s">
        <v>163</v>
      </c>
    </row>
    <row r="98" spans="1:8" x14ac:dyDescent="0.3">
      <c r="A98" t="s">
        <v>187</v>
      </c>
      <c r="B98" t="s">
        <v>200</v>
      </c>
      <c r="F98">
        <v>54</v>
      </c>
    </row>
    <row r="99" spans="1:8" x14ac:dyDescent="0.3">
      <c r="A99" s="4" t="s">
        <v>167</v>
      </c>
    </row>
    <row r="100" spans="1:8" x14ac:dyDescent="0.3">
      <c r="A100" t="s">
        <v>156</v>
      </c>
      <c r="B100" t="s">
        <v>167</v>
      </c>
      <c r="C100">
        <v>30</v>
      </c>
      <c r="D100" t="s">
        <v>168</v>
      </c>
      <c r="E100">
        <f>3*F7</f>
        <v>21.6</v>
      </c>
      <c r="F100">
        <v>46</v>
      </c>
      <c r="G100">
        <f t="shared" ref="G100" si="11">F100-E100</f>
        <v>24.4</v>
      </c>
      <c r="H100">
        <f t="shared" ref="H100" si="12">F100/E100-1</f>
        <v>1.1296296296296293</v>
      </c>
    </row>
    <row r="101" spans="1:8" x14ac:dyDescent="0.3">
      <c r="A101" t="s">
        <v>169</v>
      </c>
      <c r="B101" t="s">
        <v>167</v>
      </c>
      <c r="C101">
        <v>120</v>
      </c>
      <c r="D101" t="s">
        <v>170</v>
      </c>
      <c r="E101">
        <f>2*F74/13</f>
        <v>79.200000000000017</v>
      </c>
    </row>
    <row r="102" spans="1:8" x14ac:dyDescent="0.3">
      <c r="A102" t="s">
        <v>171</v>
      </c>
      <c r="B102" t="s">
        <v>167</v>
      </c>
      <c r="C102">
        <v>150</v>
      </c>
      <c r="D102" t="s">
        <v>172</v>
      </c>
      <c r="E102">
        <f>2*F76/13</f>
        <v>136.80000000000001</v>
      </c>
      <c r="F102">
        <v>216</v>
      </c>
    </row>
    <row r="103" spans="1:8" x14ac:dyDescent="0.3">
      <c r="A103" t="s">
        <v>158</v>
      </c>
      <c r="B103" t="s">
        <v>167</v>
      </c>
      <c r="C103">
        <v>90</v>
      </c>
      <c r="D103" t="s">
        <v>173</v>
      </c>
      <c r="E103">
        <f>3*F12</f>
        <v>129.60000000000002</v>
      </c>
      <c r="F103">
        <v>162</v>
      </c>
    </row>
    <row r="104" spans="1:8" x14ac:dyDescent="0.3">
      <c r="A104" t="s">
        <v>197</v>
      </c>
      <c r="B104" t="s">
        <v>167</v>
      </c>
      <c r="C104">
        <v>180</v>
      </c>
      <c r="D104" t="s">
        <v>198</v>
      </c>
      <c r="E104">
        <f>F75/13+F77/13</f>
        <v>129.59999999999997</v>
      </c>
      <c r="F104">
        <v>205</v>
      </c>
    </row>
  </sheetData>
  <phoneticPr fontId="1" type="noConversion"/>
  <conditionalFormatting sqref="G3:G1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1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G2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3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G3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3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:G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:G4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1:G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6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:G7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:G7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9:G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1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2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3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3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:H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7:H4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1:H5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6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8:H7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:H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:H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I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I3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I3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:I3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:I4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7:I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1:I5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5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6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8:I7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4:I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9:I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M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chang gong</cp:lastModifiedBy>
  <dcterms:created xsi:type="dcterms:W3CDTF">2015-06-05T18:19:34Z</dcterms:created>
  <dcterms:modified xsi:type="dcterms:W3CDTF">2025-02-04T13:40:14Z</dcterms:modified>
</cp:coreProperties>
</file>