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E3" i="2" l="1"/>
  <c r="E2" i="2"/>
  <c r="F3" i="2" l="1"/>
  <c r="F4" i="2"/>
  <c r="F5" i="2"/>
  <c r="F6" i="2"/>
  <c r="F7" i="2"/>
  <c r="F2" i="2"/>
  <c r="E7" i="2"/>
  <c r="E6" i="2"/>
  <c r="E5" i="2"/>
  <c r="E4" i="2"/>
  <c r="I20" i="1"/>
  <c r="H28" i="1"/>
  <c r="B28" i="1"/>
  <c r="H33" i="1"/>
  <c r="B33" i="1"/>
  <c r="J33" i="1"/>
  <c r="J32" i="1"/>
  <c r="J31" i="1"/>
  <c r="J30" i="1"/>
  <c r="J29" i="1"/>
  <c r="L33" i="1" l="1"/>
  <c r="L32" i="1"/>
  <c r="L31" i="1"/>
  <c r="L30" i="1"/>
  <c r="L29" i="1"/>
  <c r="E28" i="1"/>
  <c r="K28" i="1" s="1"/>
  <c r="K29" i="1"/>
  <c r="K30" i="1"/>
  <c r="K31" i="1"/>
  <c r="K32" i="1"/>
  <c r="K33" i="1"/>
  <c r="I33" i="1"/>
  <c r="E33" i="1"/>
  <c r="I29" i="1"/>
  <c r="I30" i="1"/>
  <c r="I31" i="1"/>
  <c r="I32" i="1"/>
  <c r="I28" i="1"/>
  <c r="E32" i="1"/>
  <c r="E31" i="1"/>
  <c r="E30" i="1"/>
  <c r="E29" i="1"/>
  <c r="H32" i="1"/>
  <c r="B31" i="1"/>
  <c r="H30" i="1"/>
  <c r="H31" i="1"/>
  <c r="H29" i="1"/>
  <c r="I2" i="1"/>
  <c r="F2" i="1" s="1"/>
  <c r="K3" i="1"/>
  <c r="B32" i="1"/>
  <c r="B30" i="1"/>
  <c r="B29" i="1"/>
  <c r="K22" i="1"/>
  <c r="J22" i="1"/>
  <c r="I22" i="1"/>
  <c r="F22" i="1" s="1"/>
  <c r="I21" i="1"/>
  <c r="J21" i="1"/>
  <c r="G21" i="1" s="1"/>
  <c r="F21" i="1"/>
  <c r="J20" i="1"/>
  <c r="G20" i="1" s="1"/>
  <c r="F20" i="1"/>
  <c r="J19" i="1"/>
  <c r="G19" i="1" s="1"/>
  <c r="I18" i="1"/>
  <c r="F18" i="1" s="1"/>
  <c r="I19" i="1"/>
  <c r="I17" i="1"/>
  <c r="J18" i="1"/>
  <c r="G18" i="1" s="1"/>
  <c r="J17" i="1"/>
  <c r="G17" i="1" s="1"/>
  <c r="J15" i="1"/>
  <c r="G15" i="1" s="1"/>
  <c r="I15" i="1"/>
  <c r="F15" i="1" s="1"/>
  <c r="J13" i="1"/>
  <c r="G13" i="1" s="1"/>
  <c r="I13" i="1"/>
  <c r="F13" i="1" s="1"/>
  <c r="J14" i="1"/>
  <c r="G14" i="1" s="1"/>
  <c r="I14" i="1"/>
  <c r="J16" i="1"/>
  <c r="G16" i="1" s="1"/>
  <c r="I16" i="1"/>
  <c r="F16" i="1" s="1"/>
  <c r="J12" i="1"/>
  <c r="G12" i="1" s="1"/>
  <c r="I12" i="1"/>
  <c r="F12" i="1" s="1"/>
  <c r="J11" i="1"/>
  <c r="G11" i="1" s="1"/>
  <c r="I11" i="1"/>
  <c r="F11" i="1" s="1"/>
  <c r="J10" i="1"/>
  <c r="G10" i="1" s="1"/>
  <c r="I10" i="1"/>
  <c r="F10" i="1" s="1"/>
  <c r="J9" i="1"/>
  <c r="G9" i="1" s="1"/>
  <c r="I9" i="1"/>
  <c r="F9" i="1" s="1"/>
  <c r="J8" i="1"/>
  <c r="G8" i="1" s="1"/>
  <c r="I8" i="1"/>
  <c r="F8" i="1" s="1"/>
  <c r="J7" i="1"/>
  <c r="G7" i="1" s="1"/>
  <c r="I7" i="1"/>
  <c r="J6" i="1"/>
  <c r="G6" i="1" s="1"/>
  <c r="I6" i="1"/>
  <c r="F6" i="1" s="1"/>
  <c r="J5" i="1"/>
  <c r="I5" i="1"/>
  <c r="F5" i="1" s="1"/>
  <c r="J4" i="1"/>
  <c r="G4" i="1" s="1"/>
  <c r="I4" i="1"/>
  <c r="F4" i="1" s="1"/>
  <c r="J3" i="1"/>
  <c r="G3" i="1" s="1"/>
  <c r="I3" i="1"/>
  <c r="F3" i="1" s="1"/>
  <c r="K21" i="1"/>
  <c r="H21" i="1" s="1"/>
  <c r="E21" i="1" s="1"/>
  <c r="K20" i="1"/>
  <c r="H20" i="1" s="1"/>
  <c r="K19" i="1"/>
  <c r="H19" i="1" s="1"/>
  <c r="K18" i="1"/>
  <c r="H18" i="1" s="1"/>
  <c r="E18" i="1" s="1"/>
  <c r="K17" i="1"/>
  <c r="H17" i="1" s="1"/>
  <c r="K16" i="1"/>
  <c r="H16" i="1" s="1"/>
  <c r="K15" i="1"/>
  <c r="H15" i="1" s="1"/>
  <c r="K14" i="1"/>
  <c r="H14" i="1" s="1"/>
  <c r="E14" i="1" s="1"/>
  <c r="K13" i="1"/>
  <c r="H13" i="1" s="1"/>
  <c r="E3" i="1"/>
  <c r="G5" i="1"/>
  <c r="G22" i="1"/>
  <c r="F7" i="1"/>
  <c r="F14" i="1"/>
  <c r="F17" i="1"/>
  <c r="F19" i="1"/>
  <c r="J2" i="1"/>
  <c r="G2" i="1" s="1"/>
  <c r="K4" i="1"/>
  <c r="H4" i="1" s="1"/>
  <c r="H3" i="1"/>
  <c r="K2" i="1"/>
  <c r="H2" i="1" s="1"/>
  <c r="K12" i="1"/>
  <c r="H12" i="1" s="1"/>
  <c r="K11" i="1"/>
  <c r="H11" i="1" s="1"/>
  <c r="K10" i="1"/>
  <c r="H10" i="1" s="1"/>
  <c r="K9" i="1"/>
  <c r="H9" i="1" s="1"/>
  <c r="E9" i="1" s="1"/>
  <c r="K8" i="1"/>
  <c r="H8" i="1" s="1"/>
  <c r="H22" i="1"/>
  <c r="K7" i="1"/>
  <c r="H7" i="1" s="1"/>
  <c r="K6" i="1"/>
  <c r="H6" i="1" s="1"/>
  <c r="K5" i="1"/>
  <c r="H5" i="1" s="1"/>
  <c r="E19" i="1" l="1"/>
  <c r="E15" i="1"/>
  <c r="E16" i="1"/>
  <c r="E10" i="1"/>
  <c r="E11" i="1" s="1"/>
  <c r="E12" i="1" s="1"/>
  <c r="E4" i="1"/>
  <c r="E5" i="1" s="1"/>
  <c r="E6" i="1" s="1"/>
  <c r="E7" i="1" s="1"/>
</calcChain>
</file>

<file path=xl/sharedStrings.xml><?xml version="1.0" encoding="utf-8"?>
<sst xmlns="http://schemas.openxmlformats.org/spreadsheetml/2006/main" count="91" uniqueCount="85">
  <si>
    <t>predicting_year</t>
    <phoneticPr fontId="1" type="noConversion"/>
  </si>
  <si>
    <t>training_predicting_year</t>
    <phoneticPr fontId="1" type="noConversion"/>
  </si>
  <si>
    <t>2012-2013</t>
    <phoneticPr fontId="1" type="noConversion"/>
  </si>
  <si>
    <t>w1_2013</t>
    <phoneticPr fontId="1" type="noConversion"/>
  </si>
  <si>
    <t>weights_name</t>
    <phoneticPr fontId="1" type="noConversion"/>
  </si>
  <si>
    <t>2012-2014</t>
    <phoneticPr fontId="1" type="noConversion"/>
  </si>
  <si>
    <t>2012-2015</t>
    <phoneticPr fontId="1" type="noConversion"/>
  </si>
  <si>
    <t>2012-2016</t>
    <phoneticPr fontId="1" type="noConversion"/>
  </si>
  <si>
    <t>2012-2017</t>
    <phoneticPr fontId="1" type="noConversion"/>
  </si>
  <si>
    <t>2012-2018</t>
    <phoneticPr fontId="1" type="noConversion"/>
  </si>
  <si>
    <t>w1_2014</t>
    <phoneticPr fontId="1" type="noConversion"/>
  </si>
  <si>
    <t>w1_2015</t>
    <phoneticPr fontId="1" type="noConversion"/>
  </si>
  <si>
    <t>w1_2016</t>
    <phoneticPr fontId="1" type="noConversion"/>
  </si>
  <si>
    <t>w1_2017</t>
    <phoneticPr fontId="1" type="noConversion"/>
  </si>
  <si>
    <t>w1_2018</t>
    <phoneticPr fontId="1" type="noConversion"/>
  </si>
  <si>
    <t>2013-2014</t>
    <phoneticPr fontId="1" type="noConversion"/>
  </si>
  <si>
    <t>2013-2015</t>
    <phoneticPr fontId="1" type="noConversion"/>
  </si>
  <si>
    <t>2013-2016</t>
    <phoneticPr fontId="1" type="noConversion"/>
  </si>
  <si>
    <t>2013-2017</t>
    <phoneticPr fontId="1" type="noConversion"/>
  </si>
  <si>
    <t>2013-2018</t>
    <phoneticPr fontId="1" type="noConversion"/>
  </si>
  <si>
    <t>w2_2014</t>
    <phoneticPr fontId="1" type="noConversion"/>
  </si>
  <si>
    <t>w2_2015</t>
    <phoneticPr fontId="1" type="noConversion"/>
  </si>
  <si>
    <t>w2_2016</t>
    <phoneticPr fontId="1" type="noConversion"/>
  </si>
  <si>
    <t>w2_2017</t>
    <phoneticPr fontId="1" type="noConversion"/>
  </si>
  <si>
    <t>w2_2018</t>
    <phoneticPr fontId="1" type="noConversion"/>
  </si>
  <si>
    <t>2014-2015</t>
    <phoneticPr fontId="1" type="noConversion"/>
  </si>
  <si>
    <t>2014-2016</t>
    <phoneticPr fontId="1" type="noConversion"/>
  </si>
  <si>
    <t>2014-2017</t>
    <phoneticPr fontId="1" type="noConversion"/>
  </si>
  <si>
    <t>2014-2018</t>
    <phoneticPr fontId="1" type="noConversion"/>
  </si>
  <si>
    <t>2015-2016</t>
    <phoneticPr fontId="1" type="noConversion"/>
  </si>
  <si>
    <t>2015-2017</t>
    <phoneticPr fontId="1" type="noConversion"/>
  </si>
  <si>
    <t>2015-2018</t>
    <phoneticPr fontId="1" type="noConversion"/>
  </si>
  <si>
    <t>2016-2017</t>
    <phoneticPr fontId="1" type="noConversion"/>
  </si>
  <si>
    <t>2016-2018</t>
    <phoneticPr fontId="1" type="noConversion"/>
  </si>
  <si>
    <t>2017-2018</t>
    <phoneticPr fontId="1" type="noConversion"/>
  </si>
  <si>
    <t>w3_2015</t>
    <phoneticPr fontId="1" type="noConversion"/>
  </si>
  <si>
    <t>w3_2016</t>
    <phoneticPr fontId="1" type="noConversion"/>
  </si>
  <si>
    <t>w3_2017</t>
    <phoneticPr fontId="1" type="noConversion"/>
  </si>
  <si>
    <t>w3_2018</t>
    <phoneticPr fontId="1" type="noConversion"/>
  </si>
  <si>
    <t>w4_2016</t>
    <phoneticPr fontId="1" type="noConversion"/>
  </si>
  <si>
    <t>w4_2017</t>
    <phoneticPr fontId="1" type="noConversion"/>
  </si>
  <si>
    <t>w4_2018</t>
    <phoneticPr fontId="1" type="noConversion"/>
  </si>
  <si>
    <t>w5_2017</t>
    <phoneticPr fontId="1" type="noConversion"/>
  </si>
  <si>
    <t>w5_2018</t>
    <phoneticPr fontId="1" type="noConversion"/>
  </si>
  <si>
    <t>w6_2018</t>
    <phoneticPr fontId="1" type="noConversion"/>
  </si>
  <si>
    <t>accuracy_0</t>
    <phoneticPr fontId="1" type="noConversion"/>
  </si>
  <si>
    <t>accuracy_1</t>
    <phoneticPr fontId="1" type="noConversion"/>
  </si>
  <si>
    <t>accuracy_all</t>
    <phoneticPr fontId="1" type="noConversion"/>
  </si>
  <si>
    <t>testing error_0</t>
    <phoneticPr fontId="1" type="noConversion"/>
  </si>
  <si>
    <t>testing error_1</t>
    <phoneticPr fontId="1" type="noConversion"/>
  </si>
  <si>
    <t>weights_value_all</t>
    <phoneticPr fontId="1" type="noConversion"/>
  </si>
  <si>
    <t>testing error_all</t>
    <phoneticPr fontId="1" type="noConversion"/>
  </si>
  <si>
    <t>weights_value_0</t>
    <phoneticPr fontId="1" type="noConversion"/>
  </si>
  <si>
    <t>weights_value_1</t>
    <phoneticPr fontId="1" type="noConversion"/>
  </si>
  <si>
    <t>now_overall_accuracy</t>
    <phoneticPr fontId="1" type="noConversion"/>
  </si>
  <si>
    <t>java_improve_TimeDA</t>
    <phoneticPr fontId="1" type="noConversion"/>
  </si>
  <si>
    <t>java_TimeDA</t>
    <phoneticPr fontId="1" type="noConversion"/>
  </si>
  <si>
    <t>C++_TimeDA</t>
    <phoneticPr fontId="1" type="noConversion"/>
  </si>
  <si>
    <t>withoutUnderbagging_overall_accuracy</t>
    <phoneticPr fontId="1" type="noConversion"/>
  </si>
  <si>
    <t>improve_balance</t>
    <phoneticPr fontId="1" type="noConversion"/>
  </si>
  <si>
    <t>TimeDA</t>
    <phoneticPr fontId="1" type="noConversion"/>
  </si>
  <si>
    <t>train_on_2012</t>
    <phoneticPr fontId="1" type="noConversion"/>
  </si>
  <si>
    <t>train_on_2013</t>
    <phoneticPr fontId="1" type="noConversion"/>
  </si>
  <si>
    <t>train_on_2014</t>
    <phoneticPr fontId="1" type="noConversion"/>
  </si>
  <si>
    <t>train_on_2015</t>
    <phoneticPr fontId="1" type="noConversion"/>
  </si>
  <si>
    <t>train_on_2016</t>
    <phoneticPr fontId="1" type="noConversion"/>
  </si>
  <si>
    <t>train_on_2017</t>
    <phoneticPr fontId="1" type="noConversion"/>
  </si>
  <si>
    <t>now_overall_accuracy</t>
  </si>
  <si>
    <t>withoutUnderbagging_overall_accuracy</t>
  </si>
  <si>
    <t>TFIDF_overall_accuracy</t>
  </si>
  <si>
    <t>TFIDF_overall_accuracy</t>
    <phoneticPr fontId="1" type="noConversion"/>
  </si>
  <si>
    <t>predicting_year</t>
  </si>
  <si>
    <t>TimeDA</t>
  </si>
  <si>
    <t>train_on_2012</t>
  </si>
  <si>
    <t>train_on_2013</t>
  </si>
  <si>
    <t>train_on_2014</t>
  </si>
  <si>
    <t>train_on_2015</t>
  </si>
  <si>
    <t>train_on_2016</t>
  </si>
  <si>
    <t>train_on_2017</t>
  </si>
  <si>
    <t>TimeDA</t>
    <phoneticPr fontId="1" type="noConversion"/>
  </si>
  <si>
    <t>improve_TimeDA</t>
    <phoneticPr fontId="1" type="noConversion"/>
  </si>
  <si>
    <t>TimeDA_imbalance</t>
    <phoneticPr fontId="1" type="noConversion"/>
  </si>
  <si>
    <t>Multi-x</t>
    <phoneticPr fontId="1" type="noConversion"/>
  </si>
  <si>
    <t>Multi-X_imbalance</t>
    <phoneticPr fontId="1" type="noConversion"/>
  </si>
  <si>
    <t>Multi-x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</si>
</sst>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11"/>
      <name val="等线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0" fillId="4" borderId="0" xfId="0" applyFill="1"/>
    <xf numFmtId="0" fontId="4" fillId="5" borderId="0" xfId="0" applyFont="1" applyFill="1" applyAlignment="1">
      <alignment horizontal="center"/>
    </xf>
    <xf numFmtId="0" fontId="0" fillId="5" borderId="0" xfId="0" applyFill="1"/>
    <xf numFmtId="0" fontId="4" fillId="6" borderId="0" xfId="0" applyFont="1" applyFill="1" applyAlignment="1">
      <alignment horizontal="center"/>
    </xf>
    <xf numFmtId="0" fontId="0" fillId="6" borderId="0" xfId="0" applyFill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6" borderId="0" xfId="0" applyFont="1" applyFill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11" fillId="2" borderId="0" xfId="0" applyFont="1" applyFill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3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7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8_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8_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4_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4_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5_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5_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6_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6_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7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3_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7_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8_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3testing2018_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5_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5_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6_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6_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7_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7_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8_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4_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4testing2018_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6_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6_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7_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7_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8_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5testing2018_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6testing2018_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6testing2018_1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6testing2017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4_1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6testing2017_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7testing2018_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7testing2018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5_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5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6_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6_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cj_java\2LabelResults\2012testing2017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901</v>
          </cell>
        </row>
        <row r="2">
          <cell r="F2">
            <v>993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F1">
            <v>2560</v>
          </cell>
        </row>
        <row r="2">
          <cell r="F2">
            <v>4617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3033</v>
          </cell>
        </row>
        <row r="2">
          <cell r="F2">
            <v>3448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F1">
            <v>2864</v>
          </cell>
        </row>
        <row r="2">
          <cell r="F2">
            <v>5070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1346</v>
          </cell>
        </row>
        <row r="2">
          <cell r="F2">
            <v>2450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3886</v>
          </cell>
        </row>
        <row r="2">
          <cell r="F2">
            <v>4286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926</v>
          </cell>
        </row>
        <row r="2">
          <cell r="F2">
            <v>1632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3385</v>
          </cell>
        </row>
        <row r="2">
          <cell r="F2">
            <v>3834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1327</v>
          </cell>
        </row>
        <row r="2">
          <cell r="F2">
            <v>2539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3412</v>
          </cell>
        </row>
        <row r="2">
          <cell r="F2">
            <v>3791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1544</v>
          </cell>
        </row>
        <row r="2">
          <cell r="F2">
            <v>2935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1471</v>
          </cell>
        </row>
        <row r="2">
          <cell r="F2">
            <v>2410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4116</v>
          </cell>
        </row>
        <row r="2">
          <cell r="F2">
            <v>4617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1636</v>
          </cell>
        </row>
        <row r="2">
          <cell r="F2">
            <v>3448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4598</v>
          </cell>
        </row>
        <row r="2">
          <cell r="F2">
            <v>5070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1148</v>
          </cell>
        </row>
        <row r="2">
          <cell r="F2">
            <v>1631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3394</v>
          </cell>
        </row>
        <row r="2">
          <cell r="F2">
            <v>3835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1672</v>
          </cell>
        </row>
        <row r="2">
          <cell r="F2">
            <v>2539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3363</v>
          </cell>
        </row>
        <row r="2">
          <cell r="F2">
            <v>3791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1906</v>
          </cell>
        </row>
        <row r="2">
          <cell r="F2">
            <v>2935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4206</v>
          </cell>
        </row>
        <row r="2">
          <cell r="F2">
            <v>4617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2131</v>
          </cell>
        </row>
        <row r="2">
          <cell r="F2">
            <v>3448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2191</v>
          </cell>
        </row>
        <row r="2">
          <cell r="F2">
            <v>2450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4389</v>
          </cell>
        </row>
        <row r="2">
          <cell r="F2">
            <v>5070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1445</v>
          </cell>
        </row>
        <row r="2">
          <cell r="F2">
            <v>2539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3562</v>
          </cell>
        </row>
        <row r="2">
          <cell r="F2">
            <v>3791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1612</v>
          </cell>
        </row>
        <row r="2">
          <cell r="F2">
            <v>2935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4257</v>
          </cell>
        </row>
        <row r="2">
          <cell r="F2">
            <v>4617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1820</v>
          </cell>
        </row>
        <row r="2">
          <cell r="F2">
            <v>3448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4681</v>
          </cell>
        </row>
        <row r="2">
          <cell r="F2">
            <v>5070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F1">
            <v>2217</v>
          </cell>
        </row>
        <row r="2">
          <cell r="F2">
            <v>3448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4494</v>
          </cell>
        </row>
        <row r="2">
          <cell r="F2">
            <v>5070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4104</v>
          </cell>
        </row>
        <row r="2">
          <cell r="F2">
            <v>4617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E1">
            <v>2523</v>
          </cell>
        </row>
        <row r="2">
          <cell r="E2">
            <v>4286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1898</v>
          </cell>
        </row>
        <row r="2">
          <cell r="F2">
            <v>2935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2195</v>
          </cell>
        </row>
        <row r="2">
          <cell r="F2">
            <v>3448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4630</v>
          </cell>
        </row>
        <row r="2">
          <cell r="F2">
            <v>5070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1510</v>
          </cell>
        </row>
        <row r="2">
          <cell r="F2">
            <v>1631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F1">
            <v>2109</v>
          </cell>
        </row>
        <row r="2">
          <cell r="F2">
            <v>3834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2291</v>
          </cell>
        </row>
        <row r="2">
          <cell r="F2">
            <v>2539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F1">
            <v>2111</v>
          </cell>
        </row>
        <row r="2">
          <cell r="F2">
            <v>3791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2637</v>
          </cell>
        </row>
        <row r="2">
          <cell r="F2">
            <v>2935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E4" workbookViewId="0">
      <selection activeCell="L35" sqref="L35"/>
    </sheetView>
  </sheetViews>
  <sheetFormatPr defaultRowHeight="14.5"/>
  <cols>
    <col min="1" max="1" width="14.9140625" style="3" customWidth="1"/>
    <col min="2" max="2" width="19.33203125" style="3" customWidth="1"/>
    <col min="3" max="3" width="19.33203125" style="3" hidden="1" customWidth="1"/>
    <col min="4" max="4" width="5.25" style="3" hidden="1" customWidth="1"/>
    <col min="5" max="5" width="24.08203125" style="3" customWidth="1"/>
    <col min="6" max="7" width="26.5" style="3" hidden="1" customWidth="1"/>
    <col min="8" max="8" width="31.75" style="3" customWidth="1"/>
    <col min="9" max="9" width="22" style="3" customWidth="1"/>
    <col min="10" max="10" width="21" style="3" customWidth="1"/>
    <col min="11" max="11" width="27.5" style="3" customWidth="1"/>
    <col min="12" max="12" width="30" customWidth="1"/>
    <col min="13" max="13" width="29.08203125" customWidth="1"/>
    <col min="14" max="14" width="30.5" customWidth="1"/>
  </cols>
  <sheetData>
    <row r="1" spans="1:11" s="1" customFormat="1">
      <c r="A1" s="2" t="s">
        <v>1</v>
      </c>
      <c r="B1" s="2" t="s">
        <v>4</v>
      </c>
      <c r="C1" s="2" t="s">
        <v>52</v>
      </c>
      <c r="D1" s="2" t="s">
        <v>53</v>
      </c>
      <c r="E1" s="2" t="s">
        <v>50</v>
      </c>
      <c r="F1" s="2" t="s">
        <v>48</v>
      </c>
      <c r="G1" s="2" t="s">
        <v>49</v>
      </c>
      <c r="H1" s="2" t="s">
        <v>51</v>
      </c>
      <c r="I1" s="2" t="s">
        <v>45</v>
      </c>
      <c r="J1" s="2" t="s">
        <v>46</v>
      </c>
      <c r="K1" s="2" t="s">
        <v>47</v>
      </c>
    </row>
    <row r="2" spans="1:11" s="5" customFormat="1">
      <c r="A2" s="4" t="s">
        <v>2</v>
      </c>
      <c r="B2" s="4" t="s">
        <v>3</v>
      </c>
      <c r="C2" s="4"/>
      <c r="D2" s="4"/>
      <c r="E2" s="4">
        <v>1</v>
      </c>
      <c r="F2" s="4">
        <f>1-I2</f>
        <v>9.2648539778449113E-2</v>
      </c>
      <c r="G2" s="4">
        <f>1-J2</f>
        <v>0.38962655601659746</v>
      </c>
      <c r="H2" s="4">
        <f>1-K2</f>
        <v>0.30267411107846021</v>
      </c>
      <c r="I2" s="4">
        <f>[1]Sheet1!$F$1/[1]Sheet1!$F$2</f>
        <v>0.90735146022155089</v>
      </c>
      <c r="J2" s="4">
        <f>[2]Sheet1!$F$1/[2]Sheet1!$F$2</f>
        <v>0.61037344398340254</v>
      </c>
      <c r="K2" s="14">
        <f>(902+1471)/(2410+993)</f>
        <v>0.69732588892153979</v>
      </c>
    </row>
    <row r="3" spans="1:11" s="5" customFormat="1">
      <c r="A3" s="4" t="s">
        <v>5</v>
      </c>
      <c r="B3" s="4" t="s">
        <v>10</v>
      </c>
      <c r="C3" s="4"/>
      <c r="D3" s="4"/>
      <c r="E3" s="4">
        <f>(1-H3)*E2</f>
        <v>0.69982185273159148</v>
      </c>
      <c r="F3" s="4">
        <f t="shared" ref="F3:F22" si="0">1-I3</f>
        <v>0.10571428571428576</v>
      </c>
      <c r="G3" s="4">
        <f t="shared" ref="G3:G22" si="1">1-J3</f>
        <v>0.41133924405039668</v>
      </c>
      <c r="H3" s="4">
        <f t="shared" ref="H3:H22" si="2">1-K3</f>
        <v>0.30017814726840852</v>
      </c>
      <c r="I3" s="4">
        <f>[3]Sheet1!$F$1/[3]Sheet1!$F$2</f>
        <v>0.89428571428571424</v>
      </c>
      <c r="J3" s="4">
        <f>[4]Sheet1!$E$1/[4]Sheet1!$E$2</f>
        <v>0.58866075594960332</v>
      </c>
      <c r="K3" s="4">
        <f>(2191+2523)/(2450+4286)</f>
        <v>0.69982185273159148</v>
      </c>
    </row>
    <row r="4" spans="1:11" s="5" customFormat="1">
      <c r="A4" s="4" t="s">
        <v>6</v>
      </c>
      <c r="B4" s="4" t="s">
        <v>11</v>
      </c>
      <c r="C4" s="4"/>
      <c r="D4" s="4"/>
      <c r="E4" s="4">
        <f>(1-H4)*E3</f>
        <v>0.46343189113186273</v>
      </c>
      <c r="F4" s="4">
        <f t="shared" si="0"/>
        <v>7.4187614960147141E-2</v>
      </c>
      <c r="G4" s="4">
        <f t="shared" si="1"/>
        <v>0.4499217527386542</v>
      </c>
      <c r="H4" s="4">
        <f t="shared" si="2"/>
        <v>0.33778591033851779</v>
      </c>
      <c r="I4" s="4">
        <f>[5]Sheet1!$F$1/[5]Sheet1!$F$2</f>
        <v>0.92581238503985286</v>
      </c>
      <c r="J4" s="4">
        <f>[6]Sheet1!$F$1/[6]Sheet1!$F$2</f>
        <v>0.5500782472613458</v>
      </c>
      <c r="K4" s="4">
        <f>(1510+2109)/(1631+3834)</f>
        <v>0.66221408966148221</v>
      </c>
    </row>
    <row r="5" spans="1:11" s="5" customFormat="1">
      <c r="A5" s="4" t="s">
        <v>7</v>
      </c>
      <c r="B5" s="4" t="s">
        <v>12</v>
      </c>
      <c r="C5" s="4"/>
      <c r="D5" s="4"/>
      <c r="E5" s="4">
        <f>(1-H5)*E4</f>
        <v>0.32227917610781354</v>
      </c>
      <c r="F5" s="4">
        <f t="shared" si="0"/>
        <v>9.7676250492319761E-2</v>
      </c>
      <c r="G5" s="4">
        <f t="shared" si="1"/>
        <v>0.44315484041150088</v>
      </c>
      <c r="H5" s="4">
        <f t="shared" si="2"/>
        <v>0.30458135860979463</v>
      </c>
      <c r="I5" s="4">
        <f>[7]Sheet1!$F$1/[7]Sheet1!$F$2</f>
        <v>0.90232374950768024</v>
      </c>
      <c r="J5" s="4">
        <f>[8]Sheet1!$F$1/[8]Sheet1!$F$2</f>
        <v>0.55684515958849912</v>
      </c>
      <c r="K5" s="4">
        <f>([7]Sheet1!$F$1+[8]Sheet1!$F$1)/([7]Sheet1!$F$2+[8]Sheet1!$F$2)</f>
        <v>0.69541864139020537</v>
      </c>
    </row>
    <row r="6" spans="1:11" s="5" customFormat="1">
      <c r="A6" s="4" t="s">
        <v>8</v>
      </c>
      <c r="B6" s="4" t="s">
        <v>13</v>
      </c>
      <c r="C6" s="4"/>
      <c r="D6" s="4"/>
      <c r="E6" s="4">
        <f>(1-H6)*E5</f>
        <v>0.2217803069693203</v>
      </c>
      <c r="F6" s="4">
        <f t="shared" si="0"/>
        <v>0.10153321976149909</v>
      </c>
      <c r="G6" s="4">
        <f t="shared" si="1"/>
        <v>0.44552739874377301</v>
      </c>
      <c r="H6" s="4">
        <f t="shared" si="2"/>
        <v>0.31183792372881358</v>
      </c>
      <c r="I6" s="4">
        <f>[9]Sheet1!$F$1/[9]Sheet1!$F$2</f>
        <v>0.89846678023850091</v>
      </c>
      <c r="J6" s="4">
        <f>[10]Sheet1!$F$1/[10]Sheet1!$F$2</f>
        <v>0.55447260125622699</v>
      </c>
      <c r="K6" s="4">
        <f>([10]Sheet1!$F$1+[9]Sheet1!$F$1)/([9]Sheet1!$F$2+[10]Sheet1!$F$2)</f>
        <v>0.68816207627118642</v>
      </c>
    </row>
    <row r="7" spans="1:11" s="5" customFormat="1">
      <c r="A7" s="4" t="s">
        <v>9</v>
      </c>
      <c r="B7" s="4" t="s">
        <v>14</v>
      </c>
      <c r="C7" s="4"/>
      <c r="D7" s="4"/>
      <c r="E7" s="4">
        <f>(1-H7)*E6</f>
        <v>0.15353820969688681</v>
      </c>
      <c r="F7" s="4">
        <f t="shared" si="0"/>
        <v>0.1203596287703016</v>
      </c>
      <c r="G7" s="4">
        <f t="shared" si="1"/>
        <v>0.43510848126232737</v>
      </c>
      <c r="H7" s="4">
        <f t="shared" si="2"/>
        <v>0.30770133834233393</v>
      </c>
      <c r="I7" s="4">
        <f>[11]Sheet1!$F$1/[11]Sheet1!$F$2</f>
        <v>0.8796403712296984</v>
      </c>
      <c r="J7" s="4">
        <f>[12]Sheet1!$F$1/[12]Sheet1!$F$2</f>
        <v>0.56489151873767263</v>
      </c>
      <c r="K7" s="4">
        <f>([12]Sheet1!$F$1+[11]Sheet1!$F$1)/([11]Sheet1!$F$2+[12]Sheet1!$F$2)</f>
        <v>0.69229866165766607</v>
      </c>
    </row>
    <row r="8" spans="1:11" s="7" customFormat="1">
      <c r="A8" s="6" t="s">
        <v>15</v>
      </c>
      <c r="B8" s="6" t="s">
        <v>20</v>
      </c>
      <c r="C8" s="6"/>
      <c r="D8" s="6"/>
      <c r="E8" s="6">
        <v>1</v>
      </c>
      <c r="F8" s="4">
        <f t="shared" si="0"/>
        <v>0.45061224489795915</v>
      </c>
      <c r="G8" s="4">
        <f t="shared" si="1"/>
        <v>9.3327111525898232E-2</v>
      </c>
      <c r="H8" s="6">
        <f t="shared" si="2"/>
        <v>0.22327790973871731</v>
      </c>
      <c r="I8" s="6">
        <f>[13]Sheet1!$F$1/[13]Sheet1!$F$2</f>
        <v>0.54938775510204085</v>
      </c>
      <c r="J8" s="6">
        <f>[14]Sheet1!$F$1/[14]Sheet1!$F$2</f>
        <v>0.90667288847410177</v>
      </c>
      <c r="K8" s="15">
        <f>([13]Sheet1!$F$1+[14]Sheet1!$F$1)/([14]Sheet1!$F$2+[13]Sheet1!$F$2)</f>
        <v>0.77672209026128269</v>
      </c>
    </row>
    <row r="9" spans="1:11" s="7" customFormat="1">
      <c r="A9" s="6" t="s">
        <v>16</v>
      </c>
      <c r="B9" s="6" t="s">
        <v>21</v>
      </c>
      <c r="C9" s="6"/>
      <c r="D9" s="6"/>
      <c r="E9" s="6">
        <f>(1-H9)*E8</f>
        <v>0.78869374313940721</v>
      </c>
      <c r="F9" s="4">
        <f t="shared" si="0"/>
        <v>0.43259803921568629</v>
      </c>
      <c r="G9" s="4">
        <f t="shared" si="1"/>
        <v>0.11711006781429312</v>
      </c>
      <c r="H9" s="6">
        <f t="shared" si="2"/>
        <v>0.21130625686059279</v>
      </c>
      <c r="I9" s="6">
        <f>[15]Sheet1!$F$1/[15]Sheet1!$F$2</f>
        <v>0.56740196078431371</v>
      </c>
      <c r="J9" s="6">
        <f>[16]Sheet1!$F$1/[16]Sheet1!$F$2</f>
        <v>0.88288993218570688</v>
      </c>
      <c r="K9" s="6">
        <f>([16]Sheet1!$F$1+[15]Sheet1!$F$1)/([15]Sheet1!$F$2+[16]Sheet1!$F$2)</f>
        <v>0.78869374313940721</v>
      </c>
    </row>
    <row r="10" spans="1:11" s="7" customFormat="1">
      <c r="A10" s="6" t="s">
        <v>17</v>
      </c>
      <c r="B10" s="6" t="s">
        <v>22</v>
      </c>
      <c r="C10" s="6"/>
      <c r="D10" s="6"/>
      <c r="E10" s="6">
        <f>(1-H10)*E9</f>
        <v>0.59046123992695898</v>
      </c>
      <c r="F10" s="4">
        <f t="shared" si="0"/>
        <v>0.47735328869633709</v>
      </c>
      <c r="G10" s="4">
        <f t="shared" si="1"/>
        <v>9.9973621735689799E-2</v>
      </c>
      <c r="H10" s="6">
        <f t="shared" si="2"/>
        <v>0.25134281200631914</v>
      </c>
      <c r="I10" s="6">
        <f>[17]Sheet1!$F$1/[17]Sheet1!$F$2</f>
        <v>0.52264671130366291</v>
      </c>
      <c r="J10" s="6">
        <f>[18]Sheet1!$F$1/[18]Sheet1!$F$2</f>
        <v>0.9000263782643102</v>
      </c>
      <c r="K10" s="6">
        <f>([17]Sheet1!$F$1+[18]Sheet1!$F$1)/([18]Sheet1!$F$2+[17]Sheet1!$F$2)</f>
        <v>0.74865718799368086</v>
      </c>
    </row>
    <row r="11" spans="1:11" s="7" customFormat="1">
      <c r="A11" s="6" t="s">
        <v>18</v>
      </c>
      <c r="B11" s="6" t="s">
        <v>23</v>
      </c>
      <c r="C11" s="6"/>
      <c r="D11" s="6"/>
      <c r="E11" s="6">
        <f>(1-H11)*E10</f>
        <v>0.44253318564441047</v>
      </c>
      <c r="F11" s="4">
        <f t="shared" si="0"/>
        <v>0.47393526405451447</v>
      </c>
      <c r="G11" s="4">
        <f t="shared" si="1"/>
        <v>0.1085120207927226</v>
      </c>
      <c r="H11" s="6">
        <f t="shared" si="2"/>
        <v>0.25052966101694918</v>
      </c>
      <c r="I11" s="6">
        <f>[19]Sheet1!$F$1/[19]Sheet1!$F$2</f>
        <v>0.52606473594548553</v>
      </c>
      <c r="J11" s="6">
        <f>[20]Sheet1!$F$1/[20]Sheet1!$F$2</f>
        <v>0.8914879792072774</v>
      </c>
      <c r="K11" s="6">
        <f>([19]Sheet1!$F$1+[20]Sheet1!$F$1)/([20]Sheet1!$F$2+[19]Sheet1!$F$2)</f>
        <v>0.74947033898305082</v>
      </c>
    </row>
    <row r="12" spans="1:11" s="7" customFormat="1">
      <c r="A12" s="6" t="s">
        <v>19</v>
      </c>
      <c r="B12" s="6" t="s">
        <v>24</v>
      </c>
      <c r="C12" s="6"/>
      <c r="D12" s="6"/>
      <c r="E12" s="6">
        <f>(1-H12)*E11</f>
        <v>0.32387319550449106</v>
      </c>
      <c r="F12" s="4">
        <f t="shared" si="0"/>
        <v>0.52552204176334105</v>
      </c>
      <c r="G12" s="4">
        <f t="shared" si="1"/>
        <v>9.3096646942800843E-2</v>
      </c>
      <c r="H12" s="6">
        <f t="shared" si="2"/>
        <v>0.26813806057760037</v>
      </c>
      <c r="I12" s="16">
        <f>[21]Sheet1!$F$1/[21]Sheet1!$F$2</f>
        <v>0.47447795823665895</v>
      </c>
      <c r="J12" s="6">
        <f>[22]Sheet1!$F$1/[22]Sheet1!$F$2</f>
        <v>0.90690335305719916</v>
      </c>
      <c r="K12" s="6">
        <f>([21]Sheet1!$F$1+[22]Sheet1!$F$1)/([22]Sheet1!$F$2+[21]Sheet1!$F$2)</f>
        <v>0.73186193942239963</v>
      </c>
    </row>
    <row r="13" spans="1:11" s="9" customFormat="1">
      <c r="A13" s="8" t="s">
        <v>25</v>
      </c>
      <c r="B13" s="8" t="s">
        <v>35</v>
      </c>
      <c r="C13" s="8"/>
      <c r="D13" s="8"/>
      <c r="E13" s="8">
        <v>1</v>
      </c>
      <c r="F13" s="4">
        <f t="shared" si="0"/>
        <v>0.29613733905579398</v>
      </c>
      <c r="G13" s="4">
        <f t="shared" si="1"/>
        <v>0.11499348109517604</v>
      </c>
      <c r="H13" s="8">
        <f t="shared" si="2"/>
        <v>0.16904500548847423</v>
      </c>
      <c r="I13" s="8">
        <f>[23]Sheet1!$F$1/[23]Sheet1!$F$2</f>
        <v>0.70386266094420602</v>
      </c>
      <c r="J13" s="8">
        <f>[24]Sheet1!$F$1/[24]Sheet1!$F$2</f>
        <v>0.88500651890482396</v>
      </c>
      <c r="K13" s="17">
        <f>([24]Sheet1!$F$1+[23]Sheet1!$F$1)/([23]Sheet1!$F$2+[24]Sheet1!$F$2)</f>
        <v>0.83095499451152577</v>
      </c>
    </row>
    <row r="14" spans="1:11" s="9" customFormat="1">
      <c r="A14" s="8" t="s">
        <v>26</v>
      </c>
      <c r="B14" s="8" t="s">
        <v>36</v>
      </c>
      <c r="C14" s="8"/>
      <c r="D14" s="8"/>
      <c r="E14" s="8">
        <f>(1-H14)*E13</f>
        <v>0.79541864139020535</v>
      </c>
      <c r="F14" s="4">
        <f t="shared" si="0"/>
        <v>0.34147302087435993</v>
      </c>
      <c r="G14" s="4">
        <f t="shared" si="1"/>
        <v>0.11289897124769188</v>
      </c>
      <c r="H14" s="8">
        <f t="shared" si="2"/>
        <v>0.20458135860979465</v>
      </c>
      <c r="I14" s="8">
        <f>[25]Sheet1!$F$1/[25]Sheet1!$F$2</f>
        <v>0.65852697912564007</v>
      </c>
      <c r="J14" s="8">
        <f>[26]Sheet1!$F$1/[26]Sheet1!$F$2</f>
        <v>0.88710102875230812</v>
      </c>
      <c r="K14" s="17">
        <f>([26]Sheet1!$F$1+[25]Sheet1!$F$1)/([26]Sheet1!$F$2+[25]Sheet1!$F$2)</f>
        <v>0.79541864139020535</v>
      </c>
    </row>
    <row r="15" spans="1:11" s="9" customFormat="1">
      <c r="A15" s="8" t="s">
        <v>27</v>
      </c>
      <c r="B15" s="8" t="s">
        <v>37</v>
      </c>
      <c r="C15" s="8"/>
      <c r="D15" s="8"/>
      <c r="E15" s="8">
        <f>(1-H15)*E14</f>
        <v>0.64374983265054753</v>
      </c>
      <c r="F15" s="4">
        <f t="shared" si="0"/>
        <v>0.35059625212947187</v>
      </c>
      <c r="G15" s="4">
        <f t="shared" si="1"/>
        <v>8.9018843404808368E-2</v>
      </c>
      <c r="H15" s="8">
        <f t="shared" si="2"/>
        <v>0.19067796610169496</v>
      </c>
      <c r="I15" s="8">
        <f>[27]Sheet1!$F$1/[27]Sheet1!$F$2</f>
        <v>0.64940374787052813</v>
      </c>
      <c r="J15" s="8">
        <f>[28]Sheet1!$F$1/[28]Sheet1!$F$2</f>
        <v>0.91098115659519163</v>
      </c>
      <c r="K15" s="17">
        <f>([28]Sheet1!$F$1+[27]Sheet1!$F$1)/([27]Sheet1!$F$2+[28]Sheet1!$F$2)</f>
        <v>0.80932203389830504</v>
      </c>
    </row>
    <row r="16" spans="1:11" s="9" customFormat="1">
      <c r="A16" s="8" t="s">
        <v>28</v>
      </c>
      <c r="B16" s="8" t="s">
        <v>38</v>
      </c>
      <c r="C16" s="8"/>
      <c r="D16" s="8"/>
      <c r="E16" s="8">
        <f>(1-H16)*E15</f>
        <v>0.49275051759586402</v>
      </c>
      <c r="F16" s="4">
        <f t="shared" si="0"/>
        <v>0.38196055684454755</v>
      </c>
      <c r="G16" s="4">
        <f t="shared" si="1"/>
        <v>0.13431952662721891</v>
      </c>
      <c r="H16" s="8">
        <f t="shared" si="2"/>
        <v>0.23456210378023012</v>
      </c>
      <c r="I16" s="8">
        <f>[29]Sheet1!$F$1/[29]Sheet1!$F$2</f>
        <v>0.61803944315545245</v>
      </c>
      <c r="J16" s="8">
        <f>[30]Sheet1!$F$1/[30]Sheet1!$F$2</f>
        <v>0.86568047337278109</v>
      </c>
      <c r="K16" s="8">
        <f>([30]Sheet1!$F$1+[29]Sheet1!$F$1)/([29]Sheet1!$F$2+[30]Sheet1!$F$2)</f>
        <v>0.76543789621976988</v>
      </c>
    </row>
    <row r="17" spans="1:13" s="11" customFormat="1">
      <c r="A17" s="10" t="s">
        <v>29</v>
      </c>
      <c r="B17" s="10" t="s">
        <v>39</v>
      </c>
      <c r="C17" s="10"/>
      <c r="D17" s="10"/>
      <c r="E17" s="10">
        <v>1</v>
      </c>
      <c r="F17" s="4">
        <f t="shared" si="0"/>
        <v>0.43087829854273341</v>
      </c>
      <c r="G17" s="4">
        <f t="shared" si="1"/>
        <v>6.0406225270377201E-2</v>
      </c>
      <c r="H17" s="10">
        <f t="shared" si="2"/>
        <v>0.20900473933649288</v>
      </c>
      <c r="I17" s="10">
        <f>[31]Sheet1!$F$1/[31]Sheet1!$F$2</f>
        <v>0.56912170145726659</v>
      </c>
      <c r="J17" s="10">
        <f>[32]Sheet1!$F$1/[32]Sheet1!$F$2</f>
        <v>0.9395937747296228</v>
      </c>
      <c r="K17" s="10">
        <f>([32]Sheet1!$F$1+[31]Sheet1!$F$1)/([31]Sheet1!$F$2+[32]Sheet1!$F$2)</f>
        <v>0.79099526066350712</v>
      </c>
    </row>
    <row r="18" spans="1:13" s="11" customFormat="1">
      <c r="A18" s="10" t="s">
        <v>30</v>
      </c>
      <c r="B18" s="10" t="s">
        <v>40</v>
      </c>
      <c r="C18" s="10"/>
      <c r="D18" s="10"/>
      <c r="E18" s="10">
        <f>(1-H18)*E17</f>
        <v>0.77714512711864403</v>
      </c>
      <c r="F18" s="4">
        <f t="shared" si="0"/>
        <v>0.45076660988074957</v>
      </c>
      <c r="G18" s="4">
        <f t="shared" si="1"/>
        <v>7.7972709551656916E-2</v>
      </c>
      <c r="H18" s="10">
        <f t="shared" si="2"/>
        <v>0.22285487288135597</v>
      </c>
      <c r="I18" s="10">
        <f>[33]Sheet1!$F$1/[33]Sheet1!$F$2</f>
        <v>0.54923339011925043</v>
      </c>
      <c r="J18" s="10">
        <f>[34]Sheet1!$F$1/[34]Sheet1!$F$2</f>
        <v>0.92202729044834308</v>
      </c>
      <c r="K18" s="10">
        <f>([34]Sheet1!$F$1+[33]Sheet1!$F$1)/([33]Sheet1!$F$2+[34]Sheet1!$F$2)</f>
        <v>0.77714512711864403</v>
      </c>
    </row>
    <row r="19" spans="1:13" s="11" customFormat="1">
      <c r="A19" s="10" t="s">
        <v>31</v>
      </c>
      <c r="B19" s="10" t="s">
        <v>41</v>
      </c>
      <c r="C19" s="10"/>
      <c r="D19" s="10"/>
      <c r="E19" s="10">
        <f>(1-H19)*E18</f>
        <v>0.5931228541204866</v>
      </c>
      <c r="F19" s="4">
        <f t="shared" si="0"/>
        <v>0.47215777262180969</v>
      </c>
      <c r="G19" s="4">
        <f t="shared" si="1"/>
        <v>7.6725838264299795E-2</v>
      </c>
      <c r="H19" s="10">
        <f t="shared" si="2"/>
        <v>0.23679267433669871</v>
      </c>
      <c r="I19" s="10">
        <f>[35]Sheet1!$F$1/[35]Sheet1!$F$2</f>
        <v>0.52784222737819031</v>
      </c>
      <c r="J19" s="10">
        <f>[36]Sheet1!$F$1/[36]Sheet1!$F$2</f>
        <v>0.92327416173570021</v>
      </c>
      <c r="K19" s="10">
        <f>([36]Sheet1!$F$1+[35]Sheet1!$F$1)/([35]Sheet1!$F$2+[36]Sheet1!$F$2)</f>
        <v>0.76320732566330129</v>
      </c>
    </row>
    <row r="20" spans="1:13" s="20" customFormat="1">
      <c r="A20" s="18" t="s">
        <v>32</v>
      </c>
      <c r="B20" s="18" t="s">
        <v>42</v>
      </c>
      <c r="C20" s="18"/>
      <c r="D20" s="18"/>
      <c r="E20" s="18">
        <v>1</v>
      </c>
      <c r="F20" s="19">
        <f t="shared" si="0"/>
        <v>0.35701856148491884</v>
      </c>
      <c r="G20" s="19">
        <f t="shared" si="1"/>
        <v>0.11360946745562128</v>
      </c>
      <c r="H20" s="18">
        <f t="shared" si="2"/>
        <v>0.2052436440677966</v>
      </c>
      <c r="I20" s="18">
        <f>[37]Sheet1!$F$1/[37]Sheet1!$F$2</f>
        <v>0.64298143851508116</v>
      </c>
      <c r="J20" s="18">
        <f>[38]Sheet1!$F$1/[38]Sheet1!$F$2</f>
        <v>0.88639053254437872</v>
      </c>
      <c r="K20" s="18">
        <f>([39]Sheet1!$F$1+[40]Sheet1!$F$1)/([40]Sheet1!$F$2+[39]Sheet1!$F$2)</f>
        <v>0.7947563559322034</v>
      </c>
    </row>
    <row r="21" spans="1:13" s="13" customFormat="1">
      <c r="A21" s="12" t="s">
        <v>33</v>
      </c>
      <c r="B21" s="12" t="s">
        <v>43</v>
      </c>
      <c r="C21" s="12"/>
      <c r="D21" s="12"/>
      <c r="E21" s="12">
        <f>(1-H21)*E20</f>
        <v>0.78786100023479688</v>
      </c>
      <c r="F21" s="4">
        <f t="shared" si="0"/>
        <v>0.35332197614991478</v>
      </c>
      <c r="G21" s="4">
        <f t="shared" si="1"/>
        <v>0.11111111111111116</v>
      </c>
      <c r="H21" s="12">
        <f t="shared" si="2"/>
        <v>0.21213899976520312</v>
      </c>
      <c r="I21" s="12">
        <f>[40]Sheet1!$F$1/[40]Sheet1!$F$2</f>
        <v>0.64667802385008522</v>
      </c>
      <c r="J21" s="12">
        <f>[39]Sheet1!$F$1/[39]Sheet1!$F$2</f>
        <v>0.88888888888888884</v>
      </c>
      <c r="K21" s="12">
        <f>([38]Sheet1!$F$1+[37]Sheet1!$F$1)/([37]Sheet1!$F$2+[38]Sheet1!$F$2)</f>
        <v>0.78786100023479688</v>
      </c>
    </row>
    <row r="22" spans="1:13">
      <c r="A22" s="3" t="s">
        <v>34</v>
      </c>
      <c r="B22" s="3" t="s">
        <v>44</v>
      </c>
      <c r="E22" s="3">
        <v>1</v>
      </c>
      <c r="F22" s="4">
        <f t="shared" si="0"/>
        <v>0.36339907192575405</v>
      </c>
      <c r="G22" s="4">
        <f t="shared" si="1"/>
        <v>8.6785009861932938E-2</v>
      </c>
      <c r="H22" s="3">
        <f t="shared" si="2"/>
        <v>0.19875557642639119</v>
      </c>
      <c r="I22" s="3">
        <f>[41]Sheet1!$F$1/[41]Sheet1!$F$2</f>
        <v>0.63660092807424595</v>
      </c>
      <c r="J22" s="3">
        <f>[42]Sheet1!$F$1/[42]Sheet1!$F$2</f>
        <v>0.91321499013806706</v>
      </c>
      <c r="K22" s="21">
        <f>([42]Sheet1!$F$1+[41]Sheet1!$F$1)/([41]Sheet1!$F$2+[42]Sheet1!$F$2)</f>
        <v>0.80124442357360881</v>
      </c>
    </row>
    <row r="27" spans="1:13">
      <c r="A27" s="3" t="s">
        <v>0</v>
      </c>
      <c r="B27" s="3" t="s">
        <v>70</v>
      </c>
      <c r="E27" s="22" t="s">
        <v>54</v>
      </c>
      <c r="H27" s="3" t="s">
        <v>58</v>
      </c>
      <c r="I27" s="21" t="s">
        <v>59</v>
      </c>
      <c r="J27" s="3" t="s">
        <v>56</v>
      </c>
      <c r="K27" s="21" t="s">
        <v>55</v>
      </c>
      <c r="L27" s="3" t="s">
        <v>57</v>
      </c>
      <c r="M27" s="21" t="s">
        <v>82</v>
      </c>
    </row>
    <row r="28" spans="1:13">
      <c r="A28" s="3">
        <v>2013</v>
      </c>
      <c r="B28" s="3">
        <f>K2</f>
        <v>0.69732588892153979</v>
      </c>
      <c r="E28" s="3">
        <f>I2</f>
        <v>0.90735146022155089</v>
      </c>
      <c r="H28" s="3">
        <f>K2</f>
        <v>0.69732588892153979</v>
      </c>
      <c r="I28" s="2">
        <f>E28-H28</f>
        <v>0.21002557130001109</v>
      </c>
      <c r="J28" s="3">
        <v>0.82</v>
      </c>
      <c r="K28" s="2">
        <f>E28-J28</f>
        <v>8.7351460221550936E-2</v>
      </c>
      <c r="L28" s="3">
        <v>0.83</v>
      </c>
      <c r="M28">
        <v>0.69732588900000003</v>
      </c>
    </row>
    <row r="29" spans="1:13">
      <c r="A29" s="3">
        <v>2014</v>
      </c>
      <c r="B29" s="3">
        <f>K8</f>
        <v>0.77672209026128269</v>
      </c>
      <c r="E29" s="3">
        <f>J8</f>
        <v>0.90667288847410177</v>
      </c>
      <c r="H29" s="3">
        <f>AVERAGE(K2,K8)</f>
        <v>0.73702398959141124</v>
      </c>
      <c r="I29" s="2">
        <f t="shared" ref="I29:I32" si="3">E29-H29</f>
        <v>0.16964889888269052</v>
      </c>
      <c r="J29" s="3">
        <f>AVERAGE(0.84,0.72)</f>
        <v>0.78</v>
      </c>
      <c r="K29" s="2">
        <f t="shared" ref="K29:K33" si="4">E29-J29</f>
        <v>0.12667288847410174</v>
      </c>
      <c r="L29" s="3">
        <f>AVERAGE(0.85,0.84)</f>
        <v>0.84499999999999997</v>
      </c>
      <c r="M29">
        <v>0.77672209000000003</v>
      </c>
    </row>
    <row r="30" spans="1:13">
      <c r="A30" s="3">
        <v>2015</v>
      </c>
      <c r="B30" s="3">
        <f>K13</f>
        <v>0.83095499451152577</v>
      </c>
      <c r="E30" s="3">
        <f>J13</f>
        <v>0.88500651890482396</v>
      </c>
      <c r="H30" s="3">
        <f>AVERAGE(K4,K9,K13)</f>
        <v>0.7606209424374718</v>
      </c>
      <c r="I30" s="2">
        <f t="shared" si="3"/>
        <v>0.12438557646735215</v>
      </c>
      <c r="J30" s="3">
        <f>AVERAGE(0.94,0.73,0.65)</f>
        <v>0.77333333333333332</v>
      </c>
      <c r="K30" s="2">
        <f t="shared" si="4"/>
        <v>0.11167318557149064</v>
      </c>
      <c r="L30" s="3">
        <f>AVERAGE(0.86,0.84,0.78)</f>
        <v>0.82666666666666666</v>
      </c>
      <c r="M30">
        <v>0.83095499500000003</v>
      </c>
    </row>
    <row r="31" spans="1:13">
      <c r="A31" s="3">
        <v>2016</v>
      </c>
      <c r="B31" s="3">
        <f>K14</f>
        <v>0.79541864139020535</v>
      </c>
      <c r="E31" s="3">
        <f>J14</f>
        <v>0.88710102875230812</v>
      </c>
      <c r="H31" s="3">
        <f>AVERAGE(K5,K10,K14,K17)</f>
        <v>0.75762243285939967</v>
      </c>
      <c r="I31" s="2">
        <f t="shared" si="3"/>
        <v>0.12947859589290844</v>
      </c>
      <c r="J31" s="3">
        <f>AVERAGE(0.86,0.85,0.63,0.58)</f>
        <v>0.73</v>
      </c>
      <c r="K31" s="2">
        <f t="shared" si="4"/>
        <v>0.15710102875230814</v>
      </c>
      <c r="L31" s="3">
        <f>AVERAGE(0.86,0.85,0.78,0.75)</f>
        <v>0.81</v>
      </c>
      <c r="M31">
        <v>0.79099526099999995</v>
      </c>
    </row>
    <row r="32" spans="1:13">
      <c r="A32" s="3">
        <v>2017</v>
      </c>
      <c r="B32" s="3">
        <f>K15</f>
        <v>0.80932203389830504</v>
      </c>
      <c r="E32" s="3">
        <f>J15</f>
        <v>0.91098115659519163</v>
      </c>
      <c r="H32" s="3">
        <f>AVERAGE(K6,K11,K15,K18,K20)</f>
        <v>0.76377118644067798</v>
      </c>
      <c r="I32" s="2">
        <f t="shared" si="3"/>
        <v>0.14720997015451365</v>
      </c>
      <c r="J32" s="3">
        <f>AVERAGE(0.91,0.87,0.84,0.62,0.57)</f>
        <v>0.76200000000000001</v>
      </c>
      <c r="K32" s="2">
        <f t="shared" si="4"/>
        <v>0.14898115659519162</v>
      </c>
      <c r="L32" s="3">
        <f>AVERAGE(0.88,0.86,0.85,0.77,0.72)</f>
        <v>0.81600000000000006</v>
      </c>
      <c r="M32">
        <v>0.79475635600000005</v>
      </c>
    </row>
    <row r="33" spans="1:13">
      <c r="A33" s="3">
        <v>2018</v>
      </c>
      <c r="B33" s="3">
        <f>K22</f>
        <v>0.80124442357360881</v>
      </c>
      <c r="E33" s="3">
        <f>J22</f>
        <v>0.91321499013806706</v>
      </c>
      <c r="H33" s="3">
        <f>AVERAGE(K7,K12,K16,K19,K21,K22)</f>
        <v>0.75698520779525713</v>
      </c>
      <c r="I33" s="2">
        <f>E33-H33</f>
        <v>0.15622978234280993</v>
      </c>
      <c r="J33" s="3">
        <f>AVERAGE(0.68,0.65,0.62,0.58,0.5,0.39)</f>
        <v>0.57000000000000006</v>
      </c>
      <c r="K33" s="2">
        <f t="shared" si="4"/>
        <v>0.343214990138067</v>
      </c>
      <c r="L33" s="3">
        <f>AVERAGE(0.76,0.71,0.7,0.63,0.55)</f>
        <v>0.66999999999999993</v>
      </c>
      <c r="M33">
        <v>0.63124442400000003</v>
      </c>
    </row>
    <row r="34" spans="1:13">
      <c r="M34" s="23">
        <f>AVERAGE(M28:M33)</f>
        <v>0.75366650250000011</v>
      </c>
    </row>
    <row r="36" spans="1:13">
      <c r="A36" s="2" t="s">
        <v>60</v>
      </c>
      <c r="B36" s="2">
        <v>2013</v>
      </c>
      <c r="C36" s="2"/>
      <c r="D36" s="2">
        <v>2013</v>
      </c>
      <c r="E36" s="2">
        <v>2014</v>
      </c>
      <c r="F36" s="2"/>
      <c r="G36" s="2">
        <v>2014</v>
      </c>
      <c r="H36" s="2">
        <v>2015</v>
      </c>
      <c r="I36" s="2">
        <v>2016</v>
      </c>
      <c r="J36" s="2">
        <v>2017</v>
      </c>
      <c r="K36" s="2">
        <v>2018</v>
      </c>
    </row>
    <row r="37" spans="1:13">
      <c r="A37" s="2" t="s">
        <v>61</v>
      </c>
      <c r="B37" s="3">
        <v>0.82</v>
      </c>
      <c r="E37" s="3">
        <v>0.72</v>
      </c>
      <c r="H37" s="3">
        <v>0.65</v>
      </c>
      <c r="I37" s="3">
        <v>0.57999999999999996</v>
      </c>
      <c r="J37" s="3">
        <v>0.43</v>
      </c>
      <c r="K37" s="3">
        <v>0.39</v>
      </c>
    </row>
    <row r="38" spans="1:13">
      <c r="A38" s="2" t="s">
        <v>62</v>
      </c>
      <c r="E38" s="3">
        <v>0.84</v>
      </c>
      <c r="H38" s="3">
        <v>0.75</v>
      </c>
      <c r="I38" s="3">
        <v>0.63</v>
      </c>
      <c r="J38" s="3">
        <v>0.62</v>
      </c>
      <c r="K38" s="3">
        <v>0.5</v>
      </c>
    </row>
    <row r="39" spans="1:13">
      <c r="A39" s="2" t="s">
        <v>63</v>
      </c>
      <c r="H39" s="3">
        <v>0.94</v>
      </c>
      <c r="I39" s="3">
        <v>0.85</v>
      </c>
      <c r="J39" s="3">
        <v>0.84</v>
      </c>
      <c r="K39" s="3">
        <v>0.53</v>
      </c>
    </row>
    <row r="40" spans="1:13">
      <c r="A40" s="2" t="s">
        <v>64</v>
      </c>
      <c r="I40" s="3">
        <v>0.86</v>
      </c>
      <c r="J40" s="3">
        <v>0.87</v>
      </c>
      <c r="K40" s="3">
        <v>0.62</v>
      </c>
    </row>
    <row r="41" spans="1:13">
      <c r="A41" s="2" t="s">
        <v>65</v>
      </c>
      <c r="J41" s="3">
        <v>0.91</v>
      </c>
      <c r="K41" s="3">
        <v>0.65</v>
      </c>
    </row>
    <row r="42" spans="1:13">
      <c r="A42" s="2" t="s">
        <v>66</v>
      </c>
      <c r="K42" s="3">
        <v>0.68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D26" sqref="D26"/>
    </sheetView>
  </sheetViews>
  <sheetFormatPr defaultRowHeight="14"/>
  <cols>
    <col min="1" max="1" width="15.6640625" style="25" customWidth="1"/>
    <col min="2" max="2" width="20.25" style="25" customWidth="1"/>
    <col min="3" max="3" width="32.33203125" style="25" customWidth="1"/>
    <col min="4" max="4" width="21.5" style="25" customWidth="1"/>
    <col min="5" max="5" width="15" style="25" customWidth="1"/>
    <col min="6" max="6" width="14.33203125" style="25" customWidth="1"/>
    <col min="7" max="7" width="15.9140625" style="25" customWidth="1"/>
    <col min="8" max="8" width="20.33203125" style="25" customWidth="1"/>
    <col min="9" max="13" width="8.6640625" style="25"/>
    <col min="14" max="16384" width="8.6640625" style="27"/>
  </cols>
  <sheetData>
    <row r="1" spans="1:13" s="24" customFormat="1">
      <c r="A1" s="24" t="s">
        <v>71</v>
      </c>
      <c r="B1" s="24" t="s">
        <v>69</v>
      </c>
      <c r="C1" s="24" t="s">
        <v>68</v>
      </c>
      <c r="D1" s="24" t="s">
        <v>67</v>
      </c>
      <c r="E1" s="24" t="s">
        <v>79</v>
      </c>
      <c r="F1" s="24" t="s">
        <v>80</v>
      </c>
      <c r="G1" s="24" t="s">
        <v>84</v>
      </c>
      <c r="H1" s="24" t="s">
        <v>83</v>
      </c>
    </row>
    <row r="2" spans="1:13">
      <c r="A2" s="25">
        <v>2013</v>
      </c>
      <c r="B2" s="25">
        <v>0.84250000000000003</v>
      </c>
      <c r="C2" s="25">
        <v>0.73732588892154005</v>
      </c>
      <c r="D2" s="25">
        <v>0.907351460221551</v>
      </c>
      <c r="E2" s="25">
        <f>AVERAGE(B11)</f>
        <v>0.82</v>
      </c>
      <c r="F2" s="25">
        <f>D2-E2</f>
        <v>8.7351460221551047E-2</v>
      </c>
      <c r="G2" s="25">
        <v>0.69732588900000003</v>
      </c>
      <c r="H2" s="26">
        <v>0.56489151900000001</v>
      </c>
    </row>
    <row r="3" spans="1:13">
      <c r="A3" s="25">
        <v>2014</v>
      </c>
      <c r="B3" s="25">
        <v>0.87670000000000003</v>
      </c>
      <c r="C3" s="25">
        <v>0.76702398959141105</v>
      </c>
      <c r="D3" s="25">
        <v>0.90667288847410199</v>
      </c>
      <c r="E3" s="25">
        <f>AVERAGE(C11:C12)</f>
        <v>0.78</v>
      </c>
      <c r="F3" s="25">
        <f t="shared" ref="F3:F7" si="0">D3-E3</f>
        <v>0.12667288847410196</v>
      </c>
      <c r="G3" s="25">
        <v>0.77672209000000003</v>
      </c>
      <c r="H3" s="26">
        <v>0.55866075599999998</v>
      </c>
    </row>
    <row r="4" spans="1:13">
      <c r="A4" s="25">
        <v>2015</v>
      </c>
      <c r="B4" s="25">
        <v>0.83099999999999996</v>
      </c>
      <c r="C4" s="25">
        <v>0.79062094243747205</v>
      </c>
      <c r="D4" s="25">
        <v>0.88500651890482396</v>
      </c>
      <c r="E4" s="25">
        <f>AVERAGE(D11:D13)</f>
        <v>0.77999999999999992</v>
      </c>
      <c r="F4" s="25">
        <f t="shared" si="0"/>
        <v>0.10500651890482404</v>
      </c>
      <c r="G4" s="25">
        <v>0.83095499500000003</v>
      </c>
      <c r="H4" s="26">
        <v>0.58007824699999999</v>
      </c>
    </row>
    <row r="5" spans="1:13">
      <c r="A5" s="25">
        <v>2016</v>
      </c>
      <c r="B5" s="25">
        <v>0.84540000000000004</v>
      </c>
      <c r="C5" s="25">
        <v>0.78762243285940003</v>
      </c>
      <c r="D5" s="25">
        <v>0.88710102875230801</v>
      </c>
      <c r="E5" s="25">
        <f>AVERAGE(E11:E14)</f>
        <v>0.73</v>
      </c>
      <c r="F5" s="25">
        <f t="shared" si="0"/>
        <v>0.15710102875230803</v>
      </c>
      <c r="G5" s="25">
        <v>0.79099526099999995</v>
      </c>
      <c r="H5" s="26">
        <v>0.55684515999999995</v>
      </c>
    </row>
    <row r="6" spans="1:13">
      <c r="A6" s="25">
        <v>2017</v>
      </c>
      <c r="B6" s="25">
        <v>0.88929999999999998</v>
      </c>
      <c r="C6" s="25">
        <v>0.79377118644067801</v>
      </c>
      <c r="D6" s="25">
        <v>0.91098115659519197</v>
      </c>
      <c r="E6" s="25">
        <f>AVERAGE(F11:F15)</f>
        <v>0.7340000000000001</v>
      </c>
      <c r="F6" s="25">
        <f t="shared" si="0"/>
        <v>0.17698115659519187</v>
      </c>
      <c r="G6" s="25">
        <v>0.79475635600000005</v>
      </c>
      <c r="H6" s="26">
        <v>0.61037344400000004</v>
      </c>
    </row>
    <row r="7" spans="1:13">
      <c r="A7" s="25">
        <v>2018</v>
      </c>
      <c r="B7" s="25">
        <v>0.88119999999999998</v>
      </c>
      <c r="C7" s="25">
        <v>0.78698520779525705</v>
      </c>
      <c r="D7" s="25">
        <v>0.91321499013806695</v>
      </c>
      <c r="E7" s="25">
        <f>AVERAGE(G11:G16)</f>
        <v>0.56166666666666665</v>
      </c>
      <c r="F7" s="25">
        <f t="shared" si="0"/>
        <v>0.3515483234714003</v>
      </c>
      <c r="G7" s="25">
        <v>0.63124442400000003</v>
      </c>
      <c r="H7" s="25">
        <v>0.55447260099999995</v>
      </c>
    </row>
    <row r="10" spans="1:13" s="29" customFormat="1">
      <c r="A10" s="28" t="s">
        <v>72</v>
      </c>
      <c r="B10" s="28">
        <v>2013</v>
      </c>
      <c r="C10" s="28">
        <v>2014</v>
      </c>
      <c r="D10" s="28">
        <v>2015</v>
      </c>
      <c r="E10" s="28">
        <v>2016</v>
      </c>
      <c r="F10" s="28">
        <v>2017</v>
      </c>
      <c r="G10" s="28">
        <v>2018</v>
      </c>
      <c r="H10" s="24"/>
      <c r="I10" s="24"/>
      <c r="J10" s="24"/>
      <c r="K10" s="24"/>
      <c r="L10" s="24"/>
      <c r="M10" s="24"/>
    </row>
    <row r="11" spans="1:13">
      <c r="A11" s="30" t="s">
        <v>73</v>
      </c>
      <c r="B11" s="30">
        <v>0.82</v>
      </c>
      <c r="C11" s="30">
        <v>0.72</v>
      </c>
      <c r="D11" s="30">
        <v>0.65</v>
      </c>
      <c r="E11" s="30">
        <v>0.57999999999999996</v>
      </c>
      <c r="F11" s="30">
        <v>0.43</v>
      </c>
      <c r="G11" s="30">
        <v>0.39</v>
      </c>
    </row>
    <row r="12" spans="1:13">
      <c r="A12" s="30" t="s">
        <v>74</v>
      </c>
      <c r="B12" s="30"/>
      <c r="C12" s="30">
        <v>0.84</v>
      </c>
      <c r="D12" s="30">
        <v>0.75</v>
      </c>
      <c r="E12" s="30">
        <v>0.63</v>
      </c>
      <c r="F12" s="30">
        <v>0.62</v>
      </c>
      <c r="G12" s="30">
        <v>0.5</v>
      </c>
    </row>
    <row r="13" spans="1:13">
      <c r="A13" s="30" t="s">
        <v>75</v>
      </c>
      <c r="B13" s="30"/>
      <c r="C13" s="30"/>
      <c r="D13" s="30">
        <v>0.94</v>
      </c>
      <c r="E13" s="30">
        <v>0.85</v>
      </c>
      <c r="F13" s="30">
        <v>0.84</v>
      </c>
      <c r="G13" s="30">
        <v>0.53</v>
      </c>
    </row>
    <row r="14" spans="1:13">
      <c r="A14" s="30" t="s">
        <v>76</v>
      </c>
      <c r="B14" s="30"/>
      <c r="C14" s="30"/>
      <c r="D14" s="30"/>
      <c r="E14" s="30">
        <v>0.86</v>
      </c>
      <c r="F14" s="30">
        <v>0.87</v>
      </c>
      <c r="G14" s="30">
        <v>0.62</v>
      </c>
    </row>
    <row r="15" spans="1:13">
      <c r="A15" s="30" t="s">
        <v>77</v>
      </c>
      <c r="B15" s="30"/>
      <c r="C15" s="30"/>
      <c r="D15" s="30"/>
      <c r="E15" s="30"/>
      <c r="F15" s="30">
        <v>0.91</v>
      </c>
      <c r="G15" s="30">
        <v>0.65</v>
      </c>
    </row>
    <row r="16" spans="1:13">
      <c r="A16" s="30" t="s">
        <v>78</v>
      </c>
      <c r="B16" s="30"/>
      <c r="C16" s="30"/>
      <c r="D16" s="30"/>
      <c r="E16" s="30"/>
      <c r="F16" s="30"/>
      <c r="G16" s="30">
        <v>0.68</v>
      </c>
    </row>
    <row r="18" spans="1:7">
      <c r="A18" s="31" t="s">
        <v>81</v>
      </c>
      <c r="B18" s="31">
        <v>2013</v>
      </c>
      <c r="C18" s="31">
        <v>2014</v>
      </c>
      <c r="D18" s="31">
        <v>2015</v>
      </c>
      <c r="E18" s="31">
        <v>2016</v>
      </c>
      <c r="F18" s="31">
        <v>2017</v>
      </c>
      <c r="G18" s="31">
        <v>2018</v>
      </c>
    </row>
    <row r="19" spans="1:7">
      <c r="A19" s="32" t="s">
        <v>73</v>
      </c>
      <c r="B19" s="32">
        <v>0.71037344400000002</v>
      </c>
      <c r="C19" s="32">
        <v>0.58866075600000001</v>
      </c>
      <c r="D19" s="32">
        <v>0.55007824699999996</v>
      </c>
      <c r="E19" s="32">
        <v>0.45684515999999997</v>
      </c>
      <c r="F19" s="32">
        <v>0.354472601</v>
      </c>
      <c r="G19" s="32">
        <v>0.26489151900000002</v>
      </c>
    </row>
    <row r="20" spans="1:7">
      <c r="A20" s="32" t="s">
        <v>74</v>
      </c>
      <c r="B20" s="32"/>
      <c r="C20" s="32">
        <v>0.72938775499999997</v>
      </c>
      <c r="D20" s="32">
        <v>0.66740196100000004</v>
      </c>
      <c r="E20" s="32">
        <v>0.52606473600000003</v>
      </c>
      <c r="F20" s="32">
        <v>0.52264671100000004</v>
      </c>
      <c r="G20" s="32">
        <v>0.374477958</v>
      </c>
    </row>
    <row r="21" spans="1:7">
      <c r="A21" s="32" t="s">
        <v>75</v>
      </c>
      <c r="B21" s="32"/>
      <c r="C21" s="32"/>
      <c r="D21" s="32">
        <v>0.80386266100000003</v>
      </c>
      <c r="E21" s="32">
        <v>0.65852697900000001</v>
      </c>
      <c r="F21" s="32">
        <v>0.649403748</v>
      </c>
      <c r="G21" s="32">
        <v>0.41803944300000001</v>
      </c>
    </row>
    <row r="22" spans="1:7">
      <c r="A22" s="32" t="s">
        <v>76</v>
      </c>
      <c r="B22" s="32"/>
      <c r="C22" s="32"/>
      <c r="D22" s="32"/>
      <c r="E22" s="32">
        <v>0.74912170099999997</v>
      </c>
      <c r="F22" s="32">
        <v>0.74923339</v>
      </c>
      <c r="G22" s="32">
        <v>0.52784222700000005</v>
      </c>
    </row>
    <row r="23" spans="1:7">
      <c r="A23" s="32" t="s">
        <v>77</v>
      </c>
      <c r="B23" s="32"/>
      <c r="C23" s="32"/>
      <c r="D23" s="32"/>
      <c r="E23" s="32"/>
      <c r="F23" s="32">
        <v>0.75639053300000003</v>
      </c>
      <c r="G23" s="32">
        <v>0.64298143900000004</v>
      </c>
    </row>
    <row r="24" spans="1:7">
      <c r="A24" s="32" t="s">
        <v>78</v>
      </c>
      <c r="B24" s="32"/>
      <c r="C24" s="32"/>
      <c r="D24" s="32"/>
      <c r="E24" s="32"/>
      <c r="F24" s="32"/>
      <c r="G24" s="32">
        <v>0.63660092800000001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gongsiyi</cp:lastModifiedBy>
  <dcterms:created xsi:type="dcterms:W3CDTF">2015-06-05T18:19:34Z</dcterms:created>
  <dcterms:modified xsi:type="dcterms:W3CDTF">2024-06-05T11:06:14Z</dcterms:modified>
</cp:coreProperties>
</file>