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465" yWindow="1320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G49" i="10" s="1"/>
  <c r="F62" i="10"/>
  <c r="F48" i="10"/>
  <c r="G47" i="10" s="1"/>
  <c r="F44" i="10"/>
  <c r="F36" i="10"/>
  <c r="F45" i="10"/>
  <c r="F60" i="10"/>
  <c r="F52" i="10"/>
  <c r="G51" i="10" s="1"/>
  <c r="F38" i="10"/>
  <c r="F58" i="10"/>
  <c r="F61" i="10"/>
  <c r="F57" i="10"/>
  <c r="F56" i="10"/>
  <c r="F47" i="10"/>
  <c r="F54" i="10"/>
  <c r="F46" i="10"/>
  <c r="G45" i="10" s="1"/>
  <c r="F35" i="10"/>
  <c r="F41" i="10"/>
  <c r="F42" i="10"/>
  <c r="G41" i="10" s="1"/>
  <c r="F40" i="10"/>
  <c r="F43" i="10"/>
  <c r="G43" i="10" s="1"/>
  <c r="F55" i="10"/>
  <c r="F59" i="10"/>
  <c r="F51" i="10"/>
  <c r="F34" i="10"/>
  <c r="G33" i="10" s="1"/>
  <c r="F39" i="10"/>
  <c r="F33" i="10"/>
  <c r="F32" i="10"/>
  <c r="F37" i="10"/>
  <c r="G37" i="10" s="1"/>
  <c r="G61" i="10"/>
  <c r="G53" i="10"/>
  <c r="G59" i="10"/>
  <c r="G57" i="10"/>
  <c r="G55" i="10"/>
  <c r="G39" i="10"/>
  <c r="G35" i="10" l="1"/>
  <c r="G31" i="10"/>
  <c r="G63" i="10" s="1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<sst xmlns="http://schemas.openxmlformats.org/spreadsheetml/2006/main" count="51" uniqueCount="49">
  <si>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</si>
  <si>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</si>
  <si>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</si>
  <si>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</si>
  <si>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</si>
  <si>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</si>
  <si>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</si>
  <si>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</si>
  <si>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</si>
  <si>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</si>
  <si>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</si>
  <si>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</si>
  <si>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</si>
  <si>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</si>
  <si>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</si>
  <si>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</si>
  <si>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</si>
  <si>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</si>
  <si>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</si>
  <si>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</si>
  <si>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</si>
  <si>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</si>
  <si>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</si>
  <si>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</si>
  <si>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</si>
  <si>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</si>
  <si>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</si>
  <si>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</si>
  <si>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</si>
  <si>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</si>
  <si>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</si>
  <si>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</si>
  <si>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</si>
  <si>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</si>
  <si>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</si>
  <si>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</si>
  <si>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</si>
  <si>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</si>
  <si>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</si>
  <si>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</si>
  <si>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</si>
  <si>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</si>
  <si>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</si>
  <si>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 xml:space="preserve">Hormigón </t>
  </si>
  <si>
    <t>Cerrillos de Tamaya</t>
  </si>
  <si>
    <t>19 S</t>
  </si>
  <si>
    <t>Sin regulación</t>
  </si>
  <si>
    <t>Sección rectangular revestida. Punto de control sin compuerta de regulación, corresponde a canal matriz.</t>
  </si>
  <si>
    <t>Villalón - Entrada Embalse Concepción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</si>
</sst>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24" zoomScale="64" zoomScaleNormal="70" zoomScalePageLayoutView="70" workbookViewId="0">
      <selection activeCell="E29" sqref="E29:E52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5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48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44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47" t="s">
        <v>7</v>
      </c>
      <c r="C8" s="48"/>
      <c r="D8" s="49">
        <v>270936.66787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6613402.0413600001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261.30099999999999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45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46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42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43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47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0.27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0.5</v>
      </c>
      <c r="D21" s="22">
        <v>0.5</v>
      </c>
      <c r="E21" s="7"/>
      <c r="F21" s="49">
        <v>0.82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2.4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10</v>
      </c>
      <c r="D24" s="7"/>
      <c r="E24" s="103">
        <v>0.82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0.24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1.32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0.12</v>
      </c>
      <c r="D31" s="91">
        <f>IF(C31="NO APLICA","NO APLICA",ROUND(C31,2))</f>
        <v>0.12</v>
      </c>
      <c r="E31" s="81">
        <v>1.32</v>
      </c>
      <c r="F31" s="5">
        <f>+IF(C31="NO APLICA","NO APLICA",IF(E31=E29,E31*D31,IF(E31&gt;E29,E29*D31+(((E31-E29))*D31/2),IF(E31&lt;E29,(E31*D31)+(((E29-E31))*D31/2)))))</f>
        <v>0.15840000000000001</v>
      </c>
      <c r="G31" s="83">
        <f>+IF(F32="NO APLICA","NO APLICA",F31+F32)</f>
        <v>0.31680000000000003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0.15840000000000001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0.24</v>
      </c>
      <c r="D33" s="91">
        <f>IF(C33="NO APLICA","NO APLICA",ROUND(C31+C33,2))</f>
        <v>0.36</v>
      </c>
      <c r="E33" s="81">
        <v>1.32</v>
      </c>
      <c r="F33" s="5">
        <f>+IF(C33="NO APLICA","NO APLICA",IF(E33=E31,E33*(D33-D31)/2,IF(E33&gt;E31,(E33-((E33-E31)/2))*(D33-D31)/2+(((E33-E31)/2)*(D33-D31)/4),IF(E33&lt;E31,(E33*(D33-D31)/2)+(((E31-E33)/2)*(D33-D31)/4)))))</f>
        <v>0.15840000000000001</v>
      </c>
      <c r="G33" s="83">
        <f t="shared" ref="G33" si="0">+IF(F34="NO APLICA","NO APLICA",F33+F34)</f>
        <v>0.31680000000000003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0.15840000000000001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0.24</v>
      </c>
      <c r="D35" s="91">
        <f>IF(C35="NO APLICA","NO APLICA",ROUND(C31+C33+C35,2))</f>
        <v>0.6</v>
      </c>
      <c r="E35" s="81">
        <v>1.32</v>
      </c>
      <c r="F35" s="5">
        <f>+IF(C35="NO APLICA","NO APLICA",IF(E35=E33,E35*(D35-D33)/2,IF(E35&gt;E33,(E35-((E35-E33)/2))*(D35-D33)/2+(((E35-E33)/2)*(D35-D33)/4),IF(E35&lt;E33,(E35*(D35-D33)/2)+(((E33-E35)/2)*(D35-D33)/4)))))</f>
        <v>0.15840000000000001</v>
      </c>
      <c r="G35" s="83">
        <f t="shared" ref="G35" si="1">+IF(F36="NO APLICA","NO APLICA",F35+F36)</f>
        <v>0.31680000000000003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0.15840000000000001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0.24</v>
      </c>
      <c r="D37" s="91">
        <f>IF(C37="NO APLICA","NO APLICA",ROUND(C31+C33+C35+C37,2))</f>
        <v>0.84</v>
      </c>
      <c r="E37" s="81">
        <v>1.32</v>
      </c>
      <c r="F37" s="5">
        <f>+IF(C37="NO APLICA","NO APLICA",IF(E37=E35,E37*(D37-D35)/2,IF(E37&gt;E35,(E37-((E37-E35)/2))*(D37-D35)/2+(((E37-E35)/2)*(D37-D35)/4),IF(E37&lt;E35,(E37*(D37-D35)/2)+(((E35-E37)/2)*(D37-D35)/4)))))</f>
        <v>0.15840000000000001</v>
      </c>
      <c r="G37" s="83">
        <f t="shared" ref="G37" si="2">+IF(F38="NO APLICA","NO APLICA",F37+F38)</f>
        <v>0.31680000000000008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0.15840000000000007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0.24</v>
      </c>
      <c r="D39" s="91">
        <f>IF(C39="NO APLICA","NO APLICA",ROUND(C31+C33+C35+C37+C39,2))</f>
        <v>1.08</v>
      </c>
      <c r="E39" s="81">
        <v>1.32</v>
      </c>
      <c r="F39" s="5">
        <f>+IF(C39="NO APLICA","NO APLICA",IF(E39=E37,E39*(D39-D37)/2,IF(E39&gt;E37,(E39-((E39-E37)/2))*(D39-D37)/2+(((E39-E37)/2)*(D39-D37)/4),IF(E39&lt;E37,(E39*(D39-D37)/2)+(((E37-E39)/2)*(D39-D37)/4)))))</f>
        <v>0.15840000000000007</v>
      </c>
      <c r="G39" s="83">
        <f t="shared" ref="G39" si="3">+IF(F40="NO APLICA","NO APLICA",F39+F40)</f>
        <v>0.31680000000000008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0.15840000000000001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0.24</v>
      </c>
      <c r="D41" s="91">
        <f>IF(C41="NO APLICA","NO APLICA",ROUND(C31+C33+C35+C37+C39+C41,2))</f>
        <v>1.32</v>
      </c>
      <c r="E41" s="81">
        <v>1.32</v>
      </c>
      <c r="F41" s="5">
        <f>+IF(C41="NO APLICA","NO APLICA",IF(E41=E39,E41*(D41-D39)/2,IF(E41&gt;E39,(E41-((E41-E39)/2))*(D41-D39)/2+(((E41-E39)/2)*(D41-D39)/4),IF(E41&lt;E39,(E41*(D41-D39)/2)+(((E39-E41)/2)*(D41-D39)/4)))))</f>
        <v>0.15840000000000001</v>
      </c>
      <c r="G41" s="83">
        <f t="shared" ref="G41" si="4">+IF(F42="NO APLICA","NO APLICA",F41+F42)</f>
        <v>0.31680000000000003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0.15840000000000001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>
        <f>+IF(C43="NO APLICA","S/N",IF(C41&gt;C43,"Final",7))</f>
        <v>7</v>
      </c>
      <c r="C43" s="89">
        <f>+IF(C24=6,C25/2,IF(C24&gt;6,C25,"NO APLICA"))</f>
        <v>0.24</v>
      </c>
      <c r="D43" s="91">
        <f>IF(C43="NO APLICA","NO APLICA",ROUND(C31+C33+C35+C37+C39+C41+C43,2))</f>
        <v>1.56</v>
      </c>
      <c r="E43" s="81">
        <v>1.32</v>
      </c>
      <c r="F43" s="5">
        <f>+IF(C43="NO APLICA","NO APLICA",IF(E43=E41,E43*(D43-D41)/2,IF(E43&gt;E41,(E43-((E43-E41)/2))*(D43-D41)/2+(((E43-E41)/2)*(D43-D41)/4),IF(E43&lt;E41,(E43*(D43-D41)/2)+(((E41-E43)/2)*(D43-D41)/4)))))</f>
        <v>0.15840000000000001</v>
      </c>
      <c r="G43" s="83">
        <f t="shared" ref="G43" si="5">+IF(F44="NO APLICA","NO APLICA",F43+F44)</f>
        <v>0.31680000000000003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0.15840000000000001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>
        <f>+IF(C45="NO APLICA","S/N",8)</f>
        <v>8</v>
      </c>
      <c r="C45" s="89">
        <f>+IF(C24&gt;6,C25,"NO APLICA")</f>
        <v>0.24</v>
      </c>
      <c r="D45" s="91">
        <f>IF(C45="NO APLICA","NO APLICA",ROUND(C31+C33+C35+C37+C39+C41+C43+C45,2))</f>
        <v>1.8</v>
      </c>
      <c r="E45" s="81">
        <v>1.32</v>
      </c>
      <c r="F45" s="5">
        <f>+IF(C45="NO APLICA","NO APLICA",IF(E45=E43,E45*(D45-D43)/2,IF(E45&gt;E43,(E45-((E45-E43)/2))*(D45-D43)/2+(((E45-E43)/2)*(D45-D43)/4),IF(E45&lt;E43,(E45*(D45-D43)/2)+(((E43-E45)/2)*(D45-D43)/4)))))</f>
        <v>0.15840000000000001</v>
      </c>
      <c r="G45" s="83">
        <f t="shared" ref="G45" si="6">+IF(F46="NO APLICA","NO APLICA",F45+F46)</f>
        <v>0.31680000000000003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0.15840000000000001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>
        <f>+IF(C47="NO APLICA","S/N",9)</f>
        <v>9</v>
      </c>
      <c r="C47" s="89">
        <f>+IF(C24&gt;6,C25,"NO APLICA")</f>
        <v>0.24</v>
      </c>
      <c r="D47" s="91">
        <f>IF(C47="NO APLICA","NO APLICA",ROUND(C31+C33+C35+C37+C39+C41+C43+C45+C47,2))</f>
        <v>2.04</v>
      </c>
      <c r="E47" s="81">
        <v>1.32</v>
      </c>
      <c r="F47" s="5">
        <f>+IF(C47="NO APLICA","NO APLICA",IF(E47=E45,E47*(D47-D45)/2,IF(E47&gt;E45,(E47-((E47-E45)/2))*(D47-D45)/2+(((E47-E45)/2)*(D47-D45)/4),IF(E47&lt;E45,(E47*(D47-D45)/2)+(((E45-E47)/2)*(D47-D45)/4)))))</f>
        <v>0.15840000000000001</v>
      </c>
      <c r="G47" s="83">
        <f t="shared" ref="G47" si="7">+IF(F48="NO APLICA","NO APLICA",F47+F48)</f>
        <v>0.31679999999999986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0.15839999999999985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>
        <f>+IF(C49="NO APLICA","S/N",10)</f>
        <v>10</v>
      </c>
      <c r="C49" s="89">
        <f>+IF(C24&gt;6,C25,"NO APLICA")</f>
        <v>0.24</v>
      </c>
      <c r="D49" s="91">
        <f>IF(C49="NO APLICA","NO APLICA",ROUND(C31+C33+C35+C37+C39+C41+C43+C45+C47+C49,2))</f>
        <v>2.2799999999999998</v>
      </c>
      <c r="E49" s="81">
        <v>1.32</v>
      </c>
      <c r="F49" s="5">
        <f>+IF(C49="NO APLICA","NO APLICA",IF(E49=E47,E49*(D49-D47)/2,IF(E49&gt;E47,(E49-((E49-E47)/2))*(D49-D47)/2+(((E49-E47)/2)*(D49-D47)/4),IF(E49&lt;E47,(E49*(D49-D47)/2)+(((E47-E49)/2)*(D49-D47)/4)))))</f>
        <v>0.15839999999999985</v>
      </c>
      <c r="G49" s="83">
        <f t="shared" ref="G49" si="8">+IF(F50="NO APLICA","NO APLICA",F49+F50)</f>
        <v>0.31679999999999997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0.15840000000000015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Final</v>
      </c>
      <c r="C51" s="89">
        <f>+IF(C24=10,C25/2,IF(C24&gt;10,C25,"NO APLICA"))</f>
        <v>0.12</v>
      </c>
      <c r="D51" s="91">
        <f>IF(C51="NO APLICA","NO APLICA",ROUND(C31+C33+C35+C37+C39+C41+C43+C45+C47+C49+C51,2))</f>
        <v>2.4</v>
      </c>
      <c r="E51" s="81">
        <v>1.32</v>
      </c>
      <c r="F51" s="5">
        <f>+IF(C51="NO APLICA","NO APLICA",IF(E51=E49,E51*(D51-D49)/2,IF(E51&gt;E49,(E51-((E51-E49)/2))*(D51-D49)/2+(((E51-E49)/2)*(D51-D49)/4),IF(E51&lt;E49,(E51*(D51-D49)/2)+(((E49-E51)/2)*(D51-D49)/4)))))</f>
        <v>7.9200000000000076E-2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3.1680000000000001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53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52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7" priority="30" operator="equal">
      <formula>"NO APLICA"</formula>
    </cfRule>
    <cfRule type="cellIs" dxfId="16" priority="31" operator="equal">
      <formula>"NO APLICA"</formula>
    </cfRule>
  </conditionalFormatting>
  <conditionalFormatting sqref="W43:AE62 AC31:AE42">
    <cfRule type="cellIs" dxfId="15" priority="29" operator="equal">
      <formula>"no aplica"</formula>
    </cfRule>
  </conditionalFormatting>
  <conditionalFormatting sqref="W31:AB42">
    <cfRule type="cellIs" dxfId="14" priority="27" operator="equal">
      <formula>"NO APLICA"</formula>
    </cfRule>
    <cfRule type="cellIs" dxfId="13" priority="28" operator="equal">
      <formula>"NO APLICA"</formula>
    </cfRule>
  </conditionalFormatting>
  <conditionalFormatting sqref="F63">
    <cfRule type="cellIs" dxfId="12" priority="25" operator="equal">
      <formula>"NO APLICA"</formula>
    </cfRule>
    <cfRule type="cellIs" dxfId="11" priority="26" operator="equal">
      <formula>"NO APLICA"</formula>
    </cfRule>
  </conditionalFormatting>
  <conditionalFormatting sqref="G63:G64">
    <cfRule type="cellIs" dxfId="10" priority="24" operator="equal">
      <formula>"NO APLICA"</formula>
    </cfRule>
  </conditionalFormatting>
  <conditionalFormatting sqref="G65:G66">
    <cfRule type="cellIs" dxfId="9" priority="22" operator="equal">
      <formula>"NO APLICA"</formula>
    </cfRule>
    <cfRule type="cellIs" dxfId="8" priority="23" operator="equal">
      <formula>"NO APLICA"</formula>
    </cfRule>
  </conditionalFormatting>
  <conditionalFormatting sqref="G65:G66">
    <cfRule type="cellIs" dxfId="7" priority="21" operator="equal">
      <formula>"NO APLICA"</formula>
    </cfRule>
  </conditionalFormatting>
  <conditionalFormatting sqref="F65">
    <cfRule type="cellIs" dxfId="6" priority="19" operator="equal">
      <formula>"NO APLICA"</formula>
    </cfRule>
    <cfRule type="cellIs" dxfId="5" priority="20" operator="equal">
      <formula>"NO APLICA"</formula>
    </cfRule>
  </conditionalFormatting>
  <conditionalFormatting sqref="AJ38:AP38 AJ34:AP34 AJ30:AP30">
    <cfRule type="cellIs" dxfId="4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2018-01-31T15:19:08Z</dcterms:modified>
</cp:coreProperties>
</file>