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3920" yWindow="1515" windowWidth="124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<sst xmlns="http://schemas.openxmlformats.org/spreadsheetml/2006/main" count="51" uniqueCount="46">
  <si>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</si>
  <si>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</si>
  <si>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</si>
  <si>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</si>
  <si>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</si>
  <si>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</si>
  <si>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</si>
  <si>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</si>
  <si>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</si>
  <si>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</si>
  <si>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</si>
  <si>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</si>
  <si>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</si>
  <si>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</si>
  <si>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</si>
  <si>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</si>
  <si>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</si>
  <si>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</si>
  <si>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</si>
  <si>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</si>
  <si>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</si>
  <si>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</si>
  <si>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</si>
  <si>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</si>
  <si>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</si>
  <si>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</si>
  <si>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</si>
  <si>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</si>
  <si>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</si>
  <si>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</si>
  <si>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</si>
  <si>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</si>
  <si>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</si>
  <si>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</si>
  <si>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</si>
  <si>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</si>
  <si>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</si>
  <si>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</si>
  <si>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</si>
  <si>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</si>
  <si>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</si>
  <si>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</si>
  <si>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19 S</t>
  </si>
  <si>
    <t>Arquería</t>
  </si>
  <si>
    <t>Los Olivos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</si>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</sst>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2"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22" zoomScale="64" zoomScaleNormal="70" zoomScalePageLayoutView="70" workbookViewId="0">
      <selection activeCell="E29" sqref="E29:E44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43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44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5">
      <c r="A8" s="7"/>
      <c r="B8" s="47" t="s">
        <v>7</v>
      </c>
      <c r="C8" s="48"/>
      <c r="D8" s="49">
        <v>294113.57587200002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6614885.1014499897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215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42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45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45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45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45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0.7</v>
      </c>
      <c r="D21" s="22">
        <v>0.7</v>
      </c>
      <c r="E21" s="7"/>
      <c r="F21" s="49">
        <v>0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103">
        <v>0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0.16666666666666666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0.7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8.3333333333333329E-2</v>
      </c>
      <c r="D31" s="91">
        <f>IF(C31="NO APLICA","NO APLICA",ROUND(C31,2))</f>
        <v>0.08</v>
      </c>
      <c r="E31" s="81">
        <v>0.7</v>
      </c>
      <c r="F31" s="5">
        <f>+IF(C31="NO APLICA","NO APLICA",IF(E31=E29,E31*D31,IF(E31&gt;E29,E29*D31+(((E31-E29))*D31/2),IF(E31&lt;E29,(E31*D31)+(((E29-E31))*D31/2)))))</f>
        <v>5.5999999999999994E-2</v>
      </c>
      <c r="G31" s="83">
        <f>+IF(F32="NO APLICA","NO APLICA",F31+F32)</f>
        <v>0.11549999999999999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5.949999999999999E-2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0.16666666666666666</v>
      </c>
      <c r="D33" s="91">
        <f>IF(C33="NO APLICA","NO APLICA",ROUND(C31+C33,2))</f>
        <v>0.25</v>
      </c>
      <c r="E33" s="81">
        <v>0.7</v>
      </c>
      <c r="F33" s="5">
        <f>+IF(C33="NO APLICA","NO APLICA",IF(E33=E31,E33*(D33-D31)/2,IF(E33&gt;E31,(E33-((E33-E31)/2))*(D33-D31)/2+(((E33-E31)/2)*(D33-D31)/4),IF(E33&lt;E31,(E33*(D33-D31)/2)+(((E31-E33)/2)*(D33-D31)/4)))))</f>
        <v>5.949999999999999E-2</v>
      </c>
      <c r="G33" s="83">
        <f t="shared" ref="G33" si="0">+IF(F34="NO APLICA","NO APLICA",F33+F34)</f>
        <v>0.11899999999999998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5.949999999999999E-2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0.16666666666666666</v>
      </c>
      <c r="D35" s="91">
        <f>IF(C35="NO APLICA","NO APLICA",ROUND(C31+C33+C35,2))</f>
        <v>0.42</v>
      </c>
      <c r="E35" s="81">
        <v>0.7</v>
      </c>
      <c r="F35" s="5">
        <f>+IF(C35="NO APLICA","NO APLICA",IF(E35=E33,E35*(D35-D33)/2,IF(E35&gt;E33,(E35-((E35-E33)/2))*(D35-D33)/2+(((E35-E33)/2)*(D35-D33)/4),IF(E35&lt;E33,(E35*(D35-D33)/2)+(((E33-E35)/2)*(D35-D33)/4)))))</f>
        <v>5.949999999999999E-2</v>
      </c>
      <c r="G35" s="83">
        <f t="shared" ref="G35" si="1">+IF(F36="NO APLICA","NO APLICA",F35+F36)</f>
        <v>0.11549999999999998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5.5999999999999987E-2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0.16666666666666666</v>
      </c>
      <c r="D37" s="91">
        <f>IF(C37="NO APLICA","NO APLICA",ROUND(C31+C33+C35+C37,2))</f>
        <v>0.57999999999999996</v>
      </c>
      <c r="E37" s="81">
        <v>0.7</v>
      </c>
      <c r="F37" s="5">
        <f>+IF(C37="NO APLICA","NO APLICA",IF(E37=E35,E37*(D37-D35)/2,IF(E37&gt;E35,(E37-((E37-E35)/2))*(D37-D35)/2+(((E37-E35)/2)*(D37-D35)/4),IF(E37&lt;E35,(E37*(D37-D35)/2)+(((E35-E37)/2)*(D37-D35)/4)))))</f>
        <v>5.5999999999999987E-2</v>
      </c>
      <c r="G37" s="83">
        <f t="shared" ref="G37" si="2">+IF(F38="NO APLICA","NO APLICA",F37+F38)</f>
        <v>0.11549999999999999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5.9500000000000011E-2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>
        <f>+IF(C39="NO APLICA","S/N",IF(C37&gt;C39,"Final",5))</f>
        <v>5</v>
      </c>
      <c r="C39" s="89">
        <f>+IF(C24=4,C25/2,IF(C24&gt;4,C25,"NO APLICA"))</f>
        <v>0.16666666666666666</v>
      </c>
      <c r="D39" s="91">
        <f>IF(C39="NO APLICA","NO APLICA",ROUND(C31+C33+C35+C37+C39,2))</f>
        <v>0.75</v>
      </c>
      <c r="E39" s="81">
        <v>0.7</v>
      </c>
      <c r="F39" s="5">
        <f>+IF(C39="NO APLICA","NO APLICA",IF(E39=E37,E39*(D39-D37)/2,IF(E39&gt;E37,(E39-((E39-E37)/2))*(D39-D37)/2+(((E39-E37)/2)*(D39-D37)/4),IF(E39&lt;E37,(E39*(D39-D37)/2)+(((E37-E39)/2)*(D39-D37)/4)))))</f>
        <v>5.9500000000000011E-2</v>
      </c>
      <c r="G39" s="83">
        <f t="shared" ref="G39" si="3">+IF(F40="NO APLICA","NO APLICA",F39+F40)</f>
        <v>0.11900000000000002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5.9500000000000011E-2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>
        <f>+IF(C41="NO APLICA","S/N",6)</f>
        <v>6</v>
      </c>
      <c r="C41" s="89">
        <f>+IF(C24&gt;4,C25,"NO APLICA")</f>
        <v>0.16666666666666666</v>
      </c>
      <c r="D41" s="91">
        <f>IF(C41="NO APLICA","NO APLICA",ROUND(C31+C33+C35+C37+C39+C41,2))</f>
        <v>0.92</v>
      </c>
      <c r="E41" s="81">
        <v>0.7</v>
      </c>
      <c r="F41" s="5">
        <f>+IF(C41="NO APLICA","NO APLICA",IF(E41=E39,E41*(D41-D39)/2,IF(E41&gt;E39,(E41-((E41-E39)/2))*(D41-D39)/2+(((E41-E39)/2)*(D41-D39)/4),IF(E41&lt;E39,(E41*(D41-D39)/2)+(((E39-E41)/2)*(D41-D39)/4)))))</f>
        <v>5.9500000000000011E-2</v>
      </c>
      <c r="G41" s="83">
        <f t="shared" ref="G41" si="4">+IF(F42="NO APLICA","NO APLICA",F41+F42)</f>
        <v>0.11549999999999998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5.5999999999999966E-2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 t="str">
        <f>+IF(C43="NO APLICA","S/N",IF(C41&gt;C43,"Final",7))</f>
        <v>Final</v>
      </c>
      <c r="C43" s="89">
        <f>+IF(C24=6,C25/2,IF(C24&gt;6,C25,"NO APLICA"))</f>
        <v>8.3333333333333329E-2</v>
      </c>
      <c r="D43" s="91">
        <f>IF(C43="NO APLICA","NO APLICA",ROUND(C31+C33+C35+C37+C39+C41+C43,2))</f>
        <v>1</v>
      </c>
      <c r="E43" s="81">
        <v>0.7</v>
      </c>
      <c r="F43" s="5">
        <f>+IF(C43="NO APLICA","NO APLICA",IF(E43=E41,E43*(D43-D41)/2,IF(E43&gt;E41,(E43-((E43-E41)/2))*(D43-D41)/2+(((E43-E41)/2)*(D43-D41)/4),IF(E43&lt;E41,(E43*(D43-D41)/2)+(((E41-E43)/2)*(D43-D41)/4)))))</f>
        <v>2.7999999999999983E-2</v>
      </c>
      <c r="G43" s="83" t="str">
        <f t="shared" ref="G43" si="5">+IF(F44="NO APLICA","NO APLICA",F43+F44)</f>
        <v>NO APLICA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 t="str">
        <f>+IF(C45="NO APLICA","S/N",8)</f>
        <v>S/N</v>
      </c>
      <c r="C45" s="89" t="str">
        <f>+IF(C24&gt;6,C25,"NO APLICA")</f>
        <v>NO APLICA</v>
      </c>
      <c r="D45" s="91" t="str">
        <f>IF(C45="NO APLICA","NO APLICA",ROUND(C31+C33+C35+C37+C39+C41+C43+C45,2))</f>
        <v>NO APLICA</v>
      </c>
      <c r="E45" s="81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83" t="str">
        <f t="shared" ref="G45" si="6">+IF(F46="NO APLICA","NO APLICA",F45+F46)</f>
        <v>NO APLICA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 t="str">
        <f>+IF(C47="NO APLICA","S/N",9)</f>
        <v>S/N</v>
      </c>
      <c r="C47" s="89" t="str">
        <f>+IF(C24&gt;6,C25,"NO APLICA")</f>
        <v>NO APLICA</v>
      </c>
      <c r="D47" s="91" t="str">
        <f>IF(C47="NO APLICA","NO APLICA",ROUND(C31+C33+C35+C37+C39+C41+C43+C45+C47,2))</f>
        <v>NO APLICA</v>
      </c>
      <c r="E47" s="81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83" t="str">
        <f t="shared" ref="G47" si="7">+IF(F48="NO APLICA","NO APLICA",F47+F48)</f>
        <v>NO APLICA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 t="str">
        <f>+IF(C49="NO APLICA","S/N",10)</f>
        <v>S/N</v>
      </c>
      <c r="C49" s="89" t="str">
        <f>+IF(C24&gt;6,C25,"NO APLICA")</f>
        <v>NO APLICA</v>
      </c>
      <c r="D49" s="91" t="str">
        <f>IF(C49="NO APLICA","NO APLICA",ROUND(C31+C33+C35+C37+C39+C41+C43+C45+C47+C49,2))</f>
        <v>NO APLICA</v>
      </c>
      <c r="E49" s="81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83" t="str">
        <f t="shared" ref="G49" si="8">+IF(F50="NO APLICA","NO APLICA",F49+F50)</f>
        <v>NO APLICA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S/N</v>
      </c>
      <c r="C51" s="89" t="str">
        <f>+IF(C24=10,C25/2,IF(C24&gt;10,C25,"NO APLICA"))</f>
        <v>NO APLICA</v>
      </c>
      <c r="D51" s="91" t="str">
        <f>IF(C51="NO APLICA","NO APLICA",ROUND(C31+C33+C35+C37+C39+C41+C43+C45+C47+C49+C51,2))</f>
        <v>NO APLICA</v>
      </c>
      <c r="E51" s="81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0.7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41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40" priority="86" operator="equal">
      <formula>"NO APLICA"</formula>
    </cfRule>
    <cfRule type="cellIs" dxfId="39" priority="87" operator="equal">
      <formula>"NO APLICA"</formula>
    </cfRule>
  </conditionalFormatting>
  <conditionalFormatting sqref="W28:AE28">
    <cfRule type="cellIs" dxfId="38" priority="84" operator="equal">
      <formula>"NO APLICA"</formula>
    </cfRule>
    <cfRule type="cellIs" dxfId="37" priority="85" operator="equal">
      <formula>"NO APLICA"</formula>
    </cfRule>
  </conditionalFormatting>
  <conditionalFormatting sqref="AF27 AF28:AH28">
    <cfRule type="cellIs" dxfId="36" priority="82" operator="equal">
      <formula>"NO APLICA"</formula>
    </cfRule>
    <cfRule type="cellIs" dxfId="35" priority="83" operator="equal">
      <formula>"NO APLICA"</formula>
    </cfRule>
  </conditionalFormatting>
  <conditionalFormatting sqref="AI29:AI62">
    <cfRule type="cellIs" dxfId="34" priority="81" operator="equal">
      <formula>"FALTAN DATOS"</formula>
    </cfRule>
  </conditionalFormatting>
  <conditionalFormatting sqref="F29:F30">
    <cfRule type="cellIs" dxfId="33" priority="79" operator="equal">
      <formula>"NO APLICA"</formula>
    </cfRule>
    <cfRule type="cellIs" dxfId="32" priority="80" operator="equal">
      <formula>"NO APLICA"</formula>
    </cfRule>
  </conditionalFormatting>
  <conditionalFormatting sqref="C31:D64">
    <cfRule type="cellIs" dxfId="31" priority="75" operator="equal">
      <formula>"no aplica"</formula>
    </cfRule>
    <cfRule type="cellIs" dxfId="30" priority="76" operator="equal">
      <formula>"no aplica"</formula>
    </cfRule>
    <cfRule type="cellIs" dxfId="29" priority="77" operator="equal">
      <formula>"no aplica"</formula>
    </cfRule>
    <cfRule type="cellIs" dxfId="28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7" priority="74" operator="equal">
      <formula>"no aplica"</formula>
    </cfRule>
  </conditionalFormatting>
  <conditionalFormatting sqref="W29:AI30 AF31:AI62">
    <cfRule type="cellIs" dxfId="26" priority="73" operator="equal">
      <formula>"no aplica"</formula>
    </cfRule>
  </conditionalFormatting>
  <conditionalFormatting sqref="N23:O25">
    <cfRule type="cellIs" dxfId="25" priority="72" operator="equal">
      <formula>"FALTAN DATOS"</formula>
    </cfRule>
  </conditionalFormatting>
  <conditionalFormatting sqref="W23:X25">
    <cfRule type="cellIs" dxfId="24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3" priority="52" operator="equal">
      <formula>"s/n"</formula>
    </cfRule>
    <cfRule type="cellIs" dxfId="22" priority="53" operator="equal">
      <formula>"final"</formula>
    </cfRule>
    <cfRule type="cellIs" dxfId="21" priority="64" operator="equal">
      <formula>"Final"</formula>
    </cfRule>
    <cfRule type="cellIs" dxfId="20" priority="65" operator="equal">
      <formula>"s/n"</formula>
    </cfRule>
  </conditionalFormatting>
  <conditionalFormatting sqref="E45:E64">
    <cfRule type="cellIs" dxfId="19" priority="40" operator="equal">
      <formula>"NO APLICA"</formula>
    </cfRule>
    <cfRule type="cellIs" dxfId="18" priority="41" operator="equal">
      <formula>"NO APLICA"</formula>
    </cfRule>
  </conditionalFormatting>
  <conditionalFormatting sqref="E29:E44">
    <cfRule type="cellIs" dxfId="3" priority="38" operator="equal">
      <formula>"NO APLICA"</formula>
    </cfRule>
    <cfRule type="cellIs" dxfId="2" priority="39" operator="equal">
      <formula>"NO APLICA"</formula>
    </cfRule>
  </conditionalFormatting>
  <conditionalFormatting sqref="AC31:AE42 W43:AE62">
    <cfRule type="cellIs" dxfId="17" priority="30" operator="equal">
      <formula>"NO APLICA"</formula>
    </cfRule>
    <cfRule type="cellIs" dxfId="16" priority="31" operator="equal">
      <formula>"NO APLICA"</formula>
    </cfRule>
  </conditionalFormatting>
  <conditionalFormatting sqref="W43:AE62 AC31:AE42">
    <cfRule type="cellIs" dxfId="15" priority="29" operator="equal">
      <formula>"no aplica"</formula>
    </cfRule>
  </conditionalFormatting>
  <conditionalFormatting sqref="W31:AB42">
    <cfRule type="cellIs" dxfId="14" priority="27" operator="equal">
      <formula>"NO APLICA"</formula>
    </cfRule>
    <cfRule type="cellIs" dxfId="13" priority="28" operator="equal">
      <formula>"NO APLICA"</formula>
    </cfRule>
  </conditionalFormatting>
  <conditionalFormatting sqref="F63">
    <cfRule type="cellIs" dxfId="12" priority="25" operator="equal">
      <formula>"NO APLICA"</formula>
    </cfRule>
    <cfRule type="cellIs" dxfId="11" priority="26" operator="equal">
      <formula>"NO APLICA"</formula>
    </cfRule>
  </conditionalFormatting>
  <conditionalFormatting sqref="G63:G64">
    <cfRule type="cellIs" dxfId="10" priority="24" operator="equal">
      <formula>"NO APLICA"</formula>
    </cfRule>
  </conditionalFormatting>
  <conditionalFormatting sqref="G65:G66">
    <cfRule type="cellIs" dxfId="9" priority="22" operator="equal">
      <formula>"NO APLICA"</formula>
    </cfRule>
    <cfRule type="cellIs" dxfId="8" priority="23" operator="equal">
      <formula>"NO APLICA"</formula>
    </cfRule>
  </conditionalFormatting>
  <conditionalFormatting sqref="G65:G66">
    <cfRule type="cellIs" dxfId="7" priority="21" operator="equal">
      <formula>"NO APLICA"</formula>
    </cfRule>
  </conditionalFormatting>
  <conditionalFormatting sqref="F65">
    <cfRule type="cellIs" dxfId="6" priority="19" operator="equal">
      <formula>"NO APLICA"</formula>
    </cfRule>
    <cfRule type="cellIs" dxfId="5" priority="20" operator="equal">
      <formula>"NO APLICA"</formula>
    </cfRule>
  </conditionalFormatting>
  <conditionalFormatting sqref="AJ38:AP38 AJ34:AP34 AJ30:AP30">
    <cfRule type="cellIs" dxfId="4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2018-02-15T18:26:20Z</dcterms:modified>
</cp:coreProperties>
</file>