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4b450471bcf27f1/Courses/SC_excellence_rbs_coursera/project/finances/"/>
    </mc:Choice>
  </mc:AlternateContent>
  <xr:revisionPtr revIDLastSave="2913" documentId="8_{82A4B24A-397A-4E4F-80C4-6ED0B10C8937}" xr6:coauthVersionLast="47" xr6:coauthVersionMax="47" xr10:uidLastSave="{AF4FB9C9-03DB-4982-BE15-096C794D2CE8}"/>
  <bookViews>
    <workbookView xWindow="-108" yWindow="-108" windowWidth="23256" windowHeight="12456" firstSheet="2" activeTab="3" xr2:uid="{DD014DFB-D404-46A3-8C0A-00F4C2C759C5}"/>
  </bookViews>
  <sheets>
    <sheet name="Financial statement" sheetId="7" r:id="rId1"/>
    <sheet name="WC" sheetId="1" r:id="rId2"/>
    <sheet name="Cost time-series" sheetId="8" r:id="rId3"/>
    <sheet name="inv" sheetId="12" r:id="rId4"/>
    <sheet name="Costs peer" sheetId="11" r:id="rId5"/>
    <sheet name="Costs peer 02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" i="12" l="1"/>
  <c r="Z25" i="12"/>
  <c r="Z26" i="12"/>
  <c r="Z27" i="12"/>
  <c r="Z28" i="12"/>
  <c r="Z23" i="12"/>
  <c r="AA16" i="12"/>
  <c r="AA17" i="12"/>
  <c r="AA18" i="12"/>
  <c r="AA19" i="12"/>
  <c r="AA20" i="12"/>
  <c r="AA15" i="12"/>
  <c r="D23" i="12"/>
  <c r="E23" i="12"/>
  <c r="F23" i="12"/>
  <c r="D24" i="12"/>
  <c r="E24" i="12"/>
  <c r="F24" i="12"/>
  <c r="D25" i="12"/>
  <c r="E25" i="12"/>
  <c r="F25" i="12"/>
  <c r="D26" i="12"/>
  <c r="E26" i="12"/>
  <c r="F26" i="12"/>
  <c r="D27" i="12"/>
  <c r="E27" i="12"/>
  <c r="F27" i="12"/>
  <c r="D15" i="12"/>
  <c r="D16" i="12"/>
  <c r="D17" i="12"/>
  <c r="D18" i="12"/>
  <c r="D19" i="12"/>
  <c r="D21" i="12"/>
  <c r="E15" i="12"/>
  <c r="E16" i="12"/>
  <c r="E17" i="12"/>
  <c r="E18" i="12"/>
  <c r="E19" i="12"/>
  <c r="E21" i="12"/>
  <c r="E10" i="12"/>
  <c r="D10" i="12"/>
  <c r="H4" i="12"/>
  <c r="F98" i="8"/>
  <c r="G98" i="8"/>
  <c r="H98" i="8"/>
  <c r="E98" i="8"/>
  <c r="F86" i="8"/>
  <c r="G86" i="8"/>
  <c r="H86" i="8"/>
  <c r="E86" i="8"/>
  <c r="C103" i="11"/>
  <c r="C104" i="11"/>
  <c r="C106" i="11"/>
  <c r="C101" i="11"/>
  <c r="C98" i="11"/>
  <c r="C102" i="11" s="1"/>
  <c r="E133" i="11"/>
  <c r="H156" i="11"/>
  <c r="G156" i="11"/>
  <c r="F156" i="11"/>
  <c r="E156" i="11"/>
  <c r="F137" i="11"/>
  <c r="G137" i="11" s="1"/>
  <c r="H137" i="11" s="1"/>
  <c r="H133" i="11"/>
  <c r="J133" i="11" s="1"/>
  <c r="G133" i="11"/>
  <c r="F133" i="11"/>
  <c r="F117" i="11"/>
  <c r="G117" i="11" s="1"/>
  <c r="H117" i="11" s="1"/>
  <c r="C78" i="11"/>
  <c r="E78" i="11"/>
  <c r="F93" i="11" s="1"/>
  <c r="C79" i="11"/>
  <c r="D94" i="11" s="1"/>
  <c r="C80" i="11"/>
  <c r="E80" i="11"/>
  <c r="C77" i="11"/>
  <c r="E51" i="11"/>
  <c r="F95" i="11" s="1"/>
  <c r="D53" i="11"/>
  <c r="E53" i="11"/>
  <c r="C51" i="11"/>
  <c r="D95" i="11" s="1"/>
  <c r="C52" i="11"/>
  <c r="D96" i="11" s="1"/>
  <c r="C53" i="11"/>
  <c r="C54" i="11"/>
  <c r="C50" i="11"/>
  <c r="C72" i="11"/>
  <c r="E70" i="11"/>
  <c r="E79" i="11" s="1"/>
  <c r="F94" i="11" s="1"/>
  <c r="D70" i="11"/>
  <c r="D79" i="11" s="1"/>
  <c r="D69" i="11"/>
  <c r="D78" i="11" s="1"/>
  <c r="E93" i="11" s="1"/>
  <c r="E68" i="11"/>
  <c r="E77" i="11" s="1"/>
  <c r="D68" i="11"/>
  <c r="C45" i="11"/>
  <c r="E44" i="11"/>
  <c r="E54" i="11" s="1"/>
  <c r="D44" i="11"/>
  <c r="D54" i="11" s="1"/>
  <c r="E42" i="11"/>
  <c r="E52" i="11" s="1"/>
  <c r="D42" i="11"/>
  <c r="D52" i="11" s="1"/>
  <c r="D41" i="11"/>
  <c r="D51" i="11" s="1"/>
  <c r="E40" i="11"/>
  <c r="E50" i="11" s="1"/>
  <c r="D40" i="11"/>
  <c r="D50" i="11" s="1"/>
  <c r="D63" i="14"/>
  <c r="E63" i="14"/>
  <c r="C63" i="14"/>
  <c r="E57" i="14"/>
  <c r="E58" i="14"/>
  <c r="D34" i="14"/>
  <c r="D43" i="14" s="1"/>
  <c r="D58" i="14" s="1"/>
  <c r="D33" i="14"/>
  <c r="D42" i="14" s="1"/>
  <c r="D57" i="14" s="1"/>
  <c r="D32" i="14"/>
  <c r="D8" i="14"/>
  <c r="D18" i="14" s="1"/>
  <c r="D6" i="14"/>
  <c r="D16" i="14" s="1"/>
  <c r="D60" i="14" s="1"/>
  <c r="D5" i="14"/>
  <c r="D15" i="14" s="1"/>
  <c r="D59" i="14" s="1"/>
  <c r="D4" i="14"/>
  <c r="D14" i="14" s="1"/>
  <c r="O9" i="12"/>
  <c r="N9" i="12"/>
  <c r="N7" i="12"/>
  <c r="O7" i="12"/>
  <c r="O5" i="12"/>
  <c r="N5" i="12"/>
  <c r="N4" i="12"/>
  <c r="O4" i="12"/>
  <c r="O6" i="12"/>
  <c r="N6" i="12"/>
  <c r="E6" i="11"/>
  <c r="E5" i="11"/>
  <c r="E12" i="11" s="1"/>
  <c r="C18" i="14"/>
  <c r="C44" i="14"/>
  <c r="C62" i="14" s="1"/>
  <c r="C43" i="14"/>
  <c r="C58" i="14" s="1"/>
  <c r="C42" i="14"/>
  <c r="C57" i="14" s="1"/>
  <c r="C41" i="14"/>
  <c r="C36" i="14"/>
  <c r="E34" i="14"/>
  <c r="E32" i="14"/>
  <c r="C15" i="14"/>
  <c r="C59" i="14" s="1"/>
  <c r="E15" i="14"/>
  <c r="E59" i="14" s="1"/>
  <c r="C16" i="14"/>
  <c r="C60" i="14" s="1"/>
  <c r="C17" i="14"/>
  <c r="C61" i="14" s="1"/>
  <c r="D17" i="14"/>
  <c r="D61" i="14" s="1"/>
  <c r="E17" i="14"/>
  <c r="E61" i="14" s="1"/>
  <c r="C14" i="14"/>
  <c r="E8" i="14"/>
  <c r="E18" i="14" s="1"/>
  <c r="E62" i="14" s="1"/>
  <c r="E6" i="14"/>
  <c r="E16" i="14" s="1"/>
  <c r="E60" i="14" s="1"/>
  <c r="E4" i="14"/>
  <c r="E14" i="14" s="1"/>
  <c r="E56" i="14" s="1"/>
  <c r="C9" i="14"/>
  <c r="E151" i="8"/>
  <c r="C105" i="11" l="1"/>
  <c r="D92" i="11"/>
  <c r="C84" i="11"/>
  <c r="C55" i="11"/>
  <c r="C57" i="11" s="1"/>
  <c r="E72" i="11"/>
  <c r="C81" i="11"/>
  <c r="C83" i="11"/>
  <c r="D97" i="11"/>
  <c r="C58" i="11"/>
  <c r="E55" i="11"/>
  <c r="E58" i="11" s="1"/>
  <c r="F92" i="11"/>
  <c r="D77" i="11"/>
  <c r="E92" i="11" s="1"/>
  <c r="E45" i="11"/>
  <c r="E84" i="11" s="1"/>
  <c r="D71" i="11"/>
  <c r="D80" i="11" s="1"/>
  <c r="E97" i="11" s="1"/>
  <c r="E81" i="11"/>
  <c r="C86" i="11"/>
  <c r="D55" i="11"/>
  <c r="E95" i="11"/>
  <c r="E96" i="11"/>
  <c r="E94" i="11"/>
  <c r="F96" i="11"/>
  <c r="F97" i="11"/>
  <c r="D93" i="11"/>
  <c r="C85" i="11"/>
  <c r="D45" i="11"/>
  <c r="D35" i="14"/>
  <c r="D9" i="14"/>
  <c r="C56" i="14"/>
  <c r="D41" i="14"/>
  <c r="D56" i="14" s="1"/>
  <c r="E9" i="14"/>
  <c r="E36" i="14"/>
  <c r="C45" i="14"/>
  <c r="E45" i="14"/>
  <c r="N18" i="12"/>
  <c r="O18" i="12"/>
  <c r="N20" i="12"/>
  <c r="O20" i="12"/>
  <c r="J18" i="12"/>
  <c r="K18" i="12"/>
  <c r="J19" i="12"/>
  <c r="K19" i="12"/>
  <c r="J20" i="12"/>
  <c r="K20" i="12"/>
  <c r="J17" i="12"/>
  <c r="J15" i="12"/>
  <c r="J16" i="12"/>
  <c r="K16" i="12"/>
  <c r="N16" i="12"/>
  <c r="O16" i="12"/>
  <c r="K17" i="12"/>
  <c r="N17" i="12"/>
  <c r="O17" i="12"/>
  <c r="K15" i="12"/>
  <c r="N15" i="12"/>
  <c r="O15" i="12"/>
  <c r="F16" i="12"/>
  <c r="G16" i="12"/>
  <c r="F17" i="12"/>
  <c r="G17" i="12"/>
  <c r="F18" i="12"/>
  <c r="G18" i="12"/>
  <c r="F19" i="12"/>
  <c r="G19" i="12"/>
  <c r="G15" i="12"/>
  <c r="F15" i="12"/>
  <c r="H15" i="12"/>
  <c r="P4" i="12"/>
  <c r="P15" i="12" s="1"/>
  <c r="P9" i="12"/>
  <c r="P20" i="12" s="1"/>
  <c r="P7" i="12"/>
  <c r="P18" i="12" s="1"/>
  <c r="P6" i="12"/>
  <c r="P17" i="12" s="1"/>
  <c r="P5" i="12"/>
  <c r="P16" i="12" s="1"/>
  <c r="L20" i="12"/>
  <c r="L7" i="12"/>
  <c r="L18" i="12" s="1"/>
  <c r="L8" i="12"/>
  <c r="L19" i="12" s="1"/>
  <c r="L6" i="12"/>
  <c r="L17" i="12" s="1"/>
  <c r="L5" i="12"/>
  <c r="L16" i="12" s="1"/>
  <c r="L4" i="12"/>
  <c r="L15" i="12" s="1"/>
  <c r="H5" i="12"/>
  <c r="H16" i="12" s="1"/>
  <c r="H6" i="12"/>
  <c r="H17" i="12" s="1"/>
  <c r="H8" i="12"/>
  <c r="H19" i="12" s="1"/>
  <c r="H7" i="12"/>
  <c r="H18" i="12" s="1"/>
  <c r="J10" i="12"/>
  <c r="J21" i="12" s="1"/>
  <c r="K10" i="12"/>
  <c r="K21" i="12" s="1"/>
  <c r="N10" i="12"/>
  <c r="N21" i="12" s="1"/>
  <c r="O10" i="12"/>
  <c r="O21" i="12" s="1"/>
  <c r="G10" i="12"/>
  <c r="G21" i="12" s="1"/>
  <c r="F10" i="12"/>
  <c r="F21" i="12" s="1"/>
  <c r="F29" i="11"/>
  <c r="F33" i="11" s="1"/>
  <c r="E32" i="11"/>
  <c r="G32" i="11"/>
  <c r="E33" i="11"/>
  <c r="G33" i="11"/>
  <c r="E21" i="11"/>
  <c r="D28" i="11"/>
  <c r="D32" i="11" s="1"/>
  <c r="F28" i="11"/>
  <c r="F32" i="11" s="1"/>
  <c r="F6" i="11"/>
  <c r="F22" i="11" s="1"/>
  <c r="F5" i="11"/>
  <c r="F21" i="11" s="1"/>
  <c r="D5" i="11"/>
  <c r="D21" i="11" s="1"/>
  <c r="H18" i="8"/>
  <c r="Q7" i="7"/>
  <c r="R7" i="7"/>
  <c r="S7" i="7"/>
  <c r="T7" i="7"/>
  <c r="Q8" i="7"/>
  <c r="R8" i="7"/>
  <c r="S8" i="7"/>
  <c r="T8" i="7"/>
  <c r="R6" i="7"/>
  <c r="S6" i="7"/>
  <c r="T6" i="7"/>
  <c r="Q6" i="7"/>
  <c r="W129" i="8"/>
  <c r="X129" i="8"/>
  <c r="Y129" i="8"/>
  <c r="Z129" i="8"/>
  <c r="W127" i="8"/>
  <c r="X127" i="8"/>
  <c r="Y127" i="8"/>
  <c r="Z127" i="8"/>
  <c r="W128" i="8"/>
  <c r="X128" i="8"/>
  <c r="Y128" i="8"/>
  <c r="Z128" i="8"/>
  <c r="X126" i="8"/>
  <c r="Y126" i="8"/>
  <c r="Z126" i="8"/>
  <c r="W126" i="8"/>
  <c r="F32" i="1"/>
  <c r="G32" i="1"/>
  <c r="H32" i="1"/>
  <c r="F33" i="1"/>
  <c r="G33" i="1"/>
  <c r="H33" i="1"/>
  <c r="G31" i="1"/>
  <c r="G34" i="1" s="1"/>
  <c r="H31" i="1"/>
  <c r="H34" i="1" s="1"/>
  <c r="E32" i="1"/>
  <c r="E33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31" i="1"/>
  <c r="Y31" i="1"/>
  <c r="Z31" i="1"/>
  <c r="AA31" i="1"/>
  <c r="Y24" i="1"/>
  <c r="Z24" i="1"/>
  <c r="AA24" i="1"/>
  <c r="X24" i="1"/>
  <c r="F77" i="7"/>
  <c r="F31" i="1"/>
  <c r="E31" i="1"/>
  <c r="G26" i="8"/>
  <c r="H26" i="8"/>
  <c r="F132" i="8"/>
  <c r="G132" i="8"/>
  <c r="F120" i="8"/>
  <c r="F150" i="8"/>
  <c r="G133" i="8"/>
  <c r="F17" i="8"/>
  <c r="E150" i="8" s="1"/>
  <c r="G18" i="8"/>
  <c r="F169" i="8"/>
  <c r="G6" i="11"/>
  <c r="G13" i="11" s="1"/>
  <c r="G5" i="11"/>
  <c r="G21" i="11" s="1"/>
  <c r="E13" i="11"/>
  <c r="E74" i="8"/>
  <c r="F74" i="8"/>
  <c r="D74" i="8"/>
  <c r="G17" i="8"/>
  <c r="G170" i="8" s="1"/>
  <c r="G25" i="8"/>
  <c r="G175" i="8" s="1"/>
  <c r="G146" i="8"/>
  <c r="G120" i="8"/>
  <c r="G124" i="8"/>
  <c r="G134" i="8"/>
  <c r="G150" i="8"/>
  <c r="G151" i="8"/>
  <c r="G152" i="8"/>
  <c r="G169" i="8"/>
  <c r="G174" i="8"/>
  <c r="H17" i="8"/>
  <c r="H170" i="8" s="1"/>
  <c r="H25" i="8"/>
  <c r="H175" i="8" s="1"/>
  <c r="H128" i="8"/>
  <c r="H120" i="8"/>
  <c r="H124" i="8"/>
  <c r="H132" i="8"/>
  <c r="H133" i="8"/>
  <c r="H134" i="8"/>
  <c r="H150" i="8"/>
  <c r="H151" i="8"/>
  <c r="H152" i="8"/>
  <c r="H169" i="8"/>
  <c r="H174" i="8"/>
  <c r="E32" i="8"/>
  <c r="F32" i="8"/>
  <c r="D32" i="8"/>
  <c r="E40" i="8"/>
  <c r="F40" i="8"/>
  <c r="E49" i="8"/>
  <c r="F49" i="8"/>
  <c r="E57" i="8"/>
  <c r="F57" i="8"/>
  <c r="E66" i="8"/>
  <c r="F66" i="8"/>
  <c r="D66" i="8"/>
  <c r="F152" i="8"/>
  <c r="D56" i="8"/>
  <c r="D48" i="8"/>
  <c r="D55" i="8"/>
  <c r="D47" i="8"/>
  <c r="D39" i="8"/>
  <c r="D40" i="8" s="1"/>
  <c r="F174" i="8"/>
  <c r="E152" i="8"/>
  <c r="F146" i="8"/>
  <c r="E146" i="8"/>
  <c r="F25" i="8"/>
  <c r="E21" i="8" s="1"/>
  <c r="F1" i="8"/>
  <c r="G1" i="8" s="1"/>
  <c r="H1" i="8" s="1"/>
  <c r="F151" i="8"/>
  <c r="F92" i="8"/>
  <c r="G92" i="8" s="1"/>
  <c r="H92" i="8" s="1"/>
  <c r="F80" i="8"/>
  <c r="G80" i="8" s="1"/>
  <c r="H80" i="8" s="1"/>
  <c r="F7" i="1"/>
  <c r="G7" i="1"/>
  <c r="H7" i="1"/>
  <c r="E7" i="1"/>
  <c r="F6" i="1"/>
  <c r="G6" i="1"/>
  <c r="H6" i="1"/>
  <c r="E6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E14" i="1"/>
  <c r="E27" i="1" s="1"/>
  <c r="E13" i="1"/>
  <c r="E26" i="1" s="1"/>
  <c r="E12" i="1"/>
  <c r="E25" i="1" s="1"/>
  <c r="E11" i="1"/>
  <c r="E10" i="1"/>
  <c r="E17" i="1" s="1"/>
  <c r="E44" i="7"/>
  <c r="F44" i="7" s="1"/>
  <c r="G44" i="7" s="1"/>
  <c r="F96" i="7"/>
  <c r="G96" i="7"/>
  <c r="E96" i="7"/>
  <c r="D96" i="7"/>
  <c r="F88" i="7"/>
  <c r="G88" i="7"/>
  <c r="E88" i="7"/>
  <c r="D88" i="7"/>
  <c r="D98" i="7" s="1"/>
  <c r="G63" i="7"/>
  <c r="G65" i="7" s="1"/>
  <c r="E63" i="7"/>
  <c r="E65" i="7" s="1"/>
  <c r="D63" i="7"/>
  <c r="G54" i="7"/>
  <c r="E54" i="7"/>
  <c r="D54" i="7"/>
  <c r="G77" i="7"/>
  <c r="G80" i="7" s="1"/>
  <c r="E77" i="7"/>
  <c r="E80" i="7" s="1"/>
  <c r="D77" i="7"/>
  <c r="D80" i="7" s="1"/>
  <c r="F80" i="7"/>
  <c r="F63" i="7"/>
  <c r="F54" i="7"/>
  <c r="D32" i="7"/>
  <c r="E32" i="7"/>
  <c r="G32" i="7"/>
  <c r="F32" i="7"/>
  <c r="G40" i="7"/>
  <c r="F40" i="7"/>
  <c r="G19" i="7"/>
  <c r="F19" i="7"/>
  <c r="E19" i="7"/>
  <c r="D19" i="7"/>
  <c r="G22" i="7"/>
  <c r="G29" i="7" s="1"/>
  <c r="F22" i="7"/>
  <c r="F29" i="7" s="1"/>
  <c r="E22" i="7"/>
  <c r="E29" i="7" s="1"/>
  <c r="D22" i="7"/>
  <c r="D29" i="7" s="1"/>
  <c r="G18" i="7"/>
  <c r="F18" i="7"/>
  <c r="E18" i="7"/>
  <c r="D18" i="7"/>
  <c r="G15" i="7"/>
  <c r="F15" i="7"/>
  <c r="E15" i="7"/>
  <c r="D15" i="7"/>
  <c r="G14" i="7"/>
  <c r="F14" i="7"/>
  <c r="E14" i="7"/>
  <c r="D14" i="7"/>
  <c r="D9" i="7"/>
  <c r="E8" i="7"/>
  <c r="F8" i="7"/>
  <c r="G8" i="7"/>
  <c r="D40" i="7"/>
  <c r="E40" i="7"/>
  <c r="E3" i="7"/>
  <c r="F3" i="7" s="1"/>
  <c r="G3" i="7" s="1"/>
  <c r="E5" i="7"/>
  <c r="E6" i="7"/>
  <c r="F5" i="7"/>
  <c r="G5" i="7"/>
  <c r="E3" i="1"/>
  <c r="F3" i="1" s="1"/>
  <c r="G3" i="1" s="1"/>
  <c r="H3" i="1" s="1"/>
  <c r="G29" i="12" l="1"/>
  <c r="G33" i="12"/>
  <c r="J27" i="12"/>
  <c r="F156" i="8"/>
  <c r="H144" i="8"/>
  <c r="D29" i="11"/>
  <c r="D33" i="11" s="1"/>
  <c r="D6" i="11"/>
  <c r="D22" i="11" s="1"/>
  <c r="D23" i="11" s="1"/>
  <c r="D24" i="11" s="1"/>
  <c r="D102" i="11"/>
  <c r="D72" i="11"/>
  <c r="F105" i="11"/>
  <c r="C60" i="11"/>
  <c r="C61" i="11"/>
  <c r="C59" i="11"/>
  <c r="D86" i="11"/>
  <c r="D98" i="11"/>
  <c r="E85" i="11"/>
  <c r="E86" i="11"/>
  <c r="D84" i="11"/>
  <c r="D81" i="11"/>
  <c r="E60" i="11"/>
  <c r="D59" i="11"/>
  <c r="D57" i="11"/>
  <c r="E61" i="11"/>
  <c r="D61" i="11"/>
  <c r="E59" i="11"/>
  <c r="E57" i="11"/>
  <c r="E83" i="11"/>
  <c r="D58" i="11"/>
  <c r="G22" i="11"/>
  <c r="G23" i="11" s="1"/>
  <c r="G24" i="11" s="1"/>
  <c r="D83" i="11"/>
  <c r="D60" i="11"/>
  <c r="E98" i="11"/>
  <c r="E102" i="11" s="1"/>
  <c r="F98" i="11"/>
  <c r="F101" i="11" s="1"/>
  <c r="D85" i="11"/>
  <c r="E50" i="14"/>
  <c r="E48" i="14"/>
  <c r="E49" i="14"/>
  <c r="E47" i="14"/>
  <c r="C48" i="14"/>
  <c r="C50" i="14"/>
  <c r="C49" i="14"/>
  <c r="C47" i="14"/>
  <c r="E19" i="14"/>
  <c r="E25" i="14" s="1"/>
  <c r="D19" i="14"/>
  <c r="C19" i="14"/>
  <c r="O28" i="12"/>
  <c r="K27" i="12"/>
  <c r="N28" i="12"/>
  <c r="G31" i="12"/>
  <c r="G24" i="12"/>
  <c r="G30" i="12"/>
  <c r="J24" i="12"/>
  <c r="N23" i="12"/>
  <c r="J23" i="12"/>
  <c r="O26" i="12"/>
  <c r="J26" i="12"/>
  <c r="J25" i="12"/>
  <c r="N26" i="12"/>
  <c r="K23" i="12"/>
  <c r="K24" i="12"/>
  <c r="K28" i="12"/>
  <c r="N25" i="12"/>
  <c r="J28" i="12"/>
  <c r="N24" i="12"/>
  <c r="K26" i="12"/>
  <c r="K25" i="12"/>
  <c r="G25" i="12"/>
  <c r="G23" i="12"/>
  <c r="G27" i="12"/>
  <c r="O25" i="12"/>
  <c r="O24" i="12"/>
  <c r="O23" i="12"/>
  <c r="G26" i="12"/>
  <c r="G32" i="12"/>
  <c r="P10" i="12"/>
  <c r="P21" i="12" s="1"/>
  <c r="P26" i="12" s="1"/>
  <c r="L10" i="12"/>
  <c r="L21" i="12" s="1"/>
  <c r="H10" i="12"/>
  <c r="H21" i="12" s="1"/>
  <c r="H27" i="12" s="1"/>
  <c r="D34" i="11"/>
  <c r="D35" i="11" s="1"/>
  <c r="G34" i="11"/>
  <c r="F34" i="11"/>
  <c r="F35" i="11" s="1"/>
  <c r="E34" i="11"/>
  <c r="E22" i="11"/>
  <c r="F12" i="11"/>
  <c r="F13" i="11"/>
  <c r="D12" i="11"/>
  <c r="G12" i="11"/>
  <c r="G14" i="11" s="1"/>
  <c r="G15" i="11" s="1"/>
  <c r="E14" i="11"/>
  <c r="E15" i="11" s="1"/>
  <c r="F23" i="11"/>
  <c r="F24" i="11" s="1"/>
  <c r="F34" i="1"/>
  <c r="G26" i="1"/>
  <c r="E34" i="1"/>
  <c r="F19" i="1"/>
  <c r="H27" i="1"/>
  <c r="G27" i="1"/>
  <c r="G25" i="1"/>
  <c r="H25" i="1"/>
  <c r="F18" i="1"/>
  <c r="H18" i="1"/>
  <c r="F27" i="1"/>
  <c r="G17" i="1"/>
  <c r="G18" i="1"/>
  <c r="E18" i="1"/>
  <c r="H17" i="1"/>
  <c r="G23" i="1"/>
  <c r="G19" i="1"/>
  <c r="F17" i="1"/>
  <c r="F25" i="1"/>
  <c r="E19" i="1"/>
  <c r="E23" i="1"/>
  <c r="E24" i="1"/>
  <c r="H19" i="1"/>
  <c r="H24" i="1"/>
  <c r="F26" i="8"/>
  <c r="E121" i="8"/>
  <c r="E132" i="8" s="1"/>
  <c r="E153" i="8"/>
  <c r="E161" i="8" s="1"/>
  <c r="E18" i="8"/>
  <c r="H156" i="8"/>
  <c r="E26" i="8"/>
  <c r="G156" i="8"/>
  <c r="F175" i="8"/>
  <c r="E125" i="8"/>
  <c r="E133" i="8" s="1"/>
  <c r="G144" i="8"/>
  <c r="G171" i="8"/>
  <c r="H135" i="8"/>
  <c r="H140" i="8" s="1"/>
  <c r="F18" i="8"/>
  <c r="E20" i="8"/>
  <c r="D57" i="8"/>
  <c r="E158" i="8"/>
  <c r="F170" i="8"/>
  <c r="G128" i="8"/>
  <c r="F129" i="8" s="1"/>
  <c r="F134" i="8" s="1"/>
  <c r="H145" i="8"/>
  <c r="H171" i="8"/>
  <c r="G145" i="8"/>
  <c r="G157" i="8"/>
  <c r="H158" i="8"/>
  <c r="G158" i="8"/>
  <c r="H176" i="8"/>
  <c r="G153" i="8"/>
  <c r="G176" i="8"/>
  <c r="H157" i="8"/>
  <c r="D49" i="8"/>
  <c r="G135" i="8"/>
  <c r="H153" i="8"/>
  <c r="H146" i="8"/>
  <c r="F144" i="8"/>
  <c r="F157" i="8"/>
  <c r="F158" i="8"/>
  <c r="F125" i="8"/>
  <c r="F133" i="8" s="1"/>
  <c r="F153" i="8"/>
  <c r="E24" i="8"/>
  <c r="E23" i="8"/>
  <c r="E22" i="8"/>
  <c r="F24" i="1"/>
  <c r="F26" i="1"/>
  <c r="D65" i="7"/>
  <c r="E98" i="7"/>
  <c r="E100" i="7" s="1"/>
  <c r="E102" i="7" s="1"/>
  <c r="F98" i="7"/>
  <c r="F100" i="7" s="1"/>
  <c r="F65" i="7"/>
  <c r="G98" i="7"/>
  <c r="G100" i="7" s="1"/>
  <c r="G102" i="7" s="1"/>
  <c r="D100" i="7"/>
  <c r="D102" i="7" s="1"/>
  <c r="E28" i="7"/>
  <c r="D28" i="7"/>
  <c r="D27" i="7"/>
  <c r="F28" i="7"/>
  <c r="F27" i="7"/>
  <c r="G9" i="7"/>
  <c r="G25" i="7" s="1"/>
  <c r="G27" i="7"/>
  <c r="G28" i="7"/>
  <c r="E27" i="7"/>
  <c r="D25" i="7"/>
  <c r="F9" i="7"/>
  <c r="F25" i="7" s="1"/>
  <c r="E9" i="7"/>
  <c r="E25" i="7" s="1"/>
  <c r="G24" i="1"/>
  <c r="H26" i="1"/>
  <c r="E28" i="1"/>
  <c r="F23" i="1"/>
  <c r="H23" i="1"/>
  <c r="H139" i="8" l="1"/>
  <c r="D13" i="11"/>
  <c r="E104" i="11"/>
  <c r="D103" i="11"/>
  <c r="D105" i="11"/>
  <c r="D104" i="11"/>
  <c r="D106" i="11"/>
  <c r="F102" i="11"/>
  <c r="F104" i="11"/>
  <c r="F103" i="11"/>
  <c r="F106" i="11"/>
  <c r="E101" i="11"/>
  <c r="E105" i="11"/>
  <c r="D101" i="11"/>
  <c r="E106" i="11"/>
  <c r="E103" i="11"/>
  <c r="C25" i="14"/>
  <c r="C21" i="14"/>
  <c r="D25" i="14"/>
  <c r="D21" i="14"/>
  <c r="D24" i="14"/>
  <c r="E22" i="14"/>
  <c r="E21" i="14"/>
  <c r="C22" i="14"/>
  <c r="E24" i="14"/>
  <c r="D23" i="14"/>
  <c r="C24" i="14"/>
  <c r="C23" i="14"/>
  <c r="D22" i="14"/>
  <c r="E23" i="14"/>
  <c r="L23" i="12"/>
  <c r="P25" i="12"/>
  <c r="P28" i="12"/>
  <c r="L28" i="12"/>
  <c r="H25" i="12"/>
  <c r="L25" i="12"/>
  <c r="P23" i="12"/>
  <c r="L24" i="12"/>
  <c r="H24" i="12"/>
  <c r="L27" i="12"/>
  <c r="L26" i="12"/>
  <c r="P24" i="12"/>
  <c r="H26" i="12"/>
  <c r="H23" i="12"/>
  <c r="D14" i="11"/>
  <c r="D15" i="11" s="1"/>
  <c r="E23" i="11"/>
  <c r="E24" i="11" s="1"/>
  <c r="F14" i="11"/>
  <c r="F15" i="11" s="1"/>
  <c r="F20" i="1"/>
  <c r="G20" i="1"/>
  <c r="H20" i="1"/>
  <c r="E20" i="1"/>
  <c r="E163" i="8"/>
  <c r="E162" i="8"/>
  <c r="H161" i="8"/>
  <c r="H141" i="8"/>
  <c r="G140" i="8"/>
  <c r="G141" i="8"/>
  <c r="E144" i="8"/>
  <c r="F145" i="8"/>
  <c r="G139" i="8"/>
  <c r="F162" i="8"/>
  <c r="F161" i="8"/>
  <c r="E129" i="8"/>
  <c r="E134" i="8" s="1"/>
  <c r="E135" i="8" s="1"/>
  <c r="F135" i="8"/>
  <c r="F139" i="8" s="1"/>
  <c r="H163" i="8"/>
  <c r="F163" i="8"/>
  <c r="H162" i="8"/>
  <c r="G162" i="8"/>
  <c r="G161" i="8"/>
  <c r="G163" i="8"/>
  <c r="H28" i="1"/>
  <c r="G28" i="1"/>
  <c r="F102" i="7"/>
  <c r="E30" i="7"/>
  <c r="E35" i="7" s="1"/>
  <c r="E38" i="7" s="1"/>
  <c r="E41" i="7" s="1"/>
  <c r="F30" i="7"/>
  <c r="F35" i="7" s="1"/>
  <c r="F38" i="7" s="1"/>
  <c r="F41" i="7" s="1"/>
  <c r="D30" i="7"/>
  <c r="D35" i="7" s="1"/>
  <c r="D38" i="7" s="1"/>
  <c r="D41" i="7" s="1"/>
  <c r="G30" i="7"/>
  <c r="G35" i="7" s="1"/>
  <c r="G38" i="7" s="1"/>
  <c r="G41" i="7" s="1"/>
  <c r="F28" i="1"/>
  <c r="F140" i="8" l="1"/>
  <c r="F141" i="8"/>
  <c r="E140" i="8"/>
  <c r="E139" i="8"/>
  <c r="E141" i="8"/>
  <c r="D44" i="14"/>
  <c r="D62" i="14" s="1"/>
  <c r="D45" i="14"/>
  <c r="D36" i="14"/>
  <c r="D47" i="14" l="1"/>
  <c r="D48" i="14"/>
  <c r="D49" i="14"/>
  <c r="D50" i="14"/>
  <c r="E145" i="8"/>
  <c r="E157" i="8" l="1"/>
</calcChain>
</file>

<file path=xl/sharedStrings.xml><?xml version="1.0" encoding="utf-8"?>
<sst xmlns="http://schemas.openxmlformats.org/spreadsheetml/2006/main" count="520" uniqueCount="232">
  <si>
    <t>DPO</t>
  </si>
  <si>
    <t>Inventory breakdown</t>
  </si>
  <si>
    <t>Total cogs</t>
  </si>
  <si>
    <t>Cables</t>
  </si>
  <si>
    <t>% Total</t>
  </si>
  <si>
    <t xml:space="preserve">Turnover </t>
  </si>
  <si>
    <t>Days:</t>
  </si>
  <si>
    <t>Volume</t>
  </si>
  <si>
    <t>DPO - Products</t>
  </si>
  <si>
    <t>Working Capital Schedule</t>
  </si>
  <si>
    <t>Days in Period</t>
  </si>
  <si>
    <t>Revenue</t>
  </si>
  <si>
    <t>Working Capital</t>
  </si>
  <si>
    <t xml:space="preserve">Invertory </t>
  </si>
  <si>
    <t>Receivables</t>
  </si>
  <si>
    <t xml:space="preserve">Due from other parties </t>
  </si>
  <si>
    <t xml:space="preserve">Payables </t>
  </si>
  <si>
    <t xml:space="preserve">Due to other parties </t>
  </si>
  <si>
    <t>Turnover Ratios</t>
  </si>
  <si>
    <t>Invertory Days</t>
  </si>
  <si>
    <t>Receivables Days</t>
  </si>
  <si>
    <t>Payables Days</t>
  </si>
  <si>
    <t>Cash Changes from Working Capital</t>
  </si>
  <si>
    <t>NWC</t>
  </si>
  <si>
    <t>COGS</t>
  </si>
  <si>
    <t>S&amp;D</t>
  </si>
  <si>
    <t>Revenues</t>
  </si>
  <si>
    <t>Gross profit</t>
  </si>
  <si>
    <t>Other income</t>
  </si>
  <si>
    <t>Other expenses</t>
  </si>
  <si>
    <t>Impairment</t>
  </si>
  <si>
    <t>G&amp;A</t>
  </si>
  <si>
    <t>Capital Gain/loss</t>
  </si>
  <si>
    <t>EBIT</t>
  </si>
  <si>
    <r>
      <t xml:space="preserve">EL Sewedy Electric Company                     </t>
    </r>
    <r>
      <rPr>
        <b/>
        <sz val="11"/>
        <color theme="0"/>
        <rFont val="Aptos Display"/>
        <family val="2"/>
        <scheme val="major"/>
      </rPr>
      <t>Extended Income statement</t>
    </r>
  </si>
  <si>
    <t>EBT</t>
  </si>
  <si>
    <t>Net Income</t>
  </si>
  <si>
    <t>Comprehensive Income</t>
  </si>
  <si>
    <t>NCI</t>
  </si>
  <si>
    <t>ADD: COGS depreciation</t>
  </si>
  <si>
    <t>ADD: COGS Amortization</t>
  </si>
  <si>
    <t>ADD: Other impariments</t>
  </si>
  <si>
    <t>Deperciation</t>
  </si>
  <si>
    <t>Amortization</t>
  </si>
  <si>
    <t>ADD: S&amp;D depreciation</t>
  </si>
  <si>
    <t>ADD: S&amp;D Amortization</t>
  </si>
  <si>
    <t>ADD: G&amp;A depreciation</t>
  </si>
  <si>
    <t>ADD: G&amp;A Amortization</t>
  </si>
  <si>
    <t>Interest Expenses</t>
  </si>
  <si>
    <t>Interest Income</t>
  </si>
  <si>
    <t>Taxes Expenses</t>
  </si>
  <si>
    <t>Adjusted EBITDA</t>
  </si>
  <si>
    <t>Income (Investment in Associates)</t>
  </si>
  <si>
    <t>Assets</t>
  </si>
  <si>
    <t>Property, plant and equipment</t>
  </si>
  <si>
    <t>Right of use assets</t>
  </si>
  <si>
    <t>Investment property</t>
  </si>
  <si>
    <t>Equity- accounted investees</t>
  </si>
  <si>
    <t>Due from related parties</t>
  </si>
  <si>
    <t>Trade and other receivables</t>
  </si>
  <si>
    <t>Intangible assets and goodwill</t>
  </si>
  <si>
    <t>Deferred tax assets</t>
  </si>
  <si>
    <t>Non-current assets</t>
  </si>
  <si>
    <t>Inventories</t>
  </si>
  <si>
    <t>Contract assets</t>
  </si>
  <si>
    <t>Cash and cash equivalents</t>
  </si>
  <si>
    <t>Current assets</t>
  </si>
  <si>
    <t>Total assets</t>
  </si>
  <si>
    <t>Issued and paid-up capital</t>
  </si>
  <si>
    <t>ESOP shares issued not granted</t>
  </si>
  <si>
    <t>Reserves</t>
  </si>
  <si>
    <t>Treasury shares</t>
  </si>
  <si>
    <t>Retained earnings</t>
  </si>
  <si>
    <t>Non-controlling interests</t>
  </si>
  <si>
    <t>Total equity</t>
  </si>
  <si>
    <t>Liabilities</t>
  </si>
  <si>
    <t>Loans and borrowings</t>
  </si>
  <si>
    <t>Deferred tax liabilities</t>
  </si>
  <si>
    <t>Due to related parties</t>
  </si>
  <si>
    <t>Provisions</t>
  </si>
  <si>
    <t>Other liabilitics</t>
  </si>
  <si>
    <t>Non-current liabilities</t>
  </si>
  <si>
    <t>Trade and other payables</t>
  </si>
  <si>
    <t>Contract liabilities</t>
  </si>
  <si>
    <t>Current liabilities</t>
  </si>
  <si>
    <t>Total liabilities</t>
  </si>
  <si>
    <t>Total equity and liabilities</t>
  </si>
  <si>
    <t>Banks overdraft</t>
  </si>
  <si>
    <r>
      <t xml:space="preserve">EL Sewedy Electric Company                     </t>
    </r>
    <r>
      <rPr>
        <b/>
        <sz val="14"/>
        <color theme="0"/>
        <rFont val="Aptos Display"/>
        <family val="2"/>
        <scheme val="major"/>
      </rPr>
      <t>Balance Sheet</t>
    </r>
  </si>
  <si>
    <t>Treasury Bills</t>
  </si>
  <si>
    <t>Work in progress (Real Estate)</t>
  </si>
  <si>
    <t>Attributable Equity</t>
  </si>
  <si>
    <t>Equity &amp; Liabilities</t>
  </si>
  <si>
    <t>Owners' Equity</t>
  </si>
  <si>
    <t>Translation Diff.</t>
  </si>
  <si>
    <t>Parent Co. Equity</t>
  </si>
  <si>
    <t>Check</t>
  </si>
  <si>
    <t>Current portion of loans</t>
  </si>
  <si>
    <t>CCC</t>
  </si>
  <si>
    <t>Raw materials</t>
  </si>
  <si>
    <t>Salaries and its equivalents</t>
  </si>
  <si>
    <t>Inventory write-down</t>
  </si>
  <si>
    <t>Utilities, maintenance, and spare parts</t>
  </si>
  <si>
    <t>Logistics costs</t>
  </si>
  <si>
    <t>Other costs</t>
  </si>
  <si>
    <t>Amortization of right of use assets</t>
  </si>
  <si>
    <t>Amortization of intangible assets</t>
  </si>
  <si>
    <t>POT (Manufacturing)</t>
  </si>
  <si>
    <t>OT (construction and projects)</t>
  </si>
  <si>
    <t>Rent expense</t>
  </si>
  <si>
    <t>Depreciation of PPE</t>
  </si>
  <si>
    <t>Amortization of ROU</t>
  </si>
  <si>
    <t>Other amortizations</t>
  </si>
  <si>
    <t>Cost of subcontractors</t>
  </si>
  <si>
    <t>Formed provision</t>
  </si>
  <si>
    <t>Total</t>
  </si>
  <si>
    <t xml:space="preserve">Finance costs </t>
  </si>
  <si>
    <t>Miscellaneous expenses, computer, maintenance, and spare parts</t>
  </si>
  <si>
    <t>Advertising and promotions</t>
  </si>
  <si>
    <t>Transportation and travelling</t>
  </si>
  <si>
    <t>Insurance</t>
  </si>
  <si>
    <t>Communication and telephones expense</t>
  </si>
  <si>
    <t>Logistics services</t>
  </si>
  <si>
    <t>Professional and consultancy fees</t>
  </si>
  <si>
    <t>Rents</t>
  </si>
  <si>
    <t>Market research</t>
  </si>
  <si>
    <t xml:space="preserve">Salaries </t>
  </si>
  <si>
    <t>Utilities, maintenance and spare parts</t>
  </si>
  <si>
    <t>Depreciation of property, plant and equipment.</t>
  </si>
  <si>
    <t>Depreciation of investment property</t>
  </si>
  <si>
    <t>Cars, transportation and travelling</t>
  </si>
  <si>
    <t>Bank charges</t>
  </si>
  <si>
    <t>Communication and telephone</t>
  </si>
  <si>
    <t>Tax and fees</t>
  </si>
  <si>
    <t>Logistic services</t>
  </si>
  <si>
    <t>Donations</t>
  </si>
  <si>
    <t>Advertizing</t>
  </si>
  <si>
    <t>% of others in known years</t>
  </si>
  <si>
    <t>Average (assupmtion for unknown)</t>
  </si>
  <si>
    <t>% of total in known years</t>
  </si>
  <si>
    <t>Assumed</t>
  </si>
  <si>
    <t>Raw Materials</t>
  </si>
  <si>
    <t xml:space="preserve">Manufacturing </t>
  </si>
  <si>
    <t>Construction</t>
  </si>
  <si>
    <t>Amount</t>
  </si>
  <si>
    <t>% of Total cost</t>
  </si>
  <si>
    <t>YoY Growth</t>
  </si>
  <si>
    <t>% of Total manu cost</t>
  </si>
  <si>
    <t>Segments</t>
  </si>
  <si>
    <t>Electrical</t>
  </si>
  <si>
    <t>Local eg</t>
  </si>
  <si>
    <t>Local intel'</t>
  </si>
  <si>
    <t>Export eg</t>
  </si>
  <si>
    <t>Export intel'</t>
  </si>
  <si>
    <t>Abroad</t>
  </si>
  <si>
    <t xml:space="preserve">Local </t>
  </si>
  <si>
    <t>Local manu rev</t>
  </si>
  <si>
    <t>Abroad manu rev</t>
  </si>
  <si>
    <t>Total Inter segment</t>
  </si>
  <si>
    <t xml:space="preserve">Total </t>
  </si>
  <si>
    <t>Local const. rev</t>
  </si>
  <si>
    <t>Revenue &amp; COGS</t>
  </si>
  <si>
    <t>Logistics costs % Total cost category</t>
  </si>
  <si>
    <t>COGS (inbound logistics)</t>
  </si>
  <si>
    <t>S&amp;D (outbound logistics)</t>
  </si>
  <si>
    <t>G&amp;A (interfacility logistics)</t>
  </si>
  <si>
    <t>Revenue &amp; COGS 2024</t>
  </si>
  <si>
    <t>Sewedy (EGP)</t>
  </si>
  <si>
    <t>Riyadh (SAR)</t>
  </si>
  <si>
    <t>Oman (OMR)</t>
  </si>
  <si>
    <t>Exchange rate to EGP (31/12/2024)</t>
  </si>
  <si>
    <t>MESC (SAR)</t>
  </si>
  <si>
    <t>MESC (EGP)</t>
  </si>
  <si>
    <t>Gross margin</t>
  </si>
  <si>
    <t>SAR to EGP:</t>
  </si>
  <si>
    <t>OMR to EGP:</t>
  </si>
  <si>
    <t xml:space="preserve">S&amp;D </t>
  </si>
  <si>
    <t xml:space="preserve">G&amp;A </t>
  </si>
  <si>
    <t>Logistics costs distrbution</t>
  </si>
  <si>
    <t>Key YoY results</t>
  </si>
  <si>
    <t>Logistics</t>
  </si>
  <si>
    <t>Operating costs</t>
  </si>
  <si>
    <t>COGS total</t>
  </si>
  <si>
    <t>COGS Manu</t>
  </si>
  <si>
    <t>COGS Const</t>
  </si>
  <si>
    <t>Operating costs distrbution</t>
  </si>
  <si>
    <t>Operating costs % Total cost category</t>
  </si>
  <si>
    <t>Logistics Cost &amp; assumption - Manufacturing</t>
  </si>
  <si>
    <t>N/A</t>
  </si>
  <si>
    <t>Subcontractor costs % of OT COGS</t>
  </si>
  <si>
    <t>Credit balances that cover WC deficit</t>
  </si>
  <si>
    <t>Operating Cost items</t>
  </si>
  <si>
    <t>Raw materials and supplies</t>
  </si>
  <si>
    <t>Work in progress</t>
  </si>
  <si>
    <t>Finished goods</t>
  </si>
  <si>
    <t>Construction work in process</t>
  </si>
  <si>
    <t>Goods in transit</t>
  </si>
  <si>
    <t>SAR to USD</t>
  </si>
  <si>
    <t>Riyadh (EGP)</t>
  </si>
  <si>
    <t>Oman  (EGP)</t>
  </si>
  <si>
    <t>MESC (USD)</t>
  </si>
  <si>
    <t>Riyadh (USD)</t>
  </si>
  <si>
    <t>Oman  (USD)</t>
  </si>
  <si>
    <t>OMR to USD</t>
  </si>
  <si>
    <t>EGP to USD</t>
  </si>
  <si>
    <t>Manufacturing</t>
  </si>
  <si>
    <t>Contract</t>
  </si>
  <si>
    <t>Salaries and employees' related benefits</t>
  </si>
  <si>
    <t>Repairs and maintenance</t>
  </si>
  <si>
    <t>Other</t>
  </si>
  <si>
    <t>Cargo charges</t>
  </si>
  <si>
    <t>Quality testing expenses</t>
  </si>
  <si>
    <t>Legal and professional</t>
  </si>
  <si>
    <t>Salaries and related costs</t>
  </si>
  <si>
    <t>Exchange rate to USD (31/12/2024)</t>
  </si>
  <si>
    <t>Sewedy (USD)</t>
  </si>
  <si>
    <t>-</t>
  </si>
  <si>
    <t>Abroad const. rev</t>
  </si>
  <si>
    <t>Operations costs</t>
  </si>
  <si>
    <t>COGS (manu)</t>
  </si>
  <si>
    <t>Average</t>
  </si>
  <si>
    <t>El Sewedy (EGP)</t>
  </si>
  <si>
    <t>MECS (SAR)</t>
  </si>
  <si>
    <t>Forex rate</t>
  </si>
  <si>
    <t>Inventory breakdown %</t>
  </si>
  <si>
    <t>Selling and distrbution expenses</t>
  </si>
  <si>
    <t>Forex rate (to USD)</t>
  </si>
  <si>
    <t>Advertizing and promotion</t>
  </si>
  <si>
    <t>General &amp; Adminstrative</t>
  </si>
  <si>
    <t>Total OpEx</t>
  </si>
  <si>
    <t>OpEx</t>
  </si>
  <si>
    <t xml:space="preserve">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</si>
</sst>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,,;\(0.00,,\);\-"/>
    <numFmt numFmtId="165" formatCode="0,,;\(0,,\);\-"/>
    <numFmt numFmtId="166" formatCode="_(* #,##0\ &quot; days&quot;_);\(* \(#,##0\)\ &quot; days&quot;\);_(* &quot;–&quot;\ &quot; days&quot;_);_(@_)"/>
    <numFmt numFmtId="167" formatCode="0.0,,;\(0.0,,\);\-"/>
    <numFmt numFmtId="168" formatCode="_(* #,##0\ &quot; days&quot;_);* \(#,##0\)\ &quot; days&quot;;_(* &quot;–&quot;\ &quot; days&quot;_);_(@_)"/>
    <numFmt numFmtId="169" formatCode="0.0%"/>
  </numFmts>
  <fonts count="37" x14ac:knownFonts="1">
    <font>
      <sz val="11"/>
      <color theme="1"/>
      <name val="Calibri"/>
      <family val="2"/>
    </font>
    <font>
      <sz val="11"/>
      <color theme="1"/>
      <name val="Aptos Display"/>
      <family val="2"/>
      <scheme val="major"/>
    </font>
    <font>
      <sz val="11"/>
      <color theme="1"/>
      <name val="Calibri"/>
      <family val="2"/>
    </font>
    <font>
      <b/>
      <sz val="11"/>
      <color theme="1"/>
      <name val="Aptos Display"/>
      <family val="2"/>
      <scheme val="major"/>
    </font>
    <font>
      <b/>
      <sz val="11"/>
      <color theme="0"/>
      <name val="Aptos Display"/>
      <family val="2"/>
      <scheme val="major"/>
    </font>
    <font>
      <b/>
      <sz val="16"/>
      <color theme="0"/>
      <name val="Aptos Display"/>
      <family val="2"/>
      <scheme val="major"/>
    </font>
    <font>
      <b/>
      <sz val="12"/>
      <color rgb="FFE21B38"/>
      <name val="Aptos Display"/>
      <family val="2"/>
      <scheme val="major"/>
    </font>
    <font>
      <b/>
      <sz val="10"/>
      <name val="Open Sans"/>
      <family val="2"/>
    </font>
    <font>
      <sz val="10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b/>
      <sz val="11"/>
      <color theme="5" tint="-0.249977111117893"/>
      <name val="Open Sans"/>
      <family val="2"/>
    </font>
    <font>
      <sz val="11"/>
      <color rgb="FF002060"/>
      <name val="Open Sans"/>
      <family val="2"/>
    </font>
    <font>
      <b/>
      <sz val="10"/>
      <color rgb="FF000000"/>
      <name val="Open Sans"/>
      <family val="2"/>
    </font>
    <font>
      <b/>
      <sz val="11"/>
      <color rgb="FFE21B38"/>
      <name val="Open Sans"/>
      <family val="2"/>
    </font>
    <font>
      <sz val="11"/>
      <color rgb="FFE21B38"/>
      <name val="Open Sans"/>
      <family val="2"/>
    </font>
    <font>
      <sz val="11"/>
      <name val="Aptos Display"/>
      <family val="2"/>
      <scheme val="major"/>
    </font>
    <font>
      <b/>
      <sz val="11"/>
      <name val="Open Sans"/>
      <family val="2"/>
    </font>
    <font>
      <sz val="11"/>
      <name val="Open Sans"/>
      <family val="2"/>
    </font>
    <font>
      <sz val="12"/>
      <color theme="1"/>
      <name val="Aptos Narrow"/>
      <family val="2"/>
      <scheme val="minor"/>
    </font>
    <font>
      <b/>
      <sz val="14"/>
      <color theme="0"/>
      <name val="Aptos Display"/>
      <family val="2"/>
      <scheme val="major"/>
    </font>
    <font>
      <b/>
      <sz val="11"/>
      <color rgb="FFE21B38"/>
      <name val="Aptos Display"/>
      <family val="2"/>
      <scheme val="major"/>
    </font>
    <font>
      <b/>
      <sz val="11"/>
      <color theme="1"/>
      <name val="Calibri"/>
      <family val="2"/>
    </font>
    <font>
      <i/>
      <sz val="11"/>
      <color theme="1"/>
      <name val="Aptos Display"/>
      <family val="2"/>
      <scheme val="major"/>
    </font>
    <font>
      <b/>
      <sz val="11"/>
      <color theme="0"/>
      <name val="Calibri"/>
      <family val="2"/>
    </font>
    <font>
      <b/>
      <sz val="11"/>
      <name val="Aptos Display"/>
      <family val="2"/>
      <scheme val="major"/>
    </font>
    <font>
      <b/>
      <sz val="14"/>
      <color rgb="FFE21B38"/>
      <name val="Calibri"/>
      <family val="2"/>
    </font>
    <font>
      <b/>
      <sz val="11"/>
      <name val="Calibri"/>
      <family val="2"/>
    </font>
    <font>
      <b/>
      <sz val="11"/>
      <color theme="0"/>
      <name val="Open Sans"/>
      <family val="2"/>
    </font>
    <font>
      <b/>
      <sz val="16"/>
      <color theme="0"/>
      <name val="Open Sans"/>
      <family val="2"/>
    </font>
    <font>
      <b/>
      <u/>
      <sz val="11"/>
      <color rgb="FFE21B38"/>
      <name val="Open Sans"/>
      <family val="2"/>
    </font>
    <font>
      <u/>
      <sz val="11"/>
      <color theme="1"/>
      <name val="Open Sans"/>
      <family val="2"/>
    </font>
    <font>
      <b/>
      <u/>
      <sz val="11"/>
      <color theme="1"/>
      <name val="Open Sans"/>
      <family val="2"/>
    </font>
    <font>
      <i/>
      <sz val="11"/>
      <color theme="1"/>
      <name val="Open Sans"/>
      <family val="2"/>
    </font>
    <font>
      <b/>
      <sz val="8"/>
      <color theme="0"/>
      <name val="Open Sans"/>
      <family val="2"/>
    </font>
    <font>
      <b/>
      <sz val="14"/>
      <color theme="1"/>
      <name val="Open Sans"/>
      <family val="2"/>
    </font>
    <font>
      <sz val="14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E21B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BA49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E21B38"/>
      </top>
      <bottom style="thick">
        <color rgb="FFE21B38"/>
      </bottom>
      <diagonal/>
    </border>
    <border>
      <left/>
      <right/>
      <top/>
      <bottom style="thick">
        <color rgb="FFE21B38"/>
      </bottom>
      <diagonal/>
    </border>
    <border>
      <left/>
      <right/>
      <top style="medium">
        <color auto="1"/>
      </top>
      <bottom/>
      <diagonal/>
    </border>
    <border diagonalUp="1">
      <left/>
      <right/>
      <top/>
      <bottom style="medium">
        <color auto="1"/>
      </bottom>
      <diagonal style="hair">
        <color auto="1"/>
      </diagonal>
    </border>
    <border diagonalUp="1">
      <left/>
      <right/>
      <top/>
      <bottom/>
      <diagonal style="hair">
        <color auto="1"/>
      </diagonal>
    </border>
    <border diagonalUp="1">
      <left/>
      <right/>
      <top/>
      <bottom style="thin">
        <color indexed="64"/>
      </bottom>
      <diagonal style="hair">
        <color theme="0" tint="-0.14996795556505021"/>
      </diagonal>
    </border>
    <border diagonalUp="1">
      <left/>
      <right/>
      <top/>
      <bottom/>
      <diagonal style="hair">
        <color theme="0" tint="-0.14996795556505021"/>
      </diagonal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9" fillId="0" borderId="0"/>
  </cellStyleXfs>
  <cellXfs count="112">
    <xf numFmtId="0" fontId="0" fillId="0" borderId="0" xfId="0"/>
    <xf numFmtId="2" fontId="1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horizontal="left" indent="1"/>
    </xf>
    <xf numFmtId="164" fontId="1" fillId="0" borderId="0" xfId="0" applyNumberFormat="1" applyFont="1" applyAlignment="1">
      <alignment horizontal="left"/>
    </xf>
    <xf numFmtId="164" fontId="1" fillId="2" borderId="0" xfId="0" applyNumberFormat="1" applyFont="1" applyFill="1"/>
    <xf numFmtId="164" fontId="5" fillId="2" borderId="0" xfId="0" applyNumberFormat="1" applyFont="1" applyFill="1"/>
    <xf numFmtId="164" fontId="6" fillId="0" borderId="0" xfId="0" applyNumberFormat="1" applyFont="1"/>
    <xf numFmtId="165" fontId="1" fillId="2" borderId="0" xfId="0" applyNumberFormat="1" applyFont="1" applyFill="1"/>
    <xf numFmtId="165" fontId="1" fillId="0" borderId="0" xfId="0" applyNumberFormat="1" applyFont="1"/>
    <xf numFmtId="165" fontId="3" fillId="0" borderId="1" xfId="0" applyNumberFormat="1" applyFont="1" applyBorder="1" applyAlignment="1">
      <alignment horizontal="left"/>
    </xf>
    <xf numFmtId="9" fontId="1" fillId="0" borderId="0" xfId="1" applyFont="1"/>
    <xf numFmtId="165" fontId="4" fillId="2" borderId="0" xfId="0" applyNumberFormat="1" applyFont="1" applyFill="1" applyAlignment="1">
      <alignment vertical="center"/>
    </xf>
    <xf numFmtId="165" fontId="3" fillId="0" borderId="0" xfId="0" applyNumberFormat="1" applyFont="1" applyAlignment="1">
      <alignment horizontal="left"/>
    </xf>
    <xf numFmtId="1" fontId="4" fillId="2" borderId="0" xfId="0" applyNumberFormat="1" applyFont="1" applyFill="1" applyAlignment="1">
      <alignment horizontal="center" vertical="center"/>
    </xf>
    <xf numFmtId="166" fontId="8" fillId="0" borderId="0" xfId="0" applyNumberFormat="1" applyFont="1"/>
    <xf numFmtId="10" fontId="1" fillId="0" borderId="0" xfId="1" applyNumberFormat="1" applyFont="1"/>
    <xf numFmtId="164" fontId="9" fillId="0" borderId="0" xfId="0" applyNumberFormat="1" applyFont="1"/>
    <xf numFmtId="1" fontId="10" fillId="0" borderId="2" xfId="0" applyNumberFormat="1" applyFont="1" applyBorder="1"/>
    <xf numFmtId="164" fontId="10" fillId="0" borderId="0" xfId="0" applyNumberFormat="1" applyFont="1"/>
    <xf numFmtId="1" fontId="11" fillId="0" borderId="0" xfId="0" applyNumberFormat="1" applyFont="1"/>
    <xf numFmtId="0" fontId="7" fillId="0" borderId="0" xfId="0" applyFont="1"/>
    <xf numFmtId="164" fontId="9" fillId="0" borderId="0" xfId="0" applyNumberFormat="1" applyFont="1" applyAlignment="1">
      <alignment horizontal="left" indent="1"/>
    </xf>
    <xf numFmtId="164" fontId="12" fillId="0" borderId="0" xfId="0" applyNumberFormat="1" applyFont="1"/>
    <xf numFmtId="0" fontId="13" fillId="0" borderId="0" xfId="0" applyFont="1" applyAlignment="1">
      <alignment horizontal="left"/>
    </xf>
    <xf numFmtId="164" fontId="10" fillId="0" borderId="3" xfId="0" applyNumberFormat="1" applyFont="1" applyBorder="1"/>
    <xf numFmtId="1" fontId="10" fillId="0" borderId="0" xfId="0" applyNumberFormat="1" applyFont="1"/>
    <xf numFmtId="1" fontId="14" fillId="0" borderId="0" xfId="0" applyNumberFormat="1" applyFont="1"/>
    <xf numFmtId="164" fontId="14" fillId="0" borderId="0" xfId="0" applyNumberFormat="1" applyFont="1"/>
    <xf numFmtId="164" fontId="15" fillId="0" borderId="0" xfId="0" applyNumberFormat="1" applyFont="1"/>
    <xf numFmtId="166" fontId="14" fillId="0" borderId="0" xfId="0" applyNumberFormat="1" applyFont="1"/>
    <xf numFmtId="165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7" fontId="1" fillId="0" borderId="0" xfId="0" applyNumberFormat="1" applyFont="1"/>
    <xf numFmtId="167" fontId="1" fillId="2" borderId="0" xfId="0" applyNumberFormat="1" applyFont="1" applyFill="1"/>
    <xf numFmtId="167" fontId="4" fillId="2" borderId="0" xfId="0" applyNumberFormat="1" applyFont="1" applyFill="1" applyAlignment="1">
      <alignment horizontal="center" vertical="center"/>
    </xf>
    <xf numFmtId="167" fontId="22" fillId="0" borderId="0" xfId="0" applyNumberFormat="1" applyFont="1"/>
    <xf numFmtId="167" fontId="3" fillId="0" borderId="3" xfId="0" applyNumberFormat="1" applyFont="1" applyBorder="1"/>
    <xf numFmtId="167" fontId="23" fillId="0" borderId="0" xfId="0" applyNumberFormat="1" applyFont="1"/>
    <xf numFmtId="167" fontId="0" fillId="0" borderId="0" xfId="0" applyNumberFormat="1"/>
    <xf numFmtId="167" fontId="21" fillId="0" borderId="0" xfId="0" applyNumberFormat="1" applyFont="1"/>
    <xf numFmtId="167" fontId="3" fillId="0" borderId="0" xfId="0" applyNumberFormat="1" applyFont="1" applyAlignment="1">
      <alignment horizontal="left" indent="1"/>
    </xf>
    <xf numFmtId="167" fontId="21" fillId="0" borderId="4" xfId="0" applyNumberFormat="1" applyFont="1" applyBorder="1"/>
    <xf numFmtId="167" fontId="1" fillId="0" borderId="0" xfId="0" applyNumberFormat="1" applyFont="1" applyAlignment="1">
      <alignment horizontal="left" indent="1"/>
    </xf>
    <xf numFmtId="167" fontId="24" fillId="2" borderId="5" xfId="0" applyNumberFormat="1" applyFont="1" applyFill="1" applyBorder="1"/>
    <xf numFmtId="167" fontId="22" fillId="0" borderId="0" xfId="0" applyNumberFormat="1" applyFont="1" applyAlignment="1">
      <alignment horizontal="left" indent="1"/>
    </xf>
    <xf numFmtId="167" fontId="25" fillId="0" borderId="3" xfId="0" applyNumberFormat="1" applyFont="1" applyBorder="1"/>
    <xf numFmtId="167" fontId="25" fillId="0" borderId="0" xfId="0" applyNumberFormat="1" applyFont="1"/>
    <xf numFmtId="167" fontId="22" fillId="0" borderId="6" xfId="0" applyNumberFormat="1" applyFont="1" applyBorder="1"/>
    <xf numFmtId="1" fontId="26" fillId="0" borderId="2" xfId="0" applyNumberFormat="1" applyFont="1" applyBorder="1"/>
    <xf numFmtId="167" fontId="27" fillId="0" borderId="0" xfId="0" applyNumberFormat="1" applyFont="1" applyAlignment="1">
      <alignment horizontal="left" indent="1"/>
    </xf>
    <xf numFmtId="167" fontId="21" fillId="0" borderId="5" xfId="0" applyNumberFormat="1" applyFont="1" applyBorder="1"/>
    <xf numFmtId="167" fontId="3" fillId="3" borderId="0" xfId="0" applyNumberFormat="1" applyFont="1" applyFill="1"/>
    <xf numFmtId="167" fontId="1" fillId="0" borderId="8" xfId="0" applyNumberFormat="1" applyFont="1" applyBorder="1"/>
    <xf numFmtId="167" fontId="1" fillId="0" borderId="7" xfId="0" applyNumberFormat="1" applyFont="1" applyBorder="1"/>
    <xf numFmtId="168" fontId="14" fillId="0" borderId="0" xfId="0" applyNumberFormat="1" applyFont="1"/>
    <xf numFmtId="168" fontId="28" fillId="2" borderId="0" xfId="0" applyNumberFormat="1" applyFont="1" applyFill="1"/>
    <xf numFmtId="167" fontId="29" fillId="2" borderId="0" xfId="0" applyNumberFormat="1" applyFont="1" applyFill="1"/>
    <xf numFmtId="167" fontId="9" fillId="2" borderId="0" xfId="0" applyNumberFormat="1" applyFont="1" applyFill="1"/>
    <xf numFmtId="167" fontId="28" fillId="2" borderId="0" xfId="0" applyNumberFormat="1" applyFont="1" applyFill="1" applyAlignment="1">
      <alignment horizontal="center" vertical="center"/>
    </xf>
    <xf numFmtId="167" fontId="9" fillId="0" borderId="0" xfId="0" applyNumberFormat="1" applyFont="1"/>
    <xf numFmtId="167" fontId="10" fillId="0" borderId="0" xfId="0" applyNumberFormat="1" applyFont="1"/>
    <xf numFmtId="167" fontId="9" fillId="0" borderId="0" xfId="0" applyNumberFormat="1" applyFont="1" applyAlignment="1">
      <alignment horizontal="left" indent="1"/>
    </xf>
    <xf numFmtId="167" fontId="10" fillId="0" borderId="0" xfId="0" applyNumberFormat="1" applyFont="1" applyAlignment="1">
      <alignment horizontal="left"/>
    </xf>
    <xf numFmtId="167" fontId="10" fillId="0" borderId="3" xfId="0" applyNumberFormat="1" applyFont="1" applyBorder="1"/>
    <xf numFmtId="167" fontId="10" fillId="0" borderId="0" xfId="0" applyNumberFormat="1" applyFont="1" applyAlignment="1">
      <alignment horizontal="left" indent="1"/>
    </xf>
    <xf numFmtId="9" fontId="9" fillId="0" borderId="0" xfId="1" applyFont="1"/>
    <xf numFmtId="169" fontId="9" fillId="0" borderId="0" xfId="1" applyNumberFormat="1" applyFont="1"/>
    <xf numFmtId="2" fontId="9" fillId="0" borderId="0" xfId="0" applyNumberFormat="1" applyFont="1"/>
    <xf numFmtId="167" fontId="10" fillId="0" borderId="0" xfId="0" applyNumberFormat="1" applyFont="1" applyAlignment="1">
      <alignment horizontal="center" vertical="center"/>
    </xf>
    <xf numFmtId="167" fontId="9" fillId="0" borderId="10" xfId="0" applyNumberFormat="1" applyFont="1" applyBorder="1"/>
    <xf numFmtId="167" fontId="9" fillId="0" borderId="9" xfId="0" applyNumberFormat="1" applyFont="1" applyBorder="1"/>
    <xf numFmtId="167" fontId="9" fillId="0" borderId="8" xfId="0" applyNumberFormat="1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9" fontId="10" fillId="0" borderId="0" xfId="1" applyFont="1" applyBorder="1"/>
    <xf numFmtId="9" fontId="10" fillId="0" borderId="0" xfId="1" applyFont="1"/>
    <xf numFmtId="167" fontId="30" fillId="0" borderId="0" xfId="0" applyNumberFormat="1" applyFont="1" applyAlignment="1">
      <alignment horizontal="left"/>
    </xf>
    <xf numFmtId="167" fontId="31" fillId="0" borderId="0" xfId="0" applyNumberFormat="1" applyFont="1" applyAlignment="1">
      <alignment horizontal="left" indent="1"/>
    </xf>
    <xf numFmtId="167" fontId="32" fillId="0" borderId="0" xfId="0" applyNumberFormat="1" applyFont="1" applyAlignment="1">
      <alignment horizontal="left" indent="1"/>
    </xf>
    <xf numFmtId="167" fontId="14" fillId="0" borderId="11" xfId="0" applyNumberFormat="1" applyFont="1" applyBorder="1"/>
    <xf numFmtId="2" fontId="28" fillId="2" borderId="0" xfId="0" applyNumberFormat="1" applyFont="1" applyFill="1"/>
    <xf numFmtId="167" fontId="33" fillId="0" borderId="0" xfId="0" applyNumberFormat="1" applyFont="1"/>
    <xf numFmtId="169" fontId="14" fillId="0" borderId="0" xfId="1" applyNumberFormat="1" applyFont="1"/>
    <xf numFmtId="167" fontId="34" fillId="2" borderId="0" xfId="0" applyNumberFormat="1" applyFont="1" applyFill="1" applyAlignment="1">
      <alignment horizontal="right" vertical="center"/>
    </xf>
    <xf numFmtId="2" fontId="28" fillId="2" borderId="0" xfId="0" applyNumberFormat="1" applyFont="1" applyFill="1" applyAlignment="1">
      <alignment horizontal="left" vertical="center"/>
    </xf>
    <xf numFmtId="167" fontId="35" fillId="4" borderId="0" xfId="0" applyNumberFormat="1" applyFont="1" applyFill="1"/>
    <xf numFmtId="167" fontId="36" fillId="4" borderId="0" xfId="0" applyNumberFormat="1" applyFont="1" applyFill="1"/>
    <xf numFmtId="167" fontId="36" fillId="4" borderId="0" xfId="0" applyNumberFormat="1" applyFont="1" applyFill="1" applyAlignment="1">
      <alignment horizontal="left" indent="1"/>
    </xf>
    <xf numFmtId="169" fontId="35" fillId="4" borderId="0" xfId="1" applyNumberFormat="1" applyFont="1" applyFill="1" applyBorder="1"/>
    <xf numFmtId="9" fontId="35" fillId="4" borderId="0" xfId="1" applyFont="1" applyFill="1" applyBorder="1"/>
    <xf numFmtId="9" fontId="35" fillId="4" borderId="0" xfId="1" applyFont="1" applyFill="1"/>
    <xf numFmtId="167" fontId="14" fillId="0" borderId="0" xfId="0" applyNumberFormat="1" applyFont="1" applyAlignment="1">
      <alignment horizontal="left" indent="1"/>
    </xf>
    <xf numFmtId="167" fontId="10" fillId="0" borderId="11" xfId="0" applyNumberFormat="1" applyFont="1" applyBorder="1"/>
    <xf numFmtId="169" fontId="14" fillId="0" borderId="0" xfId="1" applyNumberFormat="1" applyFont="1" applyAlignment="1">
      <alignment horizontal="right"/>
    </xf>
    <xf numFmtId="165" fontId="9" fillId="0" borderId="0" xfId="0" applyNumberFormat="1" applyFont="1"/>
    <xf numFmtId="165" fontId="10" fillId="0" borderId="0" xfId="0" applyNumberFormat="1" applyFont="1"/>
    <xf numFmtId="165" fontId="9" fillId="0" borderId="0" xfId="0" applyNumberFormat="1" applyFont="1" applyAlignment="1">
      <alignment horizontal="left" indent="1"/>
    </xf>
    <xf numFmtId="0" fontId="14" fillId="0" borderId="11" xfId="0" applyFont="1" applyBorder="1"/>
    <xf numFmtId="165" fontId="28" fillId="2" borderId="0" xfId="0" applyNumberFormat="1" applyFont="1" applyFill="1"/>
    <xf numFmtId="169" fontId="9" fillId="0" borderId="0" xfId="0" applyNumberFormat="1" applyFont="1"/>
    <xf numFmtId="0" fontId="10" fillId="0" borderId="0" xfId="0" applyFont="1"/>
    <xf numFmtId="165" fontId="10" fillId="0" borderId="0" xfId="0" applyNumberFormat="1" applyFont="1" applyAlignment="1">
      <alignment horizontal="left" indent="1"/>
    </xf>
    <xf numFmtId="165" fontId="28" fillId="2" borderId="0" xfId="0" applyNumberFormat="1" applyFont="1" applyFill="1" applyAlignment="1">
      <alignment horizontal="left" indent="1"/>
    </xf>
    <xf numFmtId="167" fontId="5" fillId="2" borderId="0" xfId="0" applyNumberFormat="1" applyFont="1" applyFill="1" applyAlignment="1">
      <alignment horizontal="left" vertical="top" wrapText="1"/>
    </xf>
    <xf numFmtId="165" fontId="28" fillId="2" borderId="0" xfId="0" applyNumberFormat="1" applyFont="1" applyFill="1" applyAlignment="1">
      <alignment horizontal="center"/>
    </xf>
    <xf numFmtId="165" fontId="10" fillId="0" borderId="0" xfId="0" applyNumberFormat="1" applyFont="1" applyBorder="1"/>
    <xf numFmtId="165" fontId="9" fillId="0" borderId="0" xfId="0" applyNumberFormat="1" applyFont="1" applyBorder="1"/>
    <xf numFmtId="165" fontId="9" fillId="0" borderId="0" xfId="0" applyNumberFormat="1" applyFont="1" applyBorder="1" applyAlignment="1">
      <alignment horizontal="left" indent="1"/>
    </xf>
    <xf numFmtId="165" fontId="28" fillId="2" borderId="6" xfId="0" applyNumberFormat="1" applyFont="1" applyFill="1" applyBorder="1" applyAlignment="1">
      <alignment horizontal="center"/>
    </xf>
    <xf numFmtId="9" fontId="9" fillId="0" borderId="0" xfId="1" applyNumberFormat="1" applyFont="1"/>
  </cellXfs>
  <cellStyles count="3">
    <cellStyle name="Normal" xfId="0" builtinId="0"/>
    <cellStyle name="Normal 2" xfId="2" xr:uid="{03221A14-4157-46B3-BEE9-62416A98CC35}"/>
    <cellStyle name="Percent" xfId="1" builtinId="5"/>
  </cellStyles>
  <dxfs count="0"/>
  <tableStyles count="0" defaultTableStyle="TableStyleMedium2" defaultPivotStyle="PivotStyleLight16"/>
  <colors>
    <mruColors>
      <color rgb="FFE21B38"/>
      <color rgb="FFFBA4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AAE8A-D722-4300-A451-7C60C1DD8839}">
  <dimension ref="B2:T104"/>
  <sheetViews>
    <sheetView topLeftCell="A42" zoomScale="62" zoomScaleNormal="61" workbookViewId="0">
      <selection activeCell="I45" sqref="I45"/>
    </sheetView>
  </sheetViews>
  <sheetFormatPr defaultRowHeight="14.4" x14ac:dyDescent="0.3"/>
  <cols>
    <col min="1" max="1" width="8.88671875" style="34"/>
    <col min="2" max="2" width="32.33203125" style="34" customWidth="1"/>
    <col min="3" max="3" width="19.21875" style="34" customWidth="1"/>
    <col min="4" max="5" width="16.33203125" style="34" bestFit="1" customWidth="1"/>
    <col min="6" max="7" width="13.33203125" style="34" bestFit="1" customWidth="1"/>
    <col min="8" max="8" width="8.88671875" style="34"/>
    <col min="9" max="9" width="30.5546875" style="34" customWidth="1"/>
    <col min="10" max="10" width="8.88671875" style="34" customWidth="1"/>
    <col min="11" max="16384" width="8.88671875" style="34"/>
  </cols>
  <sheetData>
    <row r="2" spans="2:20" s="40" customFormat="1" ht="38.4" customHeight="1" x14ac:dyDescent="0.3">
      <c r="B2" s="105" t="s">
        <v>34</v>
      </c>
      <c r="C2" s="105"/>
      <c r="D2" s="35"/>
      <c r="E2" s="36"/>
      <c r="F2" s="36"/>
      <c r="G2" s="35"/>
    </row>
    <row r="3" spans="2:20" s="40" customFormat="1" ht="18.600000000000001" thickBot="1" x14ac:dyDescent="0.4">
      <c r="D3" s="50">
        <v>2021</v>
      </c>
      <c r="E3" s="50">
        <f>D3+1</f>
        <v>2022</v>
      </c>
      <c r="F3" s="50">
        <f t="shared" ref="F3:G3" si="0">E3+1</f>
        <v>2023</v>
      </c>
      <c r="G3" s="50">
        <f t="shared" si="0"/>
        <v>2024</v>
      </c>
    </row>
    <row r="4" spans="2:20" s="40" customFormat="1" ht="15" thickTop="1" x14ac:dyDescent="0.3">
      <c r="D4" s="37"/>
      <c r="E4" s="37"/>
      <c r="F4" s="37"/>
      <c r="G4" s="37"/>
    </row>
    <row r="5" spans="2:20" x14ac:dyDescent="0.3">
      <c r="B5" s="41" t="s">
        <v>26</v>
      </c>
      <c r="D5" s="34">
        <v>60541421612</v>
      </c>
      <c r="E5" s="34">
        <f>92167518911</f>
        <v>92167518911</v>
      </c>
      <c r="F5" s="34">
        <f>152186247545</f>
        <v>152186247545</v>
      </c>
      <c r="G5" s="34">
        <f>231981835577</f>
        <v>231981835577</v>
      </c>
      <c r="P5" s="34" t="s">
        <v>191</v>
      </c>
    </row>
    <row r="6" spans="2:20" x14ac:dyDescent="0.3">
      <c r="B6" s="41" t="s">
        <v>24</v>
      </c>
      <c r="D6" s="34">
        <v>-52106121565</v>
      </c>
      <c r="E6" s="34">
        <f>-78644300819</f>
        <v>-78644300819</v>
      </c>
      <c r="F6" s="34">
        <v>-123108958742</v>
      </c>
      <c r="G6" s="34">
        <v>-188083314674</v>
      </c>
      <c r="K6" s="34" t="s">
        <v>24</v>
      </c>
      <c r="L6" s="34">
        <v>-52106121565</v>
      </c>
      <c r="M6" s="34">
        <v>-78644300819</v>
      </c>
      <c r="N6" s="34">
        <v>-123108958742</v>
      </c>
      <c r="O6" s="34">
        <v>-188083314674</v>
      </c>
      <c r="P6" s="34" t="s">
        <v>24</v>
      </c>
      <c r="Q6" s="34">
        <f>-L6/50.7</f>
        <v>1027734153.1558185</v>
      </c>
      <c r="R6" s="34">
        <f t="shared" ref="R6:T6" si="1">-M6/50.7</f>
        <v>1551169641.4003944</v>
      </c>
      <c r="S6" s="34">
        <f t="shared" si="1"/>
        <v>2428184590.5719919</v>
      </c>
      <c r="T6" s="34">
        <f t="shared" si="1"/>
        <v>3709730072.4654832</v>
      </c>
    </row>
    <row r="7" spans="2:20" x14ac:dyDescent="0.3">
      <c r="B7" s="42" t="s">
        <v>39</v>
      </c>
      <c r="D7" s="39">
        <v>878776076</v>
      </c>
      <c r="E7" s="39">
        <v>1166278300</v>
      </c>
      <c r="F7" s="39">
        <v>1769184832</v>
      </c>
      <c r="G7" s="39">
        <v>1527014346</v>
      </c>
      <c r="K7" s="34" t="s">
        <v>25</v>
      </c>
      <c r="L7" s="34">
        <v>-908225780</v>
      </c>
      <c r="M7" s="34">
        <v>-1543782023</v>
      </c>
      <c r="N7" s="34">
        <v>-2670371570</v>
      </c>
      <c r="O7" s="34">
        <v>-4585404666</v>
      </c>
      <c r="P7" s="34" t="s">
        <v>25</v>
      </c>
      <c r="Q7" s="34">
        <f t="shared" ref="Q7:Q8" si="2">-L7/50.7</f>
        <v>17913723.471400395</v>
      </c>
      <c r="R7" s="34">
        <f t="shared" ref="R7:R8" si="3">-M7/50.7</f>
        <v>30449349.566074949</v>
      </c>
      <c r="S7" s="34">
        <f t="shared" ref="S7:S8" si="4">-N7/50.7</f>
        <v>52670050.690335304</v>
      </c>
      <c r="T7" s="34">
        <f t="shared" ref="T7:T8" si="5">-O7/50.7</f>
        <v>90441906.627218932</v>
      </c>
    </row>
    <row r="8" spans="2:20" x14ac:dyDescent="0.3">
      <c r="B8" s="42" t="s">
        <v>40</v>
      </c>
      <c r="D8" s="39">
        <v>0</v>
      </c>
      <c r="E8" s="39">
        <f>18242891+2014766</f>
        <v>20257657</v>
      </c>
      <c r="F8" s="39">
        <f>29393454+3737758</f>
        <v>33131212</v>
      </c>
      <c r="G8" s="39">
        <f>28967069+14048887</f>
        <v>43015956</v>
      </c>
      <c r="K8" s="34" t="s">
        <v>31</v>
      </c>
      <c r="L8" s="34">
        <v>-2564287821</v>
      </c>
      <c r="M8" s="34">
        <v>-3417078829</v>
      </c>
      <c r="N8" s="34">
        <v>-5977797154</v>
      </c>
      <c r="O8" s="34">
        <v>-7584862689</v>
      </c>
      <c r="P8" s="34" t="s">
        <v>31</v>
      </c>
      <c r="Q8" s="34">
        <f t="shared" si="2"/>
        <v>50577669.053254433</v>
      </c>
      <c r="R8" s="34">
        <f t="shared" si="3"/>
        <v>67398004.516765282</v>
      </c>
      <c r="S8" s="34">
        <f t="shared" si="4"/>
        <v>117905269.30966468</v>
      </c>
      <c r="T8" s="34">
        <f t="shared" si="5"/>
        <v>149602814.37869823</v>
      </c>
    </row>
    <row r="9" spans="2:20" ht="15" thickBot="1" x14ac:dyDescent="0.35">
      <c r="B9" s="43" t="s">
        <v>27</v>
      </c>
      <c r="D9" s="38">
        <f>SUM(D5:D8)</f>
        <v>9314076123</v>
      </c>
      <c r="E9" s="38">
        <f t="shared" ref="E9:F9" si="6">SUM(E5:E8)</f>
        <v>14709754049</v>
      </c>
      <c r="F9" s="38">
        <f t="shared" si="6"/>
        <v>30879604847</v>
      </c>
      <c r="G9" s="38">
        <f>SUM(G5:G8)</f>
        <v>45468551205</v>
      </c>
    </row>
    <row r="10" spans="2:20" ht="15" thickTop="1" x14ac:dyDescent="0.3"/>
    <row r="11" spans="2:20" x14ac:dyDescent="0.3">
      <c r="B11" s="42" t="s">
        <v>28</v>
      </c>
      <c r="D11" s="34">
        <v>764041874</v>
      </c>
      <c r="E11" s="34">
        <v>649039871</v>
      </c>
      <c r="F11" s="34">
        <v>1377419685</v>
      </c>
      <c r="G11" s="34">
        <v>3943112948</v>
      </c>
    </row>
    <row r="12" spans="2:20" x14ac:dyDescent="0.3">
      <c r="B12" s="42"/>
    </row>
    <row r="13" spans="2:20" x14ac:dyDescent="0.3">
      <c r="B13" s="42" t="s">
        <v>25</v>
      </c>
      <c r="D13" s="34">
        <v>-908225780</v>
      </c>
      <c r="E13" s="34">
        <v>-1543782023</v>
      </c>
      <c r="F13" s="34">
        <v>-2670371570</v>
      </c>
      <c r="G13" s="34">
        <v>-4585404666</v>
      </c>
    </row>
    <row r="14" spans="2:20" x14ac:dyDescent="0.3">
      <c r="B14" s="44" t="s">
        <v>44</v>
      </c>
      <c r="D14" s="39">
        <f>8614760</f>
        <v>8614760</v>
      </c>
      <c r="E14" s="39">
        <f>10855548</f>
        <v>10855548</v>
      </c>
      <c r="F14" s="39">
        <f>16730355</f>
        <v>16730355</v>
      </c>
      <c r="G14" s="39">
        <f>23383269</f>
        <v>23383269</v>
      </c>
    </row>
    <row r="15" spans="2:20" x14ac:dyDescent="0.3">
      <c r="B15" s="44" t="s">
        <v>45</v>
      </c>
      <c r="D15" s="39">
        <f>2948766</f>
        <v>2948766</v>
      </c>
      <c r="E15" s="39">
        <f>601819+1262808</f>
        <v>1864627</v>
      </c>
      <c r="F15" s="39">
        <f>7500183+2190209</f>
        <v>9690392</v>
      </c>
      <c r="G15" s="39">
        <f>3159702+7995187</f>
        <v>11154889</v>
      </c>
    </row>
    <row r="16" spans="2:20" x14ac:dyDescent="0.3">
      <c r="B16" s="44"/>
    </row>
    <row r="17" spans="2:7" x14ac:dyDescent="0.3">
      <c r="B17" s="42" t="s">
        <v>31</v>
      </c>
      <c r="D17" s="34">
        <v>-2564287821</v>
      </c>
      <c r="E17" s="34">
        <v>-3417078829</v>
      </c>
      <c r="F17" s="34">
        <v>-5977797154</v>
      </c>
      <c r="G17" s="34">
        <v>-7584862689</v>
      </c>
    </row>
    <row r="18" spans="2:7" x14ac:dyDescent="0.3">
      <c r="B18" s="44" t="s">
        <v>46</v>
      </c>
      <c r="D18" s="39">
        <f>136733816</f>
        <v>136733816</v>
      </c>
      <c r="E18" s="39">
        <f>193482966</f>
        <v>193482966</v>
      </c>
      <c r="F18" s="39">
        <f>307874621</f>
        <v>307874621</v>
      </c>
      <c r="G18" s="39">
        <f>469249256</f>
        <v>469249256</v>
      </c>
    </row>
    <row r="19" spans="2:7" x14ac:dyDescent="0.3">
      <c r="B19" s="44" t="s">
        <v>47</v>
      </c>
      <c r="D19" s="39">
        <f>20024896+39943859</f>
        <v>59968755</v>
      </c>
      <c r="E19" s="39">
        <f>3162498+60581149</f>
        <v>63743647</v>
      </c>
      <c r="F19" s="39">
        <f>7767594+48019608</f>
        <v>55787202</v>
      </c>
      <c r="G19" s="39">
        <f>120937603+63517734</f>
        <v>184455337</v>
      </c>
    </row>
    <row r="20" spans="2:7" x14ac:dyDescent="0.3">
      <c r="B20" s="44"/>
    </row>
    <row r="21" spans="2:7" x14ac:dyDescent="0.3">
      <c r="B21" s="42" t="s">
        <v>29</v>
      </c>
      <c r="D21" s="34">
        <v>-443505135</v>
      </c>
      <c r="E21" s="34">
        <v>-1571844281</v>
      </c>
      <c r="F21" s="34">
        <v>-3564878625</v>
      </c>
      <c r="G21" s="34">
        <v>-5019284405</v>
      </c>
    </row>
    <row r="22" spans="2:7" x14ac:dyDescent="0.3">
      <c r="B22" s="44" t="s">
        <v>41</v>
      </c>
      <c r="D22" s="39">
        <f>2393805</f>
        <v>2393805</v>
      </c>
      <c r="E22" s="39">
        <f>25867</f>
        <v>25867</v>
      </c>
      <c r="F22" s="39">
        <f>29037988</f>
        <v>29037988</v>
      </c>
      <c r="G22" s="39">
        <f>270053406</f>
        <v>270053406</v>
      </c>
    </row>
    <row r="23" spans="2:7" x14ac:dyDescent="0.3">
      <c r="B23" s="44"/>
    </row>
    <row r="24" spans="2:7" x14ac:dyDescent="0.3">
      <c r="B24" s="42" t="s">
        <v>32</v>
      </c>
      <c r="D24" s="34">
        <v>-23447559</v>
      </c>
      <c r="E24" s="34">
        <v>3846446</v>
      </c>
      <c r="F24" s="34">
        <v>0</v>
      </c>
      <c r="G24" s="34">
        <v>0</v>
      </c>
    </row>
    <row r="25" spans="2:7" ht="15" thickBot="1" x14ac:dyDescent="0.35">
      <c r="B25" s="43" t="s">
        <v>51</v>
      </c>
      <c r="D25" s="38">
        <f>SUM(D9:D24)</f>
        <v>6349311604</v>
      </c>
      <c r="E25" s="38">
        <f>SUM(E9:E24)</f>
        <v>9099907888</v>
      </c>
      <c r="F25" s="38">
        <f>SUM(F9:F24)</f>
        <v>20463097741</v>
      </c>
      <c r="G25" s="38">
        <f>SUM(G9:G24)</f>
        <v>33180408550</v>
      </c>
    </row>
    <row r="26" spans="2:7" ht="15" thickTop="1" x14ac:dyDescent="0.3"/>
    <row r="27" spans="2:7" x14ac:dyDescent="0.3">
      <c r="B27" s="42" t="s">
        <v>42</v>
      </c>
      <c r="D27" s="34">
        <f>-(D7+D14+D18)</f>
        <v>-1024124652</v>
      </c>
      <c r="E27" s="34">
        <f t="shared" ref="E27:F27" si="7">-(E7+E14+E18)</f>
        <v>-1370616814</v>
      </c>
      <c r="F27" s="34">
        <f t="shared" si="7"/>
        <v>-2093789808</v>
      </c>
      <c r="G27" s="34">
        <f>-(G7+G14+G18)</f>
        <v>-2019646871</v>
      </c>
    </row>
    <row r="28" spans="2:7" x14ac:dyDescent="0.3">
      <c r="B28" s="42" t="s">
        <v>43</v>
      </c>
      <c r="D28" s="34">
        <f>-(D8+D15+D19)</f>
        <v>-62917521</v>
      </c>
      <c r="E28" s="34">
        <f t="shared" ref="E28:G28" si="8">-(E8+E15+E19)</f>
        <v>-85865931</v>
      </c>
      <c r="F28" s="34">
        <f t="shared" si="8"/>
        <v>-98608806</v>
      </c>
      <c r="G28" s="34">
        <f t="shared" si="8"/>
        <v>-238626182</v>
      </c>
    </row>
    <row r="29" spans="2:7" x14ac:dyDescent="0.3">
      <c r="B29" s="42" t="s">
        <v>30</v>
      </c>
      <c r="D29" s="34">
        <f>-60760787-D22</f>
        <v>-63154592</v>
      </c>
      <c r="E29" s="34">
        <f>-210387896-E22</f>
        <v>-210413763</v>
      </c>
      <c r="F29" s="34">
        <f>-502542890-F22</f>
        <v>-531580878</v>
      </c>
      <c r="G29" s="34">
        <f>-1310362947-G22</f>
        <v>-1580416353</v>
      </c>
    </row>
    <row r="30" spans="2:7" ht="15" thickBot="1" x14ac:dyDescent="0.35">
      <c r="B30" s="43" t="s">
        <v>33</v>
      </c>
      <c r="D30" s="38">
        <f>SUM(D25:D29)</f>
        <v>5199114839</v>
      </c>
      <c r="E30" s="38">
        <f>SUM(E25:E29)</f>
        <v>7433011380</v>
      </c>
      <c r="F30" s="38">
        <f>SUM(F25:F29)</f>
        <v>17739118249</v>
      </c>
      <c r="G30" s="38">
        <f>SUM(G25:G29)</f>
        <v>29341719144</v>
      </c>
    </row>
    <row r="31" spans="2:7" ht="15" thickTop="1" x14ac:dyDescent="0.3">
      <c r="B31" s="41"/>
    </row>
    <row r="32" spans="2:7" x14ac:dyDescent="0.3">
      <c r="B32" s="42" t="s">
        <v>52</v>
      </c>
      <c r="D32" s="34">
        <f>248538461</f>
        <v>248538461</v>
      </c>
      <c r="E32" s="34">
        <f>265839807</f>
        <v>265839807</v>
      </c>
      <c r="F32" s="34">
        <f>603624972</f>
        <v>603624972</v>
      </c>
      <c r="G32" s="34">
        <f>1132366257</f>
        <v>1132366257</v>
      </c>
    </row>
    <row r="33" spans="2:10" x14ac:dyDescent="0.3">
      <c r="B33" s="42" t="s">
        <v>49</v>
      </c>
      <c r="D33" s="34">
        <v>424915985</v>
      </c>
      <c r="E33" s="34">
        <v>2113319352</v>
      </c>
      <c r="F33" s="34">
        <v>2818868796</v>
      </c>
      <c r="G33" s="34">
        <v>4247625658</v>
      </c>
    </row>
    <row r="34" spans="2:10" x14ac:dyDescent="0.3">
      <c r="B34" s="42" t="s">
        <v>48</v>
      </c>
      <c r="D34" s="34">
        <v>-769286495</v>
      </c>
      <c r="E34" s="34">
        <v>-1740384712</v>
      </c>
      <c r="F34" s="34">
        <v>-4943231073</v>
      </c>
      <c r="G34" s="34">
        <v>-7762991604</v>
      </c>
    </row>
    <row r="35" spans="2:10" ht="15" thickBot="1" x14ac:dyDescent="0.35">
      <c r="B35" s="43" t="s">
        <v>35</v>
      </c>
      <c r="D35" s="38">
        <f>SUM(D30:D34)</f>
        <v>5103282790</v>
      </c>
      <c r="E35" s="38">
        <f>SUM(E30:E34)</f>
        <v>8071785827</v>
      </c>
      <c r="F35" s="38">
        <f>SUM(F30:F34)</f>
        <v>16218380944</v>
      </c>
      <c r="G35" s="38">
        <f>SUM(G30:G34)</f>
        <v>26958719455</v>
      </c>
    </row>
    <row r="36" spans="2:10" ht="15" thickTop="1" x14ac:dyDescent="0.3">
      <c r="B36" s="44"/>
    </row>
    <row r="37" spans="2:10" x14ac:dyDescent="0.3">
      <c r="B37" s="42" t="s">
        <v>50</v>
      </c>
      <c r="D37" s="34">
        <v>-1233415661</v>
      </c>
      <c r="E37" s="34">
        <v>-2317443176</v>
      </c>
      <c r="F37" s="34">
        <v>-5080406688</v>
      </c>
      <c r="G37" s="34">
        <v>-8121510082</v>
      </c>
    </row>
    <row r="38" spans="2:10" ht="15" thickBot="1" x14ac:dyDescent="0.35">
      <c r="B38" s="43" t="s">
        <v>36</v>
      </c>
      <c r="D38" s="38">
        <f>SUM(D35:D37)</f>
        <v>3869867129</v>
      </c>
      <c r="E38" s="38">
        <f>SUM(E35:E37)</f>
        <v>5754342651</v>
      </c>
      <c r="F38" s="38">
        <f>SUM(F35:F37)</f>
        <v>11137974256</v>
      </c>
      <c r="G38" s="38">
        <f>SUM(G35:G37)</f>
        <v>18837209373</v>
      </c>
    </row>
    <row r="39" spans="2:10" ht="15" thickTop="1" x14ac:dyDescent="0.3">
      <c r="B39" s="41"/>
    </row>
    <row r="40" spans="2:10" x14ac:dyDescent="0.3">
      <c r="B40" s="41" t="s">
        <v>38</v>
      </c>
      <c r="D40" s="34">
        <f>-274968512</f>
        <v>-274968512</v>
      </c>
      <c r="E40" s="34">
        <f>-336675083</f>
        <v>-336675083</v>
      </c>
      <c r="F40" s="34">
        <f>-1022272479</f>
        <v>-1022272479</v>
      </c>
      <c r="G40" s="34">
        <f>-1375850659</f>
        <v>-1375850659</v>
      </c>
    </row>
    <row r="41" spans="2:10" ht="15" thickBot="1" x14ac:dyDescent="0.35">
      <c r="B41" s="43" t="s">
        <v>37</v>
      </c>
      <c r="D41" s="38">
        <f>SUM(D38:D40)</f>
        <v>3594898617</v>
      </c>
      <c r="E41" s="38">
        <f>SUM(E38:E40)</f>
        <v>5417667568</v>
      </c>
      <c r="F41" s="38">
        <f>SUM(F38:F40)</f>
        <v>10115701777</v>
      </c>
      <c r="G41" s="38">
        <f>SUM(G38:G40)</f>
        <v>17461358714</v>
      </c>
    </row>
    <row r="42" spans="2:10" ht="15" thickTop="1" x14ac:dyDescent="0.3"/>
    <row r="43" spans="2:10" ht="39" customHeight="1" x14ac:dyDescent="0.3">
      <c r="B43" s="105" t="s">
        <v>88</v>
      </c>
      <c r="C43" s="105"/>
      <c r="D43" s="35"/>
      <c r="E43" s="36"/>
      <c r="F43" s="36"/>
      <c r="G43" s="35"/>
    </row>
    <row r="44" spans="2:10" ht="18.600000000000001" thickBot="1" x14ac:dyDescent="0.4">
      <c r="D44" s="50">
        <v>2021</v>
      </c>
      <c r="E44" s="50">
        <f>D44+1</f>
        <v>2022</v>
      </c>
      <c r="F44" s="50">
        <f t="shared" ref="F44:G44" si="9">E44+1</f>
        <v>2023</v>
      </c>
      <c r="G44" s="50">
        <f t="shared" si="9"/>
        <v>2024</v>
      </c>
    </row>
    <row r="45" spans="2:10" ht="15.6" thickTop="1" thickBot="1" x14ac:dyDescent="0.35">
      <c r="B45" s="45" t="s">
        <v>53</v>
      </c>
      <c r="C45" s="45"/>
      <c r="D45" s="45"/>
      <c r="E45" s="45"/>
      <c r="F45" s="45"/>
      <c r="G45" s="45"/>
      <c r="J45" s="40"/>
    </row>
    <row r="46" spans="2:10" ht="15" thickTop="1" x14ac:dyDescent="0.3">
      <c r="B46" s="46" t="s">
        <v>54</v>
      </c>
      <c r="D46" s="34">
        <v>9614865271</v>
      </c>
      <c r="E46" s="34">
        <v>14745465826</v>
      </c>
      <c r="F46" s="34">
        <v>18009166367</v>
      </c>
      <c r="G46" s="34">
        <v>27543762675</v>
      </c>
    </row>
    <row r="47" spans="2:10" x14ac:dyDescent="0.3">
      <c r="B47" s="46" t="s">
        <v>55</v>
      </c>
      <c r="D47" s="34">
        <v>128940738</v>
      </c>
      <c r="E47" s="34">
        <v>837378743</v>
      </c>
      <c r="F47" s="34">
        <v>880980101</v>
      </c>
      <c r="G47" s="34">
        <v>496953678</v>
      </c>
    </row>
    <row r="48" spans="2:10" x14ac:dyDescent="0.3">
      <c r="B48" s="46" t="s">
        <v>56</v>
      </c>
      <c r="D48" s="34">
        <v>20093165</v>
      </c>
      <c r="E48" s="34">
        <v>20146331</v>
      </c>
      <c r="F48" s="34">
        <v>61033092</v>
      </c>
      <c r="G48" s="34">
        <v>60026536</v>
      </c>
    </row>
    <row r="49" spans="2:10" x14ac:dyDescent="0.3">
      <c r="B49" s="46" t="s">
        <v>57</v>
      </c>
      <c r="D49" s="34">
        <v>2131863907</v>
      </c>
      <c r="E49" s="34">
        <v>2712904299</v>
      </c>
      <c r="F49" s="34">
        <v>3802844269</v>
      </c>
      <c r="G49" s="34">
        <v>6474047538</v>
      </c>
    </row>
    <row r="50" spans="2:10" x14ac:dyDescent="0.3">
      <c r="B50" s="46" t="s">
        <v>58</v>
      </c>
      <c r="D50" s="34">
        <v>134845433</v>
      </c>
      <c r="E50" s="34">
        <v>61054807</v>
      </c>
      <c r="F50" s="34">
        <v>111110144</v>
      </c>
      <c r="G50" s="34">
        <v>133150622</v>
      </c>
    </row>
    <row r="51" spans="2:10" x14ac:dyDescent="0.3">
      <c r="B51" s="46" t="s">
        <v>59</v>
      </c>
      <c r="D51" s="34">
        <v>1202254015</v>
      </c>
      <c r="E51" s="34">
        <v>1497061324</v>
      </c>
      <c r="F51" s="34">
        <v>2770745661</v>
      </c>
      <c r="G51" s="34">
        <v>1894117052</v>
      </c>
    </row>
    <row r="52" spans="2:10" x14ac:dyDescent="0.3">
      <c r="B52" s="46" t="s">
        <v>60</v>
      </c>
      <c r="D52" s="34">
        <v>1218008700</v>
      </c>
      <c r="E52" s="34">
        <v>1229913315</v>
      </c>
      <c r="F52" s="34">
        <v>1261762247</v>
      </c>
      <c r="G52" s="34">
        <v>1459194548</v>
      </c>
    </row>
    <row r="53" spans="2:10" x14ac:dyDescent="0.3">
      <c r="B53" s="46" t="s">
        <v>61</v>
      </c>
      <c r="D53" s="34">
        <v>262400576</v>
      </c>
      <c r="E53" s="34">
        <v>273037127</v>
      </c>
      <c r="F53" s="34">
        <v>726284664</v>
      </c>
      <c r="G53" s="34">
        <v>2362632290</v>
      </c>
    </row>
    <row r="54" spans="2:10" ht="15" thickBot="1" x14ac:dyDescent="0.35">
      <c r="B54" s="47" t="s">
        <v>62</v>
      </c>
      <c r="D54" s="47">
        <f>SUM(D46:D53)</f>
        <v>14713271805</v>
      </c>
      <c r="E54" s="47">
        <f>SUM(E46:E53)</f>
        <v>21376961772</v>
      </c>
      <c r="F54" s="47">
        <f>SUM(F46:F53)</f>
        <v>27623926545</v>
      </c>
      <c r="G54" s="47">
        <f>SUM(G46:G53)</f>
        <v>40423884939</v>
      </c>
      <c r="J54" s="40"/>
    </row>
    <row r="55" spans="2:10" x14ac:dyDescent="0.3">
      <c r="B55" s="48"/>
      <c r="J55" s="40"/>
    </row>
    <row r="56" spans="2:10" x14ac:dyDescent="0.3">
      <c r="B56" s="46" t="s">
        <v>63</v>
      </c>
      <c r="D56" s="34">
        <v>13320680703</v>
      </c>
      <c r="E56" s="34">
        <v>24179747573</v>
      </c>
      <c r="F56" s="34">
        <v>30881822082</v>
      </c>
      <c r="G56" s="34">
        <v>56795884068</v>
      </c>
    </row>
    <row r="57" spans="2:10" x14ac:dyDescent="0.3">
      <c r="B57" s="46" t="s">
        <v>64</v>
      </c>
      <c r="D57" s="34">
        <v>5320053553</v>
      </c>
      <c r="E57" s="34">
        <v>10450404064</v>
      </c>
      <c r="F57" s="34">
        <v>16179633722</v>
      </c>
      <c r="G57" s="34">
        <v>18051966570</v>
      </c>
    </row>
    <row r="58" spans="2:10" x14ac:dyDescent="0.3">
      <c r="B58" s="46" t="s">
        <v>90</v>
      </c>
      <c r="D58" s="34">
        <v>1277412692</v>
      </c>
      <c r="E58" s="34">
        <v>1394752828</v>
      </c>
      <c r="F58" s="34">
        <v>1218260843</v>
      </c>
      <c r="G58" s="34">
        <v>6164646988</v>
      </c>
    </row>
    <row r="59" spans="2:10" x14ac:dyDescent="0.3">
      <c r="B59" s="46" t="s">
        <v>59</v>
      </c>
      <c r="D59" s="34">
        <v>20964404123</v>
      </c>
      <c r="E59" s="34">
        <v>34650718324</v>
      </c>
      <c r="F59" s="34">
        <v>46591885092</v>
      </c>
      <c r="G59" s="34">
        <v>86736309423</v>
      </c>
    </row>
    <row r="60" spans="2:10" x14ac:dyDescent="0.3">
      <c r="B60" s="46" t="s">
        <v>58</v>
      </c>
      <c r="D60" s="34">
        <v>1041067042</v>
      </c>
      <c r="E60" s="34">
        <v>1283144447</v>
      </c>
      <c r="F60" s="34">
        <v>2553915781</v>
      </c>
      <c r="G60" s="34">
        <v>2299918506</v>
      </c>
    </row>
    <row r="61" spans="2:10" x14ac:dyDescent="0.3">
      <c r="B61" s="46" t="s">
        <v>89</v>
      </c>
      <c r="D61" s="34">
        <v>1151171819</v>
      </c>
      <c r="E61" s="34">
        <v>903065328</v>
      </c>
      <c r="F61" s="34">
        <v>847165963</v>
      </c>
      <c r="G61" s="34">
        <v>874525871</v>
      </c>
    </row>
    <row r="62" spans="2:10" x14ac:dyDescent="0.3">
      <c r="B62" s="46" t="s">
        <v>65</v>
      </c>
      <c r="D62" s="34">
        <v>10691417529</v>
      </c>
      <c r="E62" s="34">
        <v>19715749761</v>
      </c>
      <c r="F62" s="34">
        <v>25552044800</v>
      </c>
      <c r="G62" s="34">
        <v>38180002322</v>
      </c>
    </row>
    <row r="63" spans="2:10" ht="15" thickBot="1" x14ac:dyDescent="0.35">
      <c r="B63" s="47" t="s">
        <v>66</v>
      </c>
      <c r="D63" s="47">
        <f>SUM(D56:D62)</f>
        <v>53766207461</v>
      </c>
      <c r="E63" s="47">
        <f>SUM(E56:E62)</f>
        <v>92577582325</v>
      </c>
      <c r="F63" s="47">
        <f>SUM(F56:F62)</f>
        <v>123824728283</v>
      </c>
      <c r="G63" s="47">
        <f>SUM(G56:G62)</f>
        <v>209103253748</v>
      </c>
      <c r="J63" s="40"/>
    </row>
    <row r="64" spans="2:10" x14ac:dyDescent="0.3">
      <c r="B64" s="48"/>
      <c r="J64" s="40"/>
    </row>
    <row r="65" spans="2:10" ht="15" thickBot="1" x14ac:dyDescent="0.35">
      <c r="B65" s="43" t="s">
        <v>67</v>
      </c>
      <c r="D65" s="43">
        <f>D63+D54</f>
        <v>68479479266</v>
      </c>
      <c r="E65" s="43">
        <f>E63+E54</f>
        <v>113954544097</v>
      </c>
      <c r="F65" s="43">
        <f>F63+F54</f>
        <v>151448654828</v>
      </c>
      <c r="G65" s="43">
        <f>G63+G54</f>
        <v>249527138687</v>
      </c>
      <c r="J65" s="40"/>
    </row>
    <row r="66" spans="2:10" ht="15" thickTop="1" x14ac:dyDescent="0.3">
      <c r="B66" s="41"/>
      <c r="J66" s="40"/>
    </row>
    <row r="67" spans="2:10" ht="15" thickBot="1" x14ac:dyDescent="0.35">
      <c r="B67" s="45" t="s">
        <v>92</v>
      </c>
      <c r="C67" s="45"/>
      <c r="D67" s="45"/>
      <c r="E67" s="45"/>
      <c r="F67" s="45"/>
      <c r="G67" s="45"/>
      <c r="J67" s="40"/>
    </row>
    <row r="68" spans="2:10" ht="15" thickTop="1" x14ac:dyDescent="0.3">
      <c r="J68" s="40"/>
    </row>
    <row r="69" spans="2:10" ht="15" thickBot="1" x14ac:dyDescent="0.35">
      <c r="B69" s="52" t="s">
        <v>93</v>
      </c>
      <c r="D69" s="52"/>
      <c r="E69" s="52"/>
      <c r="F69" s="52"/>
      <c r="G69" s="52"/>
      <c r="J69" s="40"/>
    </row>
    <row r="70" spans="2:10" ht="15" thickTop="1" x14ac:dyDescent="0.3">
      <c r="B70" s="46" t="s">
        <v>68</v>
      </c>
      <c r="D70" s="34">
        <v>2184180000</v>
      </c>
      <c r="E70" s="34">
        <v>2170777876</v>
      </c>
      <c r="F70" s="34">
        <v>2170777876</v>
      </c>
      <c r="G70" s="34">
        <v>2140777876</v>
      </c>
      <c r="J70" s="40"/>
    </row>
    <row r="71" spans="2:10" x14ac:dyDescent="0.3">
      <c r="B71" s="46" t="s">
        <v>69</v>
      </c>
      <c r="D71" s="2">
        <v>-1422160</v>
      </c>
      <c r="E71" s="2">
        <v>-1422160</v>
      </c>
      <c r="F71" s="2">
        <v>-1422160</v>
      </c>
      <c r="G71" s="2">
        <v>-1422160</v>
      </c>
    </row>
    <row r="72" spans="2:10" x14ac:dyDescent="0.3">
      <c r="B72" s="46" t="s">
        <v>70</v>
      </c>
      <c r="D72" s="34">
        <v>436836000</v>
      </c>
      <c r="E72" s="34">
        <v>436836000</v>
      </c>
      <c r="F72" s="34">
        <v>3942000468</v>
      </c>
      <c r="G72" s="34">
        <v>8514968667</v>
      </c>
    </row>
    <row r="73" spans="2:10" x14ac:dyDescent="0.3">
      <c r="B73" s="46" t="s">
        <v>71</v>
      </c>
      <c r="D73" s="34">
        <v>-93063286</v>
      </c>
      <c r="E73" s="34">
        <v>-254137884</v>
      </c>
      <c r="F73" s="34">
        <v>-254137884</v>
      </c>
      <c r="G73" s="34">
        <v>0</v>
      </c>
    </row>
    <row r="74" spans="2:10" x14ac:dyDescent="0.3">
      <c r="B74" s="46" t="s">
        <v>72</v>
      </c>
      <c r="D74" s="34">
        <v>13179981882</v>
      </c>
      <c r="E74" s="34">
        <v>16187177902</v>
      </c>
      <c r="F74" s="34">
        <v>29867247832</v>
      </c>
      <c r="G74" s="34">
        <v>44620588973</v>
      </c>
    </row>
    <row r="75" spans="2:10" x14ac:dyDescent="0.3">
      <c r="B75" s="46" t="s">
        <v>95</v>
      </c>
      <c r="D75" s="34">
        <v>3594898617</v>
      </c>
      <c r="E75" s="34">
        <v>5417667568</v>
      </c>
      <c r="F75" s="54"/>
      <c r="G75" s="54"/>
    </row>
    <row r="76" spans="2:10" ht="15" thickBot="1" x14ac:dyDescent="0.35">
      <c r="B76" s="46" t="s">
        <v>94</v>
      </c>
      <c r="C76" s="40"/>
      <c r="D76" s="34">
        <v>79989427</v>
      </c>
      <c r="E76" s="34">
        <v>2053264881</v>
      </c>
      <c r="F76" s="55"/>
      <c r="G76" s="55"/>
    </row>
    <row r="77" spans="2:10" x14ac:dyDescent="0.3">
      <c r="B77" s="49" t="s">
        <v>91</v>
      </c>
      <c r="C77" s="40"/>
      <c r="D77" s="49">
        <f>SUM(D70:D76)</f>
        <v>19381400480</v>
      </c>
      <c r="E77" s="49">
        <f>SUM(E70:E76)</f>
        <v>26010164183</v>
      </c>
      <c r="F77" s="49">
        <f>SUM(F70:F76)</f>
        <v>35724466132</v>
      </c>
      <c r="G77" s="49">
        <f>SUM(G70:G76)</f>
        <v>55274913356</v>
      </c>
    </row>
    <row r="78" spans="2:10" x14ac:dyDescent="0.3">
      <c r="B78" s="40"/>
      <c r="C78" s="40"/>
    </row>
    <row r="79" spans="2:10" ht="15" thickBot="1" x14ac:dyDescent="0.35">
      <c r="B79" s="51" t="s">
        <v>73</v>
      </c>
      <c r="D79" s="34">
        <v>1094835251</v>
      </c>
      <c r="E79" s="34">
        <v>1635139443</v>
      </c>
      <c r="F79" s="34">
        <v>2384013396</v>
      </c>
      <c r="G79" s="34">
        <v>4251771900</v>
      </c>
    </row>
    <row r="80" spans="2:10" ht="15" thickBot="1" x14ac:dyDescent="0.35">
      <c r="B80" s="47" t="s">
        <v>74</v>
      </c>
      <c r="D80" s="49">
        <f>SUM(D77:D79)</f>
        <v>20476235731</v>
      </c>
      <c r="E80" s="49">
        <f>SUM(E77:E79)</f>
        <v>27645303626</v>
      </c>
      <c r="F80" s="49">
        <f>SUM(F77:F79)</f>
        <v>38108479528</v>
      </c>
      <c r="G80" s="49">
        <f>SUM(G77:G79)</f>
        <v>59526685256</v>
      </c>
    </row>
    <row r="81" spans="2:7" x14ac:dyDescent="0.3">
      <c r="B81" s="40"/>
    </row>
    <row r="82" spans="2:7" ht="15" thickBot="1" x14ac:dyDescent="0.35">
      <c r="B82" s="52" t="s">
        <v>75</v>
      </c>
      <c r="D82" s="52"/>
      <c r="E82" s="52"/>
      <c r="F82" s="52"/>
      <c r="G82" s="52"/>
    </row>
    <row r="83" spans="2:7" ht="15" thickTop="1" x14ac:dyDescent="0.3">
      <c r="B83" s="46" t="s">
        <v>76</v>
      </c>
      <c r="D83" s="34">
        <v>3030406403</v>
      </c>
      <c r="E83" s="34">
        <v>5597759864</v>
      </c>
      <c r="F83" s="34">
        <v>6815681966</v>
      </c>
      <c r="G83" s="34">
        <v>6349010708</v>
      </c>
    </row>
    <row r="84" spans="2:7" x14ac:dyDescent="0.3">
      <c r="B84" s="46" t="s">
        <v>77</v>
      </c>
      <c r="D84" s="34">
        <v>992429450</v>
      </c>
      <c r="E84" s="34">
        <v>1298288336</v>
      </c>
      <c r="F84" s="34">
        <v>1809916821</v>
      </c>
      <c r="G84" s="34">
        <v>3669892743</v>
      </c>
    </row>
    <row r="85" spans="2:7" x14ac:dyDescent="0.3">
      <c r="B85" s="46" t="s">
        <v>78</v>
      </c>
      <c r="D85" s="34">
        <v>153602684</v>
      </c>
      <c r="E85" s="34">
        <v>60068339</v>
      </c>
      <c r="F85" s="34">
        <v>81722342</v>
      </c>
      <c r="G85" s="34">
        <v>94611605</v>
      </c>
    </row>
    <row r="86" spans="2:7" x14ac:dyDescent="0.3">
      <c r="B86" s="46" t="s">
        <v>79</v>
      </c>
      <c r="D86" s="34">
        <v>215447464</v>
      </c>
      <c r="E86" s="34">
        <v>308542214</v>
      </c>
      <c r="F86" s="34">
        <v>752369068</v>
      </c>
      <c r="G86" s="34">
        <v>942646031</v>
      </c>
    </row>
    <row r="87" spans="2:7" ht="15" thickBot="1" x14ac:dyDescent="0.35">
      <c r="B87" s="46" t="s">
        <v>80</v>
      </c>
      <c r="D87" s="34">
        <v>911589159</v>
      </c>
      <c r="E87" s="34">
        <v>654605535</v>
      </c>
      <c r="F87" s="34">
        <v>774053299</v>
      </c>
      <c r="G87" s="34">
        <v>2631482147</v>
      </c>
    </row>
    <row r="88" spans="2:7" x14ac:dyDescent="0.3">
      <c r="B88" s="49" t="s">
        <v>81</v>
      </c>
      <c r="D88" s="49">
        <f>SUM(D83:D87)</f>
        <v>5303475160</v>
      </c>
      <c r="E88" s="49">
        <f>SUM(E83:E87)</f>
        <v>7919264288</v>
      </c>
      <c r="F88" s="49">
        <f>SUM(F83:F87)</f>
        <v>10233743496</v>
      </c>
      <c r="G88" s="49">
        <f>SUM(G83:G87)</f>
        <v>13687643234</v>
      </c>
    </row>
    <row r="89" spans="2:7" x14ac:dyDescent="0.3">
      <c r="B89" s="40"/>
    </row>
    <row r="90" spans="2:7" x14ac:dyDescent="0.3">
      <c r="B90" s="46" t="s">
        <v>87</v>
      </c>
      <c r="D90" s="34">
        <v>10673364451</v>
      </c>
      <c r="E90" s="34">
        <v>15645923494</v>
      </c>
    </row>
    <row r="91" spans="2:7" x14ac:dyDescent="0.3">
      <c r="B91" s="46" t="s">
        <v>97</v>
      </c>
      <c r="D91" s="34">
        <v>4373011623</v>
      </c>
      <c r="E91" s="34">
        <v>14496964987</v>
      </c>
      <c r="F91" s="34">
        <v>34950810105</v>
      </c>
      <c r="G91" s="34">
        <v>52733931099</v>
      </c>
    </row>
    <row r="92" spans="2:7" x14ac:dyDescent="0.3">
      <c r="B92" s="46" t="s">
        <v>82</v>
      </c>
      <c r="D92" s="34">
        <v>14635318408</v>
      </c>
      <c r="E92" s="34">
        <v>25036102489</v>
      </c>
      <c r="F92" s="34">
        <v>31938122060</v>
      </c>
      <c r="G92" s="34">
        <v>54808185042</v>
      </c>
    </row>
    <row r="93" spans="2:7" x14ac:dyDescent="0.3">
      <c r="B93" s="46" t="s">
        <v>83</v>
      </c>
      <c r="D93" s="34">
        <v>10227883558</v>
      </c>
      <c r="E93" s="34">
        <v>16951156365</v>
      </c>
      <c r="F93" s="34">
        <v>25060328092</v>
      </c>
      <c r="G93" s="34">
        <v>53281056753</v>
      </c>
    </row>
    <row r="94" spans="2:7" x14ac:dyDescent="0.3">
      <c r="B94" s="46" t="s">
        <v>78</v>
      </c>
      <c r="D94" s="34">
        <v>393361461</v>
      </c>
      <c r="E94" s="34">
        <v>1732335224</v>
      </c>
      <c r="F94" s="34">
        <v>3106746671</v>
      </c>
      <c r="G94" s="34">
        <v>2050078425</v>
      </c>
    </row>
    <row r="95" spans="2:7" ht="15" thickBot="1" x14ac:dyDescent="0.35">
      <c r="B95" s="46" t="s">
        <v>79</v>
      </c>
      <c r="D95" s="34">
        <v>2396828874</v>
      </c>
      <c r="E95" s="34">
        <v>4527493624</v>
      </c>
      <c r="F95" s="34">
        <v>8050424876</v>
      </c>
      <c r="G95" s="34">
        <v>13439558878</v>
      </c>
    </row>
    <row r="96" spans="2:7" x14ac:dyDescent="0.3">
      <c r="B96" s="49" t="s">
        <v>84</v>
      </c>
      <c r="D96" s="49">
        <f>SUM(D90:D95)</f>
        <v>42699768375</v>
      </c>
      <c r="E96" s="49">
        <f>SUM(E90:E95)</f>
        <v>78389976183</v>
      </c>
      <c r="F96" s="49">
        <f t="shared" ref="F96:G96" si="10">SUM(F90:F95)</f>
        <v>103106431804</v>
      </c>
      <c r="G96" s="49">
        <f t="shared" si="10"/>
        <v>176312810197</v>
      </c>
    </row>
    <row r="97" spans="2:9" x14ac:dyDescent="0.3">
      <c r="B97" s="40"/>
    </row>
    <row r="98" spans="2:9" ht="15" thickBot="1" x14ac:dyDescent="0.35">
      <c r="B98" s="47" t="s">
        <v>85</v>
      </c>
      <c r="D98" s="47">
        <f>D96+D88</f>
        <v>48003243535</v>
      </c>
      <c r="E98" s="47">
        <f>E96+E88</f>
        <v>86309240471</v>
      </c>
      <c r="F98" s="47">
        <f>F96+F88</f>
        <v>113340175300</v>
      </c>
      <c r="G98" s="47">
        <f>G96+G88</f>
        <v>190000453431</v>
      </c>
    </row>
    <row r="99" spans="2:9" x14ac:dyDescent="0.3">
      <c r="B99" s="48"/>
    </row>
    <row r="100" spans="2:9" ht="15" thickBot="1" x14ac:dyDescent="0.35">
      <c r="B100" s="43" t="s">
        <v>86</v>
      </c>
      <c r="D100" s="43">
        <f>D98+D80</f>
        <v>68479479266</v>
      </c>
      <c r="E100" s="43">
        <f>E98+E80</f>
        <v>113954544097</v>
      </c>
      <c r="F100" s="43">
        <f>F98+F80</f>
        <v>151448654828</v>
      </c>
      <c r="G100" s="43">
        <f>G98+G80</f>
        <v>249527138687</v>
      </c>
    </row>
    <row r="101" spans="2:9" ht="15" thickTop="1" x14ac:dyDescent="0.3"/>
    <row r="102" spans="2:9" x14ac:dyDescent="0.3">
      <c r="B102" s="53" t="s">
        <v>96</v>
      </c>
      <c r="C102" s="53"/>
      <c r="D102" s="53">
        <f>D65-D100</f>
        <v>0</v>
      </c>
      <c r="E102" s="53">
        <f>E65-E100</f>
        <v>0</v>
      </c>
      <c r="F102" s="53">
        <f>F65-F100</f>
        <v>0</v>
      </c>
      <c r="G102" s="53">
        <f>G65-G100</f>
        <v>0</v>
      </c>
    </row>
    <row r="104" spans="2:9" x14ac:dyDescent="0.3">
      <c r="H104" s="40"/>
      <c r="I104" s="40"/>
    </row>
  </sheetData>
  <mergeCells count="2">
    <mergeCell ref="B2:C2"/>
    <mergeCell ref="B43:C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D8ED-023C-456E-8A5B-A0EA2157C9D7}">
  <dimension ref="B1:AA53"/>
  <sheetViews>
    <sheetView topLeftCell="A5" zoomScale="93" workbookViewId="0">
      <selection activeCell="L12" sqref="L12:L24"/>
    </sheetView>
  </sheetViews>
  <sheetFormatPr defaultRowHeight="14.4" x14ac:dyDescent="0.3"/>
  <cols>
    <col min="1" max="1" width="8.88671875" style="2"/>
    <col min="2" max="2" width="26.109375" style="2" bestFit="1" customWidth="1"/>
    <col min="3" max="3" width="9.6640625" style="2" bestFit="1" customWidth="1"/>
    <col min="4" max="4" width="11.21875" style="9" bestFit="1" customWidth="1"/>
    <col min="5" max="6" width="13.21875" style="9" bestFit="1" customWidth="1"/>
    <col min="7" max="7" width="12.6640625" style="9" bestFit="1" customWidth="1"/>
    <col min="8" max="8" width="13.21875" style="9" bestFit="1" customWidth="1"/>
    <col min="9" max="9" width="6.88671875" style="9" bestFit="1" customWidth="1"/>
    <col min="10" max="10" width="12.5546875" style="9" bestFit="1" customWidth="1"/>
    <col min="11" max="11" width="14.5546875" style="2" bestFit="1" customWidth="1"/>
    <col min="12" max="12" width="20.6640625" style="2" bestFit="1" customWidth="1"/>
    <col min="13" max="13" width="18.77734375" style="2" bestFit="1" customWidth="1"/>
    <col min="14" max="15" width="11.6640625" style="2" bestFit="1" customWidth="1"/>
    <col min="16" max="16" width="10.5546875" style="2" bestFit="1" customWidth="1"/>
    <col min="17" max="17" width="11.6640625" style="2" bestFit="1" customWidth="1"/>
    <col min="18" max="18" width="8.88671875" style="2"/>
    <col min="19" max="19" width="31" style="2" bestFit="1" customWidth="1"/>
    <col min="20" max="23" width="10.21875" style="2" bestFit="1" customWidth="1"/>
    <col min="24" max="16384" width="8.88671875" style="2"/>
  </cols>
  <sheetData>
    <row r="1" spans="2:17" ht="15.6" x14ac:dyDescent="0.35">
      <c r="B1" s="17"/>
    </row>
    <row r="2" spans="2:17" ht="21" x14ac:dyDescent="0.4">
      <c r="B2" s="6" t="s">
        <v>9</v>
      </c>
      <c r="C2" s="6"/>
      <c r="D2" s="6"/>
      <c r="E2" s="6"/>
      <c r="F2" s="6"/>
      <c r="G2" s="6"/>
      <c r="H2" s="6"/>
    </row>
    <row r="3" spans="2:17" ht="16.2" thickBot="1" x14ac:dyDescent="0.4">
      <c r="B3" s="19"/>
      <c r="C3" s="18"/>
      <c r="D3" s="18">
        <v>2020</v>
      </c>
      <c r="E3" s="18">
        <f>D3+1</f>
        <v>2021</v>
      </c>
      <c r="F3" s="18">
        <f t="shared" ref="F3:G3" si="0">E3+1</f>
        <v>2022</v>
      </c>
      <c r="G3" s="18">
        <f t="shared" si="0"/>
        <v>2023</v>
      </c>
      <c r="H3" s="18">
        <f>G3+1</f>
        <v>2024</v>
      </c>
    </row>
    <row r="4" spans="2:17" ht="16.2" thickTop="1" x14ac:dyDescent="0.35">
      <c r="B4" s="19"/>
      <c r="C4" s="26"/>
      <c r="D4" s="26"/>
      <c r="E4" s="26"/>
      <c r="F4" s="26"/>
      <c r="G4" s="26"/>
      <c r="H4" s="26"/>
    </row>
    <row r="5" spans="2:17" ht="15.6" x14ac:dyDescent="0.35">
      <c r="B5" s="19" t="s">
        <v>10</v>
      </c>
      <c r="C5" s="17"/>
      <c r="D5" s="27"/>
      <c r="E5" s="27">
        <v>365</v>
      </c>
      <c r="F5" s="27">
        <v>365</v>
      </c>
      <c r="G5" s="27">
        <v>365</v>
      </c>
      <c r="H5" s="27">
        <v>365</v>
      </c>
      <c r="I5" s="20"/>
    </row>
    <row r="6" spans="2:17" ht="15.6" x14ac:dyDescent="0.35">
      <c r="B6" s="19" t="s">
        <v>11</v>
      </c>
      <c r="C6" s="17"/>
      <c r="D6" s="28"/>
      <c r="E6" s="32">
        <f>'Financial statement'!D5</f>
        <v>60541421612</v>
      </c>
      <c r="F6" s="32">
        <f>'Financial statement'!E5</f>
        <v>92167518911</v>
      </c>
      <c r="G6" s="32">
        <f>'Financial statement'!F5</f>
        <v>152186247545</v>
      </c>
      <c r="H6" s="32">
        <f>'Financial statement'!G5</f>
        <v>231981835577</v>
      </c>
    </row>
    <row r="7" spans="2:17" ht="15.6" x14ac:dyDescent="0.35">
      <c r="B7" s="19" t="s">
        <v>24</v>
      </c>
      <c r="C7" s="17"/>
      <c r="D7" s="31"/>
      <c r="E7" s="32">
        <f>'Financial statement'!D6</f>
        <v>-52106121565</v>
      </c>
      <c r="F7" s="32">
        <f>'Financial statement'!E6</f>
        <v>-78644300819</v>
      </c>
      <c r="G7" s="32">
        <f>'Financial statement'!F6</f>
        <v>-123108958742</v>
      </c>
      <c r="H7" s="32">
        <f>'Financial statement'!G6</f>
        <v>-188083314674</v>
      </c>
    </row>
    <row r="8" spans="2:17" ht="15.6" x14ac:dyDescent="0.35">
      <c r="B8" s="17"/>
      <c r="C8" s="17"/>
      <c r="D8" s="32"/>
      <c r="E8" s="33"/>
      <c r="F8" s="33"/>
      <c r="G8" s="33"/>
      <c r="H8" s="33"/>
    </row>
    <row r="9" spans="2:17" ht="15.6" x14ac:dyDescent="0.35">
      <c r="B9" s="21" t="s">
        <v>12</v>
      </c>
      <c r="C9" s="17"/>
      <c r="D9" s="33"/>
      <c r="E9" s="33"/>
      <c r="F9" s="33"/>
      <c r="G9" s="33"/>
      <c r="H9" s="33"/>
    </row>
    <row r="10" spans="2:17" ht="15.6" x14ac:dyDescent="0.35">
      <c r="B10" s="22" t="s">
        <v>13</v>
      </c>
      <c r="C10" s="17"/>
      <c r="D10" s="33">
        <v>7150239877</v>
      </c>
      <c r="E10" s="33">
        <f>'Financial statement'!D56</f>
        <v>13320680703</v>
      </c>
      <c r="F10" s="33">
        <f>'Financial statement'!E56</f>
        <v>24179747573</v>
      </c>
      <c r="G10" s="33">
        <f>'Financial statement'!F56</f>
        <v>30881822082</v>
      </c>
      <c r="H10" s="33">
        <f>'Financial statement'!G56</f>
        <v>56795884068</v>
      </c>
    </row>
    <row r="11" spans="2:17" ht="15.6" x14ac:dyDescent="0.35">
      <c r="B11" s="22" t="s">
        <v>14</v>
      </c>
      <c r="C11" s="17"/>
      <c r="D11" s="33">
        <v>23963097005</v>
      </c>
      <c r="E11" s="33">
        <f>'Financial statement'!D59</f>
        <v>20964404123</v>
      </c>
      <c r="F11" s="33">
        <f>'Financial statement'!E59</f>
        <v>34650718324</v>
      </c>
      <c r="G11" s="33">
        <f>'Financial statement'!F59</f>
        <v>46591885092</v>
      </c>
      <c r="H11" s="33">
        <f>'Financial statement'!G59</f>
        <v>86736309423</v>
      </c>
    </row>
    <row r="12" spans="2:17" ht="15.6" x14ac:dyDescent="0.35">
      <c r="B12" s="22" t="s">
        <v>15</v>
      </c>
      <c r="C12" s="17"/>
      <c r="D12" s="33">
        <v>518261804</v>
      </c>
      <c r="E12" s="33">
        <f>'Financial statement'!D60</f>
        <v>1041067042</v>
      </c>
      <c r="F12" s="33">
        <f>'Financial statement'!E60</f>
        <v>1283144447</v>
      </c>
      <c r="G12" s="33">
        <f>'Financial statement'!F60</f>
        <v>2553915781</v>
      </c>
      <c r="H12" s="33">
        <f>'Financial statement'!G60</f>
        <v>2299918506</v>
      </c>
    </row>
    <row r="13" spans="2:17" ht="15.6" x14ac:dyDescent="0.35">
      <c r="B13" s="22" t="s">
        <v>16</v>
      </c>
      <c r="C13" s="17"/>
      <c r="D13" s="33">
        <v>22482747436</v>
      </c>
      <c r="E13" s="33">
        <f>'Financial statement'!D92</f>
        <v>14635318408</v>
      </c>
      <c r="F13" s="33">
        <f>'Financial statement'!E92</f>
        <v>25036102489</v>
      </c>
      <c r="G13" s="33">
        <f>'Financial statement'!F92</f>
        <v>31938122060</v>
      </c>
      <c r="H13" s="33">
        <f>'Financial statement'!G92</f>
        <v>54808185042</v>
      </c>
    </row>
    <row r="14" spans="2:17" ht="15.6" x14ac:dyDescent="0.35">
      <c r="B14" s="22" t="s">
        <v>17</v>
      </c>
      <c r="C14" s="17"/>
      <c r="D14" s="33">
        <v>341232707</v>
      </c>
      <c r="E14" s="33">
        <f>'Financial statement'!D94</f>
        <v>393361461</v>
      </c>
      <c r="F14" s="33">
        <f>'Financial statement'!E94</f>
        <v>1732335224</v>
      </c>
      <c r="G14" s="33">
        <f>'Financial statement'!F94</f>
        <v>3106746671</v>
      </c>
      <c r="H14" s="33">
        <f>'Financial statement'!G94</f>
        <v>2050078425</v>
      </c>
    </row>
    <row r="15" spans="2:17" ht="15.6" x14ac:dyDescent="0.35">
      <c r="B15" s="22"/>
      <c r="C15" s="17"/>
      <c r="D15" s="29"/>
      <c r="E15" s="29"/>
      <c r="F15" s="29"/>
      <c r="G15" s="29"/>
      <c r="H15" s="29"/>
    </row>
    <row r="16" spans="2:17" ht="15.6" x14ac:dyDescent="0.35">
      <c r="B16" s="19" t="s">
        <v>18</v>
      </c>
      <c r="C16" s="17"/>
      <c r="D16" s="29"/>
      <c r="E16" s="29"/>
      <c r="F16" s="29"/>
      <c r="G16" s="29"/>
      <c r="H16" s="29"/>
      <c r="L16" s="17"/>
      <c r="M16" s="19" t="s">
        <v>18</v>
      </c>
      <c r="N16" s="29"/>
      <c r="O16" s="29"/>
      <c r="P16" s="29"/>
      <c r="Q16" s="29"/>
    </row>
    <row r="17" spans="2:27" ht="15.6" x14ac:dyDescent="0.35">
      <c r="B17" s="22" t="s">
        <v>19</v>
      </c>
      <c r="C17" s="17"/>
      <c r="D17" s="30"/>
      <c r="E17" s="56">
        <f>-AVERAGE(D10:E10)*E5/E7</f>
        <v>71.698735074526368</v>
      </c>
      <c r="F17" s="56">
        <f>-AVERAGE(E10:F10)*F5/F7</f>
        <v>87.022557122366479</v>
      </c>
      <c r="G17" s="56">
        <f t="shared" ref="G17:H17" si="1">-AVERAGE(F10:G10)*G5/G7</f>
        <v>81.624737669146256</v>
      </c>
      <c r="H17" s="56">
        <f t="shared" si="1"/>
        <v>85.074964784140676</v>
      </c>
      <c r="L17" s="17"/>
      <c r="M17" s="22" t="s">
        <v>19</v>
      </c>
      <c r="N17" s="56">
        <v>71.698735074526368</v>
      </c>
      <c r="O17" s="56">
        <v>87.022557122366479</v>
      </c>
      <c r="P17" s="56">
        <v>81.624737669146256</v>
      </c>
      <c r="Q17" s="56">
        <v>85.074964784140676</v>
      </c>
    </row>
    <row r="18" spans="2:27" ht="15.6" x14ac:dyDescent="0.35">
      <c r="B18" s="22" t="s">
        <v>20</v>
      </c>
      <c r="C18" s="17"/>
      <c r="D18" s="30"/>
      <c r="E18" s="56">
        <f>E5*AVERAGE(D11:E11)/E$6</f>
        <v>135.43238228543368</v>
      </c>
      <c r="F18" s="56">
        <f t="shared" ref="F18:H18" si="2">F5*AVERAGE(E11:F11)/F$6</f>
        <v>110.12295835345685</v>
      </c>
      <c r="G18" s="56">
        <f t="shared" si="2"/>
        <v>97.425196840048685</v>
      </c>
      <c r="H18" s="56">
        <f t="shared" si="2"/>
        <v>104.88922737621425</v>
      </c>
      <c r="L18" s="17"/>
      <c r="M18" s="22" t="s">
        <v>20</v>
      </c>
      <c r="N18" s="56">
        <v>135.43238228543368</v>
      </c>
      <c r="O18" s="56">
        <v>110.12295835345685</v>
      </c>
      <c r="P18" s="56">
        <v>97.425196840048685</v>
      </c>
      <c r="Q18" s="56">
        <v>104.88922737621425</v>
      </c>
    </row>
    <row r="19" spans="2:27" ht="15.6" x14ac:dyDescent="0.35">
      <c r="B19" s="22" t="s">
        <v>21</v>
      </c>
      <c r="C19" s="17"/>
      <c r="D19" s="30"/>
      <c r="E19" s="56">
        <f>AVERAGE(D13:E13)*E$5/E$7</f>
        <v>-130.00482118170484</v>
      </c>
      <c r="F19" s="56">
        <f t="shared" ref="F19:H19" si="3">AVERAGE(E13:F13)*F$5/F$7</f>
        <v>-92.060508368755819</v>
      </c>
      <c r="G19" s="56">
        <f t="shared" si="3"/>
        <v>-84.460108236178073</v>
      </c>
      <c r="H19" s="56">
        <f t="shared" si="3"/>
        <v>-84.171214621322562</v>
      </c>
      <c r="L19" s="17"/>
      <c r="M19" s="22" t="s">
        <v>21</v>
      </c>
      <c r="N19" s="56">
        <v>-130.00482118170484</v>
      </c>
      <c r="O19" s="56">
        <v>-92.060508368755819</v>
      </c>
      <c r="P19" s="56">
        <v>-84.460108236178073</v>
      </c>
      <c r="Q19" s="56">
        <v>-84.171214621322562</v>
      </c>
    </row>
    <row r="20" spans="2:27" ht="15.6" x14ac:dyDescent="0.35">
      <c r="B20" s="24" t="s">
        <v>98</v>
      </c>
      <c r="C20" s="17"/>
      <c r="D20" s="30"/>
      <c r="E20" s="57">
        <f>SUM(E17:E19)</f>
        <v>77.126296178255217</v>
      </c>
      <c r="F20" s="57">
        <f t="shared" ref="F20:H20" si="4">SUM(F17:F19)</f>
        <v>105.08500710706753</v>
      </c>
      <c r="G20" s="57">
        <f t="shared" si="4"/>
        <v>94.589826273016868</v>
      </c>
      <c r="H20" s="57">
        <f t="shared" si="4"/>
        <v>105.79297753903235</v>
      </c>
      <c r="L20" s="17"/>
      <c r="M20" s="24" t="s">
        <v>98</v>
      </c>
      <c r="N20" s="57">
        <v>77.126296178255217</v>
      </c>
      <c r="O20" s="57">
        <v>105.08500710706753</v>
      </c>
      <c r="P20" s="57">
        <v>94.589826273016868</v>
      </c>
      <c r="Q20" s="57">
        <v>105.79297753903235</v>
      </c>
    </row>
    <row r="21" spans="2:27" ht="15.6" x14ac:dyDescent="0.35">
      <c r="B21" s="17"/>
      <c r="C21" s="17"/>
      <c r="D21" s="17"/>
      <c r="E21" s="17"/>
      <c r="F21" s="17"/>
      <c r="G21" s="17"/>
      <c r="H21" s="17"/>
    </row>
    <row r="22" spans="2:27" ht="15.6" x14ac:dyDescent="0.35">
      <c r="B22" s="24" t="s">
        <v>22</v>
      </c>
      <c r="C22" s="17"/>
      <c r="D22" s="17"/>
      <c r="E22" s="17"/>
      <c r="F22" s="17"/>
      <c r="G22" s="17"/>
      <c r="H22" s="17"/>
    </row>
    <row r="23" spans="2:27" ht="15.6" x14ac:dyDescent="0.35">
      <c r="B23" s="22" t="s">
        <v>13</v>
      </c>
      <c r="C23" s="17"/>
      <c r="D23" s="23"/>
      <c r="E23" s="33">
        <f>D10-E10</f>
        <v>-6170440826</v>
      </c>
      <c r="F23" s="33">
        <f t="shared" ref="E23:H25" si="5">E10-F10</f>
        <v>-10859066870</v>
      </c>
      <c r="G23" s="33">
        <f t="shared" si="5"/>
        <v>-6702074509</v>
      </c>
      <c r="H23" s="33">
        <f t="shared" si="5"/>
        <v>-25914061986</v>
      </c>
      <c r="S23" s="2" t="s">
        <v>22</v>
      </c>
    </row>
    <row r="24" spans="2:27" ht="15.6" x14ac:dyDescent="0.35">
      <c r="B24" s="22" t="s">
        <v>14</v>
      </c>
      <c r="C24" s="17"/>
      <c r="D24" s="23"/>
      <c r="E24" s="33">
        <f>D11-E11</f>
        <v>2998692882</v>
      </c>
      <c r="F24" s="33">
        <f t="shared" si="5"/>
        <v>-13686314201</v>
      </c>
      <c r="G24" s="33">
        <f t="shared" si="5"/>
        <v>-11941166768</v>
      </c>
      <c r="H24" s="33">
        <f t="shared" si="5"/>
        <v>-40144424331</v>
      </c>
      <c r="S24" s="2" t="s">
        <v>13</v>
      </c>
      <c r="T24" s="2">
        <v>-6170440826</v>
      </c>
      <c r="U24" s="2">
        <v>-10859066870</v>
      </c>
      <c r="V24" s="2">
        <v>-6702074509</v>
      </c>
      <c r="W24" s="2">
        <v>-25914061986</v>
      </c>
      <c r="X24" s="2">
        <f>T24/50.7</f>
        <v>-121704947.25838263</v>
      </c>
      <c r="Y24" s="2">
        <f t="shared" ref="Y24:AA24" si="6">U24/50.7</f>
        <v>-214182778.50098619</v>
      </c>
      <c r="Z24" s="2">
        <f t="shared" si="6"/>
        <v>-132190818.7179487</v>
      </c>
      <c r="AA24" s="2">
        <f t="shared" si="6"/>
        <v>-511125482.95857984</v>
      </c>
    </row>
    <row r="25" spans="2:27" ht="15.6" x14ac:dyDescent="0.35">
      <c r="B25" s="22" t="s">
        <v>15</v>
      </c>
      <c r="C25" s="17"/>
      <c r="E25" s="33">
        <f t="shared" si="5"/>
        <v>-522805238</v>
      </c>
      <c r="F25" s="33">
        <f t="shared" si="5"/>
        <v>-242077405</v>
      </c>
      <c r="G25" s="33">
        <f t="shared" si="5"/>
        <v>-1270771334</v>
      </c>
      <c r="H25" s="33">
        <f t="shared" si="5"/>
        <v>253997275</v>
      </c>
      <c r="S25" s="2" t="s">
        <v>14</v>
      </c>
      <c r="T25" s="2">
        <v>2998692882</v>
      </c>
      <c r="U25" s="2">
        <v>-13686314201</v>
      </c>
      <c r="V25" s="2">
        <v>-11941166768</v>
      </c>
      <c r="W25" s="2">
        <v>-40144424331</v>
      </c>
      <c r="X25" s="2">
        <f t="shared" ref="X25:X31" si="7">T25/50.7</f>
        <v>59145816.213017747</v>
      </c>
      <c r="Y25" s="2">
        <f t="shared" ref="Y25:Y31" si="8">U25/50.7</f>
        <v>-269947025.6607495</v>
      </c>
      <c r="Z25" s="2">
        <f t="shared" ref="Z25:Z31" si="9">V25/50.7</f>
        <v>-235525971.75542405</v>
      </c>
      <c r="AA25" s="2">
        <f t="shared" ref="AA25:AA31" si="10">W25/50.7</f>
        <v>-791803241.24260354</v>
      </c>
    </row>
    <row r="26" spans="2:27" ht="15.6" x14ac:dyDescent="0.35">
      <c r="B26" s="22" t="s">
        <v>16</v>
      </c>
      <c r="C26" s="17"/>
      <c r="E26" s="33">
        <f>E13-D13</f>
        <v>-7847429028</v>
      </c>
      <c r="F26" s="33">
        <f t="shared" ref="E26:H27" si="11">F13-E13</f>
        <v>10400784081</v>
      </c>
      <c r="G26" s="33">
        <f t="shared" si="11"/>
        <v>6902019571</v>
      </c>
      <c r="H26" s="33">
        <f t="shared" si="11"/>
        <v>22870062982</v>
      </c>
      <c r="S26" s="2" t="s">
        <v>15</v>
      </c>
      <c r="T26" s="2">
        <v>-522805238</v>
      </c>
      <c r="U26" s="2">
        <v>-242077405</v>
      </c>
      <c r="V26" s="2">
        <v>-1270771334</v>
      </c>
      <c r="W26" s="2">
        <v>253997275</v>
      </c>
      <c r="X26" s="2">
        <f t="shared" si="7"/>
        <v>-10311740.394477317</v>
      </c>
      <c r="Y26" s="2">
        <f t="shared" si="8"/>
        <v>-4774702.2682445757</v>
      </c>
      <c r="Z26" s="2">
        <f t="shared" si="9"/>
        <v>-25064523.353057198</v>
      </c>
      <c r="AA26" s="2">
        <f t="shared" si="10"/>
        <v>5009808.1854043389</v>
      </c>
    </row>
    <row r="27" spans="2:27" ht="15.6" x14ac:dyDescent="0.35">
      <c r="B27" s="22" t="s">
        <v>17</v>
      </c>
      <c r="C27" s="17"/>
      <c r="E27" s="33">
        <f t="shared" si="11"/>
        <v>52128754</v>
      </c>
      <c r="F27" s="33">
        <f t="shared" si="11"/>
        <v>1338973763</v>
      </c>
      <c r="G27" s="33">
        <f t="shared" si="11"/>
        <v>1374411447</v>
      </c>
      <c r="H27" s="33">
        <f t="shared" si="11"/>
        <v>-1056668246</v>
      </c>
      <c r="S27" s="2" t="s">
        <v>16</v>
      </c>
      <c r="T27" s="2">
        <v>-7847429028</v>
      </c>
      <c r="U27" s="2">
        <v>10400784081</v>
      </c>
      <c r="V27" s="2">
        <v>6902019571</v>
      </c>
      <c r="W27" s="2">
        <v>22870062982</v>
      </c>
      <c r="X27" s="2">
        <f t="shared" si="7"/>
        <v>-154781637.63313609</v>
      </c>
      <c r="Y27" s="2">
        <f t="shared" si="8"/>
        <v>205143670.23668638</v>
      </c>
      <c r="Z27" s="2">
        <f t="shared" si="9"/>
        <v>136134508.30374753</v>
      </c>
      <c r="AA27" s="2">
        <f t="shared" si="10"/>
        <v>451086054.87179482</v>
      </c>
    </row>
    <row r="28" spans="2:27" ht="16.2" thickBot="1" x14ac:dyDescent="0.4">
      <c r="B28" s="24" t="s">
        <v>23</v>
      </c>
      <c r="C28" s="17"/>
      <c r="E28" s="25">
        <f t="shared" ref="E28:H28" si="12">SUM(E23:E27)</f>
        <v>-11489853456</v>
      </c>
      <c r="F28" s="25">
        <f t="shared" si="12"/>
        <v>-13047700632</v>
      </c>
      <c r="G28" s="25">
        <f t="shared" si="12"/>
        <v>-11637581593</v>
      </c>
      <c r="H28" s="25">
        <f t="shared" si="12"/>
        <v>-43991094306</v>
      </c>
      <c r="S28" s="2" t="s">
        <v>17</v>
      </c>
      <c r="T28" s="2">
        <v>52128754</v>
      </c>
      <c r="U28" s="2">
        <v>1338973763</v>
      </c>
      <c r="V28" s="2">
        <v>1374411447</v>
      </c>
      <c r="W28" s="2">
        <v>-1056668246</v>
      </c>
      <c r="X28" s="2">
        <f t="shared" si="7"/>
        <v>1028180.5522682446</v>
      </c>
      <c r="Y28" s="2">
        <f t="shared" si="8"/>
        <v>26409738.915187374</v>
      </c>
      <c r="Z28" s="2">
        <f t="shared" si="9"/>
        <v>27108707.041420117</v>
      </c>
      <c r="AA28" s="2">
        <f t="shared" si="10"/>
        <v>-20841582.761341222</v>
      </c>
    </row>
    <row r="29" spans="2:27" ht="15.6" x14ac:dyDescent="0.35">
      <c r="B29" s="24"/>
      <c r="C29" s="17"/>
      <c r="E29" s="19"/>
      <c r="F29" s="19"/>
      <c r="G29" s="19"/>
      <c r="H29" s="19"/>
    </row>
    <row r="30" spans="2:27" ht="15.6" x14ac:dyDescent="0.35">
      <c r="B30" s="24" t="s">
        <v>190</v>
      </c>
      <c r="C30" s="17"/>
      <c r="E30" s="19"/>
      <c r="F30" s="19"/>
      <c r="G30" s="19"/>
      <c r="H30" s="19"/>
    </row>
    <row r="31" spans="2:27" ht="15.6" x14ac:dyDescent="0.35">
      <c r="B31" s="22" t="s">
        <v>87</v>
      </c>
      <c r="E31" s="9">
        <f>'Financial statement'!D90</f>
        <v>10673364451</v>
      </c>
      <c r="F31" s="9">
        <f>'Financial statement'!E90</f>
        <v>15645923494</v>
      </c>
      <c r="G31" s="9">
        <f>'Financial statement'!F90</f>
        <v>0</v>
      </c>
      <c r="H31" s="9">
        <f>'Financial statement'!G90</f>
        <v>0</v>
      </c>
      <c r="K31" s="9"/>
      <c r="L31" s="9"/>
      <c r="S31" s="2" t="s">
        <v>23</v>
      </c>
      <c r="T31" s="2">
        <v>-11489853456</v>
      </c>
      <c r="U31" s="2">
        <v>-13047700632</v>
      </c>
      <c r="V31" s="2">
        <v>-11637581593</v>
      </c>
      <c r="W31" s="2">
        <v>-43991094306</v>
      </c>
      <c r="X31" s="2">
        <f t="shared" si="7"/>
        <v>-226624328.52071005</v>
      </c>
      <c r="Y31" s="2">
        <f t="shared" si="8"/>
        <v>-257351097.27810648</v>
      </c>
      <c r="Z31" s="2">
        <f t="shared" si="9"/>
        <v>-229538098.48126233</v>
      </c>
      <c r="AA31" s="2">
        <f t="shared" si="10"/>
        <v>-867674443.90532541</v>
      </c>
    </row>
    <row r="32" spans="2:27" ht="15.6" x14ac:dyDescent="0.35">
      <c r="B32" s="22" t="s">
        <v>97</v>
      </c>
      <c r="E32" s="9">
        <f>'Financial statement'!D91</f>
        <v>4373011623</v>
      </c>
      <c r="F32" s="9">
        <f>'Financial statement'!E91</f>
        <v>14496964987</v>
      </c>
      <c r="G32" s="9">
        <f>'Financial statement'!F91</f>
        <v>34950810105</v>
      </c>
      <c r="H32" s="9">
        <f>'Financial statement'!G91</f>
        <v>52733931099</v>
      </c>
      <c r="K32" s="9"/>
      <c r="L32" s="9"/>
    </row>
    <row r="33" spans="2:13" ht="15.6" x14ac:dyDescent="0.35">
      <c r="B33" s="22" t="s">
        <v>83</v>
      </c>
      <c r="E33" s="9">
        <f>'Financial statement'!D93</f>
        <v>10227883558</v>
      </c>
      <c r="F33" s="9">
        <f>'Financial statement'!E93</f>
        <v>16951156365</v>
      </c>
      <c r="G33" s="9">
        <f>'Financial statement'!F93</f>
        <v>25060328092</v>
      </c>
      <c r="H33" s="9">
        <f>'Financial statement'!G93</f>
        <v>53281056753</v>
      </c>
      <c r="K33" s="9"/>
      <c r="L33" s="9"/>
    </row>
    <row r="34" spans="2:13" ht="16.2" thickBot="1" x14ac:dyDescent="0.4">
      <c r="B34" s="24" t="s">
        <v>115</v>
      </c>
      <c r="C34" s="17"/>
      <c r="E34" s="25">
        <f>SUM(E31:E33)</f>
        <v>25274259632</v>
      </c>
      <c r="F34" s="25">
        <f t="shared" ref="F34:H34" si="13">SUM(F31:F33)</f>
        <v>47094044846</v>
      </c>
      <c r="G34" s="25">
        <f t="shared" si="13"/>
        <v>60011138197</v>
      </c>
      <c r="H34" s="25">
        <f t="shared" si="13"/>
        <v>106014987852</v>
      </c>
      <c r="K34" s="9"/>
      <c r="L34" s="9"/>
    </row>
    <row r="36" spans="2:13" ht="21" x14ac:dyDescent="0.4">
      <c r="B36" s="6" t="s">
        <v>8</v>
      </c>
      <c r="C36" s="5"/>
      <c r="D36" s="8"/>
      <c r="E36" s="14" t="s">
        <v>6</v>
      </c>
      <c r="F36" s="14">
        <v>365</v>
      </c>
      <c r="G36" s="8"/>
      <c r="H36" s="8"/>
      <c r="I36" s="8"/>
      <c r="J36" s="8"/>
    </row>
    <row r="37" spans="2:13" x14ac:dyDescent="0.3">
      <c r="D37" s="2" t="s">
        <v>5</v>
      </c>
      <c r="E37" s="2" t="s">
        <v>0</v>
      </c>
      <c r="F37" s="2"/>
      <c r="G37" s="2"/>
      <c r="H37" s="2"/>
      <c r="I37" s="2"/>
      <c r="J37" s="2"/>
    </row>
    <row r="38" spans="2:13" x14ac:dyDescent="0.3">
      <c r="D38" s="2"/>
      <c r="E38" s="2"/>
      <c r="F38" s="2"/>
      <c r="G38" s="2"/>
      <c r="H38" s="2"/>
      <c r="I38" s="2"/>
      <c r="J38" s="2"/>
    </row>
    <row r="39" spans="2:13" x14ac:dyDescent="0.3">
      <c r="B39" s="4"/>
    </row>
    <row r="40" spans="2:13" ht="15" x14ac:dyDescent="0.35">
      <c r="B40" s="4"/>
      <c r="C40" s="3"/>
      <c r="D40" s="1"/>
      <c r="E40" s="15"/>
    </row>
    <row r="41" spans="2:13" ht="15" x14ac:dyDescent="0.35">
      <c r="B41" s="4"/>
      <c r="C41" s="3"/>
      <c r="D41" s="1"/>
      <c r="E41" s="15"/>
    </row>
    <row r="42" spans="2:13" ht="15" x14ac:dyDescent="0.35">
      <c r="B42" s="4"/>
      <c r="C42" s="4"/>
      <c r="D42" s="1"/>
      <c r="E42" s="15"/>
    </row>
    <row r="43" spans="2:13" ht="15" x14ac:dyDescent="0.35">
      <c r="B43" s="4"/>
      <c r="C43" s="4"/>
      <c r="D43" s="1"/>
      <c r="E43" s="15"/>
    </row>
    <row r="44" spans="2:13" x14ac:dyDescent="0.3">
      <c r="B44" s="4"/>
      <c r="C44" s="4"/>
    </row>
    <row r="45" spans="2:13" x14ac:dyDescent="0.3">
      <c r="B45" s="4"/>
      <c r="C45" s="4"/>
    </row>
    <row r="46" spans="2:13" x14ac:dyDescent="0.3">
      <c r="B46" s="4"/>
      <c r="C46" s="4"/>
    </row>
    <row r="47" spans="2:13" ht="21" x14ac:dyDescent="0.4">
      <c r="B47" s="6" t="s">
        <v>1</v>
      </c>
      <c r="C47" s="6"/>
      <c r="D47" s="12"/>
      <c r="E47" s="12"/>
      <c r="F47" s="12"/>
      <c r="G47" s="12"/>
      <c r="H47" s="12"/>
      <c r="I47" s="12"/>
      <c r="J47" s="12"/>
      <c r="M47" s="9"/>
    </row>
    <row r="48" spans="2:13" x14ac:dyDescent="0.3">
      <c r="C48" s="10" t="s">
        <v>2</v>
      </c>
      <c r="D48" s="10" t="s">
        <v>7</v>
      </c>
      <c r="E48" s="10" t="s">
        <v>4</v>
      </c>
      <c r="F48" s="10"/>
      <c r="G48" s="13"/>
      <c r="J48" s="13"/>
      <c r="M48" s="9"/>
    </row>
    <row r="49" spans="2:13" x14ac:dyDescent="0.3">
      <c r="D49" s="2"/>
      <c r="H49" s="2"/>
      <c r="M49" s="9"/>
    </row>
    <row r="50" spans="2:13" ht="15.6" x14ac:dyDescent="0.3">
      <c r="B50" s="7"/>
      <c r="C50" s="9"/>
      <c r="D50" s="1"/>
      <c r="E50" s="2"/>
      <c r="F50" s="11"/>
      <c r="G50" s="11"/>
      <c r="I50" s="11"/>
      <c r="J50" s="11"/>
    </row>
    <row r="51" spans="2:13" ht="15.6" x14ac:dyDescent="0.3">
      <c r="B51" s="7"/>
      <c r="C51" s="9"/>
      <c r="D51" s="1"/>
      <c r="E51" s="2"/>
      <c r="G51" s="11"/>
    </row>
    <row r="52" spans="2:13" ht="15.6" x14ac:dyDescent="0.3">
      <c r="B52" s="7"/>
      <c r="C52" s="9"/>
      <c r="E52" s="2"/>
      <c r="G52" s="16"/>
    </row>
    <row r="53" spans="2:13" ht="15.6" x14ac:dyDescent="0.3">
      <c r="B53" s="7"/>
      <c r="C53" s="9"/>
      <c r="D53" s="2"/>
      <c r="E53" s="2"/>
      <c r="G5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E007-ABE0-4C8E-A6A6-22D6E97AF5C4}">
  <dimension ref="B1:Z176"/>
  <sheetViews>
    <sheetView zoomScale="57" zoomScaleNormal="57" workbookViewId="0">
      <pane ySplit="1" topLeftCell="A20" activePane="bottomLeft" state="frozen"/>
      <selection pane="bottomLeft" activeCell="N121" sqref="N121:N134"/>
    </sheetView>
  </sheetViews>
  <sheetFormatPr defaultRowHeight="15.6" x14ac:dyDescent="0.35"/>
  <cols>
    <col min="1" max="1" width="8.88671875" style="61"/>
    <col min="2" max="2" width="18" style="61" customWidth="1"/>
    <col min="3" max="3" width="34.6640625" style="61" customWidth="1"/>
    <col min="4" max="7" width="12.21875" style="61" bestFit="1" customWidth="1"/>
    <col min="8" max="8" width="13.5546875" style="61" bestFit="1" customWidth="1"/>
    <col min="9" max="9" width="8.88671875" style="61"/>
    <col min="10" max="10" width="13.44140625" style="61" customWidth="1"/>
    <col min="11" max="11" width="15.33203125" style="61" bestFit="1" customWidth="1"/>
    <col min="12" max="12" width="14" style="61" bestFit="1" customWidth="1"/>
    <col min="13" max="13" width="15.33203125" style="61" bestFit="1" customWidth="1"/>
    <col min="14" max="14" width="14" style="61" bestFit="1" customWidth="1"/>
    <col min="15" max="16" width="16.88671875" style="61" bestFit="1" customWidth="1"/>
    <col min="17" max="16384" width="8.88671875" style="61"/>
  </cols>
  <sheetData>
    <row r="1" spans="2:11" ht="16.2" thickBot="1" x14ac:dyDescent="0.4">
      <c r="E1" s="18">
        <v>2021</v>
      </c>
      <c r="F1" s="18">
        <f t="shared" ref="F1" si="0">E1+1</f>
        <v>2022</v>
      </c>
      <c r="G1" s="18">
        <f t="shared" ref="G1" si="1">F1+1</f>
        <v>2023</v>
      </c>
      <c r="H1" s="18">
        <f>G1+1</f>
        <v>2024</v>
      </c>
    </row>
    <row r="2" spans="2:11" ht="24.6" thickTop="1" x14ac:dyDescent="0.55000000000000004">
      <c r="B2" s="58" t="s">
        <v>161</v>
      </c>
      <c r="C2" s="59"/>
      <c r="D2" s="59"/>
      <c r="E2" s="59"/>
      <c r="F2" s="60"/>
      <c r="G2" s="60"/>
      <c r="H2" s="59"/>
      <c r="I2" s="59"/>
      <c r="J2" s="59"/>
      <c r="K2" s="59"/>
    </row>
    <row r="3" spans="2:11" ht="16.2" thickBot="1" x14ac:dyDescent="0.4">
      <c r="D3" s="18">
        <v>2020</v>
      </c>
      <c r="E3" s="18">
        <v>2021</v>
      </c>
      <c r="F3" s="18">
        <v>2022</v>
      </c>
      <c r="G3" s="18">
        <v>2023</v>
      </c>
      <c r="H3" s="18">
        <v>2024</v>
      </c>
    </row>
    <row r="4" spans="2:11" ht="16.2" thickTop="1" x14ac:dyDescent="0.35">
      <c r="E4" s="62"/>
      <c r="F4" s="62"/>
      <c r="G4" s="62"/>
      <c r="H4" s="62"/>
    </row>
    <row r="5" spans="2:11" x14ac:dyDescent="0.35">
      <c r="B5" s="62" t="s">
        <v>107</v>
      </c>
      <c r="E5" s="70"/>
      <c r="F5" s="62"/>
      <c r="G5" s="62"/>
      <c r="H5" s="62"/>
    </row>
    <row r="6" spans="2:11" x14ac:dyDescent="0.35">
      <c r="B6" s="63" t="s">
        <v>99</v>
      </c>
      <c r="E6" s="61">
        <v>29400327852</v>
      </c>
      <c r="F6" s="61">
        <v>40645014953</v>
      </c>
      <c r="G6" s="61">
        <v>74020921349</v>
      </c>
      <c r="H6" s="61">
        <v>129269656657</v>
      </c>
    </row>
    <row r="7" spans="2:11" x14ac:dyDescent="0.35">
      <c r="B7" s="63" t="s">
        <v>100</v>
      </c>
      <c r="E7" s="61">
        <v>2777485065</v>
      </c>
      <c r="F7" s="61">
        <v>3760203445</v>
      </c>
      <c r="G7" s="61">
        <v>5333372781</v>
      </c>
      <c r="H7" s="61">
        <v>7898895209</v>
      </c>
    </row>
    <row r="8" spans="2:11" x14ac:dyDescent="0.35">
      <c r="B8" s="63" t="s">
        <v>101</v>
      </c>
      <c r="E8" s="73"/>
      <c r="F8" s="61">
        <v>617808223</v>
      </c>
      <c r="G8" s="61">
        <v>1104414337</v>
      </c>
      <c r="H8" s="61">
        <v>3425159039</v>
      </c>
    </row>
    <row r="9" spans="2:11" x14ac:dyDescent="0.35">
      <c r="B9" s="63" t="s">
        <v>102</v>
      </c>
      <c r="E9" s="73"/>
      <c r="F9" s="61">
        <v>1360863336</v>
      </c>
      <c r="G9" s="61">
        <v>2670049718</v>
      </c>
      <c r="H9" s="61">
        <v>3019918265</v>
      </c>
    </row>
    <row r="10" spans="2:11" x14ac:dyDescent="0.35">
      <c r="B10" s="63" t="s">
        <v>103</v>
      </c>
      <c r="E10" s="73"/>
      <c r="F10" s="61">
        <v>435775269</v>
      </c>
      <c r="G10" s="61">
        <v>671403541</v>
      </c>
      <c r="H10" s="61">
        <v>1400024209</v>
      </c>
    </row>
    <row r="11" spans="2:11" x14ac:dyDescent="0.35">
      <c r="B11" s="63" t="s">
        <v>109</v>
      </c>
      <c r="E11" s="73"/>
      <c r="F11" s="73"/>
      <c r="G11" s="61">
        <v>747245756</v>
      </c>
      <c r="H11" s="61">
        <v>910051699</v>
      </c>
    </row>
    <row r="12" spans="2:11" x14ac:dyDescent="0.35">
      <c r="B12" s="63" t="s">
        <v>114</v>
      </c>
      <c r="E12" s="73"/>
      <c r="F12" s="61">
        <v>15619267</v>
      </c>
      <c r="G12" s="73"/>
      <c r="H12" s="73"/>
    </row>
    <row r="13" spans="2:11" x14ac:dyDescent="0.35">
      <c r="B13" s="63" t="s">
        <v>104</v>
      </c>
      <c r="E13" s="61">
        <v>10783619749</v>
      </c>
      <c r="F13" s="61">
        <v>2651657051</v>
      </c>
      <c r="G13" s="61">
        <v>3197960820</v>
      </c>
      <c r="H13" s="61">
        <v>4129377700</v>
      </c>
    </row>
    <row r="14" spans="2:11" x14ac:dyDescent="0.35">
      <c r="B14" s="63" t="s">
        <v>110</v>
      </c>
      <c r="E14" s="61">
        <v>878776076</v>
      </c>
      <c r="F14" s="61">
        <v>1166278300</v>
      </c>
      <c r="G14" s="61">
        <v>1796184832</v>
      </c>
      <c r="H14" s="61">
        <v>1527014346</v>
      </c>
    </row>
    <row r="15" spans="2:11" x14ac:dyDescent="0.35">
      <c r="B15" s="63" t="s">
        <v>111</v>
      </c>
      <c r="E15" s="73"/>
      <c r="F15" s="61">
        <v>18242891</v>
      </c>
      <c r="G15" s="61">
        <v>29393454</v>
      </c>
      <c r="H15" s="61">
        <v>28967069</v>
      </c>
    </row>
    <row r="16" spans="2:11" x14ac:dyDescent="0.35">
      <c r="B16" s="63" t="s">
        <v>112</v>
      </c>
      <c r="E16" s="73"/>
      <c r="F16" s="61">
        <v>2014766</v>
      </c>
      <c r="G16" s="61">
        <v>3737758</v>
      </c>
      <c r="H16" s="61">
        <v>14048887</v>
      </c>
    </row>
    <row r="17" spans="2:8" ht="16.2" thickBot="1" x14ac:dyDescent="0.4">
      <c r="B17" s="64" t="s">
        <v>115</v>
      </c>
      <c r="E17" s="65">
        <v>43840208742</v>
      </c>
      <c r="F17" s="65">
        <f>SUM(F6:F16)</f>
        <v>50673477501</v>
      </c>
      <c r="G17" s="65">
        <f t="shared" ref="G17:H17" si="2">SUM(G6:G16)</f>
        <v>89574684346</v>
      </c>
      <c r="H17" s="65">
        <f t="shared" si="2"/>
        <v>151623113080</v>
      </c>
    </row>
    <row r="18" spans="2:8" x14ac:dyDescent="0.35">
      <c r="E18" s="61">
        <f>E32+E40+E49+E57</f>
        <v>34777322680</v>
      </c>
      <c r="F18" s="61">
        <f t="shared" ref="F18:G18" si="3">F32+F40+F49+F57</f>
        <v>52810283249</v>
      </c>
      <c r="G18" s="61">
        <f t="shared" si="3"/>
        <v>98703443544</v>
      </c>
      <c r="H18" s="61">
        <f>H32+H40+H49+H57</f>
        <v>161060387592</v>
      </c>
    </row>
    <row r="19" spans="2:8" x14ac:dyDescent="0.35">
      <c r="B19" s="62" t="s">
        <v>108</v>
      </c>
      <c r="E19" s="70" t="s">
        <v>140</v>
      </c>
    </row>
    <row r="20" spans="2:8" x14ac:dyDescent="0.35">
      <c r="B20" s="63" t="s">
        <v>99</v>
      </c>
      <c r="E20" s="71">
        <f>(F20*$E$25)/$F$25</f>
        <v>3635212210.0982776</v>
      </c>
      <c r="F20" s="61">
        <v>12301107044</v>
      </c>
      <c r="G20" s="61">
        <v>16808901957</v>
      </c>
      <c r="H20" s="61">
        <v>17400508124</v>
      </c>
    </row>
    <row r="21" spans="2:8" x14ac:dyDescent="0.35">
      <c r="B21" s="63" t="s">
        <v>113</v>
      </c>
      <c r="E21" s="71">
        <f t="shared" ref="E21:E24" si="4">(F21*$E$25)/$F$25</f>
        <v>3897224668.0745597</v>
      </c>
      <c r="F21" s="61">
        <v>13187724690</v>
      </c>
      <c r="G21" s="61">
        <v>10879423679</v>
      </c>
      <c r="H21" s="61">
        <v>14208833235</v>
      </c>
    </row>
    <row r="22" spans="2:8" x14ac:dyDescent="0.35">
      <c r="B22" s="63" t="s">
        <v>116</v>
      </c>
      <c r="E22" s="71">
        <f t="shared" si="4"/>
        <v>128044570.74431972</v>
      </c>
      <c r="F22" s="61">
        <v>433286939</v>
      </c>
      <c r="G22" s="61">
        <v>1185782094</v>
      </c>
      <c r="H22" s="61">
        <v>1858263881</v>
      </c>
    </row>
    <row r="23" spans="2:8" x14ac:dyDescent="0.35">
      <c r="B23" s="63" t="s">
        <v>114</v>
      </c>
      <c r="E23" s="71">
        <f t="shared" si="4"/>
        <v>29636157.624081448</v>
      </c>
      <c r="F23" s="61">
        <v>100285080</v>
      </c>
      <c r="G23" s="61">
        <v>822010934</v>
      </c>
      <c r="H23" s="61">
        <v>454315444</v>
      </c>
    </row>
    <row r="24" spans="2:8" x14ac:dyDescent="0.35">
      <c r="B24" s="63" t="s">
        <v>104</v>
      </c>
      <c r="E24" s="72">
        <f t="shared" si="4"/>
        <v>575795216.45876145</v>
      </c>
      <c r="F24" s="61">
        <v>1948419565</v>
      </c>
      <c r="G24" s="61">
        <v>3838155732</v>
      </c>
      <c r="H24" s="61">
        <v>2538280910</v>
      </c>
    </row>
    <row r="25" spans="2:8" ht="16.2" thickBot="1" x14ac:dyDescent="0.4">
      <c r="B25" s="64" t="s">
        <v>115</v>
      </c>
      <c r="E25" s="65">
        <v>8265912823</v>
      </c>
      <c r="F25" s="65">
        <f>SUM(F20:F24)</f>
        <v>27970823318</v>
      </c>
      <c r="G25" s="65">
        <f t="shared" ref="G25:H25" si="5">SUM(G20:G24)</f>
        <v>33534274396</v>
      </c>
      <c r="H25" s="65">
        <f t="shared" si="5"/>
        <v>36460201594</v>
      </c>
    </row>
    <row r="26" spans="2:8" x14ac:dyDescent="0.35">
      <c r="B26" s="64"/>
      <c r="E26" s="61">
        <f>E66+E74</f>
        <v>25764098932</v>
      </c>
      <c r="F26" s="61">
        <f t="shared" ref="F26:H26" si="6">F66+F74</f>
        <v>39357235962</v>
      </c>
      <c r="G26" s="61">
        <f t="shared" si="6"/>
        <v>53482804001</v>
      </c>
      <c r="H26" s="61">
        <f t="shared" si="6"/>
        <v>70921447985</v>
      </c>
    </row>
    <row r="27" spans="2:8" x14ac:dyDescent="0.35">
      <c r="B27" s="78" t="s">
        <v>148</v>
      </c>
      <c r="E27" s="62"/>
      <c r="F27" s="62"/>
      <c r="G27" s="62"/>
      <c r="H27" s="62"/>
    </row>
    <row r="28" spans="2:8" x14ac:dyDescent="0.35">
      <c r="B28" s="64" t="s">
        <v>3</v>
      </c>
      <c r="E28" s="62"/>
      <c r="F28" s="62"/>
      <c r="G28" s="62"/>
      <c r="H28" s="62"/>
    </row>
    <row r="29" spans="2:8" x14ac:dyDescent="0.35">
      <c r="B29" s="66" t="s">
        <v>156</v>
      </c>
      <c r="E29" s="62"/>
      <c r="F29" s="62"/>
      <c r="G29" s="62"/>
    </row>
    <row r="30" spans="2:8" x14ac:dyDescent="0.35">
      <c r="B30" s="63" t="s">
        <v>150</v>
      </c>
      <c r="D30" s="61">
        <v>8933640890</v>
      </c>
      <c r="E30" s="61">
        <v>14281363891</v>
      </c>
      <c r="F30" s="61">
        <v>19034103047</v>
      </c>
      <c r="G30" s="61">
        <v>29938364868</v>
      </c>
      <c r="H30" s="61">
        <v>38414523509</v>
      </c>
    </row>
    <row r="31" spans="2:8" x14ac:dyDescent="0.35">
      <c r="B31" s="63" t="s">
        <v>152</v>
      </c>
      <c r="D31" s="61">
        <v>5195308465</v>
      </c>
      <c r="E31" s="61">
        <v>10687800070</v>
      </c>
      <c r="F31" s="61">
        <v>15072899848</v>
      </c>
      <c r="G31" s="61">
        <v>32716462808</v>
      </c>
      <c r="H31" s="61">
        <v>67002328294</v>
      </c>
    </row>
    <row r="32" spans="2:8" ht="16.2" thickBot="1" x14ac:dyDescent="0.4">
      <c r="B32" s="66" t="s">
        <v>159</v>
      </c>
      <c r="D32" s="65">
        <f>SUM(D30:D31)</f>
        <v>14128949355</v>
      </c>
      <c r="E32" s="65">
        <f t="shared" ref="E32:F32" si="7">SUM(E30:E31)</f>
        <v>24969163961</v>
      </c>
      <c r="F32" s="65">
        <f t="shared" si="7"/>
        <v>34107002895</v>
      </c>
      <c r="G32" s="65">
        <v>62654827676</v>
      </c>
      <c r="H32" s="65">
        <v>105416851803</v>
      </c>
    </row>
    <row r="33" spans="2:8" ht="16.2" thickBot="1" x14ac:dyDescent="0.4">
      <c r="B33" s="66" t="s">
        <v>158</v>
      </c>
      <c r="D33" s="65">
        <v>22703178897</v>
      </c>
      <c r="E33" s="65">
        <v>33407915494</v>
      </c>
      <c r="F33" s="65">
        <v>46992131035</v>
      </c>
      <c r="G33" s="65">
        <v>79148369824</v>
      </c>
      <c r="H33" s="65">
        <v>132101234762</v>
      </c>
    </row>
    <row r="34" spans="2:8" x14ac:dyDescent="0.35">
      <c r="B34" s="63"/>
    </row>
    <row r="35" spans="2:8" ht="16.2" thickBot="1" x14ac:dyDescent="0.4">
      <c r="B35" s="66" t="s">
        <v>24</v>
      </c>
      <c r="D35" s="65">
        <v>-20838324237</v>
      </c>
      <c r="E35" s="65">
        <v>-30797447321</v>
      </c>
      <c r="F35" s="65">
        <v>-42367886852</v>
      </c>
      <c r="G35" s="65">
        <v>-66377327897</v>
      </c>
      <c r="H35" s="65">
        <v>-111797253554</v>
      </c>
    </row>
    <row r="36" spans="2:8" x14ac:dyDescent="0.35">
      <c r="B36" s="63"/>
      <c r="E36" s="62"/>
      <c r="F36" s="62"/>
      <c r="G36" s="62"/>
    </row>
    <row r="37" spans="2:8" x14ac:dyDescent="0.35">
      <c r="B37" s="66" t="s">
        <v>157</v>
      </c>
      <c r="E37" s="62"/>
      <c r="F37" s="62"/>
      <c r="G37" s="62"/>
    </row>
    <row r="38" spans="2:8" x14ac:dyDescent="0.35">
      <c r="B38" s="63" t="s">
        <v>151</v>
      </c>
      <c r="D38" s="61">
        <v>4200013113</v>
      </c>
      <c r="E38" s="61">
        <v>4538768763</v>
      </c>
      <c r="F38" s="61">
        <v>9259234313</v>
      </c>
      <c r="G38" s="61">
        <v>18319442486</v>
      </c>
      <c r="H38" s="61">
        <v>30225996607</v>
      </c>
    </row>
    <row r="39" spans="2:8" x14ac:dyDescent="0.35">
      <c r="B39" s="63" t="s">
        <v>153</v>
      </c>
      <c r="D39" s="61">
        <f>204449660</f>
        <v>204449660</v>
      </c>
      <c r="E39" s="61">
        <v>121067898</v>
      </c>
      <c r="F39" s="61">
        <v>343514219</v>
      </c>
      <c r="G39" s="61">
        <v>1446995152</v>
      </c>
      <c r="H39" s="61">
        <v>1546950482</v>
      </c>
    </row>
    <row r="40" spans="2:8" ht="16.2" thickBot="1" x14ac:dyDescent="0.4">
      <c r="B40" s="66" t="s">
        <v>159</v>
      </c>
      <c r="D40" s="65">
        <f>SUM(D38:D39)</f>
        <v>4404462773</v>
      </c>
      <c r="E40" s="65">
        <f t="shared" ref="E40:F40" si="8">SUM(E38:E39)</f>
        <v>4659836661</v>
      </c>
      <c r="F40" s="65">
        <f t="shared" si="8"/>
        <v>9602748532</v>
      </c>
      <c r="G40" s="65">
        <v>19766437638</v>
      </c>
      <c r="H40" s="65">
        <v>31772947089</v>
      </c>
    </row>
    <row r="41" spans="2:8" ht="16.2" thickBot="1" x14ac:dyDescent="0.4">
      <c r="B41" s="66" t="s">
        <v>158</v>
      </c>
      <c r="D41" s="65">
        <v>4522539991</v>
      </c>
      <c r="E41" s="65">
        <v>4740586115</v>
      </c>
      <c r="F41" s="65">
        <v>9661515737</v>
      </c>
      <c r="G41" s="65">
        <v>20841208188</v>
      </c>
      <c r="H41" s="65">
        <v>32902333166</v>
      </c>
    </row>
    <row r="42" spans="2:8" x14ac:dyDescent="0.35">
      <c r="B42" s="63"/>
    </row>
    <row r="43" spans="2:8" ht="16.2" thickBot="1" x14ac:dyDescent="0.4">
      <c r="B43" s="66" t="s">
        <v>24</v>
      </c>
      <c r="D43" s="65">
        <v>-4087164755</v>
      </c>
      <c r="E43" s="65">
        <v>-4210042464</v>
      </c>
      <c r="F43" s="65">
        <v>-8343337836</v>
      </c>
      <c r="G43" s="65">
        <v>-16023221169</v>
      </c>
      <c r="H43" s="65">
        <v>-25599789282</v>
      </c>
    </row>
    <row r="44" spans="2:8" x14ac:dyDescent="0.35">
      <c r="B44" s="66"/>
      <c r="E44" s="62"/>
      <c r="F44" s="62"/>
      <c r="G44" s="62"/>
    </row>
    <row r="45" spans="2:8" x14ac:dyDescent="0.35">
      <c r="B45" s="64" t="s">
        <v>149</v>
      </c>
      <c r="E45" s="62"/>
      <c r="F45" s="62"/>
      <c r="G45" s="62"/>
    </row>
    <row r="46" spans="2:8" x14ac:dyDescent="0.35">
      <c r="B46" s="66" t="s">
        <v>156</v>
      </c>
      <c r="C46" s="79"/>
      <c r="E46" s="62"/>
      <c r="F46" s="62"/>
      <c r="G46" s="62"/>
      <c r="H46" s="62"/>
    </row>
    <row r="47" spans="2:8" x14ac:dyDescent="0.35">
      <c r="B47" s="63" t="s">
        <v>150</v>
      </c>
      <c r="D47" s="61">
        <f>1450908375</f>
        <v>1450908375</v>
      </c>
      <c r="E47" s="61">
        <v>1738549095</v>
      </c>
      <c r="F47" s="61">
        <v>2894865149</v>
      </c>
      <c r="G47" s="61">
        <v>4606030159</v>
      </c>
      <c r="H47" s="61">
        <v>6635895394</v>
      </c>
    </row>
    <row r="48" spans="2:8" x14ac:dyDescent="0.35">
      <c r="B48" s="63" t="s">
        <v>152</v>
      </c>
      <c r="C48" s="80"/>
      <c r="D48" s="61">
        <f>422864588</f>
        <v>422864588</v>
      </c>
      <c r="E48" s="61">
        <v>289675807</v>
      </c>
      <c r="F48" s="61">
        <v>958342109</v>
      </c>
      <c r="G48" s="61">
        <v>1967118095</v>
      </c>
      <c r="H48" s="61">
        <v>3239610897</v>
      </c>
    </row>
    <row r="49" spans="2:8" ht="16.2" thickBot="1" x14ac:dyDescent="0.4">
      <c r="B49" s="66" t="s">
        <v>159</v>
      </c>
      <c r="C49" s="80"/>
      <c r="D49" s="65">
        <f>SUM(D47:D48)</f>
        <v>1873772963</v>
      </c>
      <c r="E49" s="65">
        <f t="shared" ref="E49:F49" si="9">SUM(E47:E48)</f>
        <v>2028224902</v>
      </c>
      <c r="F49" s="65">
        <f t="shared" si="9"/>
        <v>3853207258</v>
      </c>
      <c r="G49" s="65">
        <v>6573148254</v>
      </c>
      <c r="H49" s="65">
        <v>9875506291</v>
      </c>
    </row>
    <row r="50" spans="2:8" ht="16.2" thickBot="1" x14ac:dyDescent="0.4">
      <c r="B50" s="66" t="s">
        <v>158</v>
      </c>
      <c r="D50" s="65">
        <v>2630541901</v>
      </c>
      <c r="E50" s="65">
        <v>2784508599</v>
      </c>
      <c r="F50" s="65">
        <v>5152189904</v>
      </c>
      <c r="G50" s="65">
        <v>8565135288</v>
      </c>
      <c r="H50" s="65">
        <v>14183694255</v>
      </c>
    </row>
    <row r="51" spans="2:8" x14ac:dyDescent="0.35">
      <c r="B51" s="63"/>
    </row>
    <row r="52" spans="2:8" ht="16.2" thickBot="1" x14ac:dyDescent="0.4">
      <c r="B52" s="66" t="s">
        <v>24</v>
      </c>
      <c r="D52" s="65">
        <v>-1954157437</v>
      </c>
      <c r="E52" s="65">
        <v>-2029256223</v>
      </c>
      <c r="F52" s="65">
        <v>-3570217074</v>
      </c>
      <c r="G52" s="65">
        <v>-5602189641</v>
      </c>
      <c r="H52" s="65">
        <v>-9976127744</v>
      </c>
    </row>
    <row r="53" spans="2:8" x14ac:dyDescent="0.35">
      <c r="B53" s="63"/>
      <c r="H53" s="62"/>
    </row>
    <row r="54" spans="2:8" x14ac:dyDescent="0.35">
      <c r="B54" s="66" t="s">
        <v>157</v>
      </c>
      <c r="H54" s="62"/>
    </row>
    <row r="55" spans="2:8" x14ac:dyDescent="0.35">
      <c r="B55" s="63" t="s">
        <v>151</v>
      </c>
      <c r="D55" s="61">
        <f>874845023</f>
        <v>874845023</v>
      </c>
      <c r="E55" s="61">
        <v>1110377610</v>
      </c>
      <c r="F55" s="61">
        <v>1554366642</v>
      </c>
      <c r="G55" s="61">
        <v>2488973258</v>
      </c>
      <c r="H55" s="61">
        <v>3958250678</v>
      </c>
    </row>
    <row r="56" spans="2:8" x14ac:dyDescent="0.35">
      <c r="B56" s="63" t="s">
        <v>153</v>
      </c>
      <c r="D56" s="61">
        <f>2035323040</f>
        <v>2035323040</v>
      </c>
      <c r="E56" s="61">
        <v>2009719546</v>
      </c>
      <c r="F56" s="61">
        <v>3692957922</v>
      </c>
      <c r="G56" s="61">
        <v>7220056718</v>
      </c>
      <c r="H56" s="61">
        <v>10036831731</v>
      </c>
    </row>
    <row r="57" spans="2:8" ht="16.2" thickBot="1" x14ac:dyDescent="0.4">
      <c r="B57" s="66" t="s">
        <v>159</v>
      </c>
      <c r="D57" s="65">
        <f>SUM(D55:D56)</f>
        <v>2910168063</v>
      </c>
      <c r="E57" s="65">
        <f t="shared" ref="E57:F57" si="10">SUM(E55:E56)</f>
        <v>3120097156</v>
      </c>
      <c r="F57" s="65">
        <f t="shared" si="10"/>
        <v>5247324564</v>
      </c>
      <c r="G57" s="65">
        <v>9709029976</v>
      </c>
      <c r="H57" s="65">
        <v>13995082409</v>
      </c>
    </row>
    <row r="58" spans="2:8" ht="16.2" thickBot="1" x14ac:dyDescent="0.4">
      <c r="B58" s="66" t="s">
        <v>158</v>
      </c>
      <c r="D58" s="65">
        <v>3176765370</v>
      </c>
      <c r="E58" s="65">
        <v>3530033471</v>
      </c>
      <c r="F58" s="65">
        <v>6240574883</v>
      </c>
      <c r="G58" s="65">
        <v>11482761187</v>
      </c>
      <c r="H58" s="65">
        <v>16335994574</v>
      </c>
    </row>
    <row r="59" spans="2:8" x14ac:dyDescent="0.35">
      <c r="B59" s="63"/>
    </row>
    <row r="60" spans="2:8" ht="16.2" thickBot="1" x14ac:dyDescent="0.4">
      <c r="B60" s="66" t="s">
        <v>24</v>
      </c>
      <c r="D60" s="65">
        <v>-2445866393</v>
      </c>
      <c r="E60" s="65">
        <v>-28614439558</v>
      </c>
      <c r="F60" s="65">
        <v>-5469364159</v>
      </c>
      <c r="G60" s="65">
        <v>-9384898603</v>
      </c>
      <c r="H60" s="65">
        <v>-12625599810</v>
      </c>
    </row>
    <row r="61" spans="2:8" x14ac:dyDescent="0.35">
      <c r="B61" s="64"/>
    </row>
    <row r="62" spans="2:8" x14ac:dyDescent="0.35">
      <c r="B62" s="64" t="s">
        <v>143</v>
      </c>
    </row>
    <row r="63" spans="2:8" x14ac:dyDescent="0.35">
      <c r="B63" s="66" t="s">
        <v>160</v>
      </c>
    </row>
    <row r="64" spans="2:8" x14ac:dyDescent="0.35">
      <c r="B64" s="63" t="s">
        <v>155</v>
      </c>
      <c r="D64" s="61">
        <v>19235248493</v>
      </c>
      <c r="E64" s="61">
        <v>18720208256</v>
      </c>
      <c r="F64" s="61">
        <v>29423812139</v>
      </c>
      <c r="G64" s="61">
        <v>30212102110</v>
      </c>
      <c r="H64" s="61">
        <v>47864539611</v>
      </c>
    </row>
    <row r="65" spans="2:11" x14ac:dyDescent="0.35">
      <c r="B65" s="63" t="s">
        <v>154</v>
      </c>
      <c r="D65" s="61">
        <v>3848969121</v>
      </c>
      <c r="E65" s="61">
        <v>7043890676</v>
      </c>
      <c r="F65" s="61">
        <v>9933423823</v>
      </c>
      <c r="G65" s="61">
        <v>6345844903</v>
      </c>
      <c r="H65" s="61">
        <v>2521839779</v>
      </c>
    </row>
    <row r="66" spans="2:11" ht="16.2" thickBot="1" x14ac:dyDescent="0.4">
      <c r="B66" s="66" t="s">
        <v>159</v>
      </c>
      <c r="D66" s="65">
        <f>SUM(D64:D65)</f>
        <v>23084217614</v>
      </c>
      <c r="E66" s="65">
        <f t="shared" ref="E66:F66" si="11">SUM(E64:E65)</f>
        <v>25764098932</v>
      </c>
      <c r="F66" s="65">
        <f t="shared" si="11"/>
        <v>39357235962</v>
      </c>
      <c r="G66" s="65">
        <v>36557947013</v>
      </c>
      <c r="H66" s="65">
        <v>50386379390</v>
      </c>
    </row>
    <row r="67" spans="2:11" ht="16.2" thickBot="1" x14ac:dyDescent="0.4">
      <c r="B67" s="66" t="s">
        <v>158</v>
      </c>
      <c r="D67" s="65">
        <v>23089155141</v>
      </c>
      <c r="E67" s="65">
        <v>26013289951</v>
      </c>
      <c r="F67" s="65">
        <v>44186829283</v>
      </c>
      <c r="G67" s="65">
        <v>40734067028</v>
      </c>
      <c r="H67" s="65">
        <v>53994209982</v>
      </c>
    </row>
    <row r="68" spans="2:11" x14ac:dyDescent="0.35">
      <c r="B68" s="63"/>
    </row>
    <row r="69" spans="2:11" ht="16.2" thickBot="1" x14ac:dyDescent="0.4">
      <c r="B69" s="66" t="s">
        <v>24</v>
      </c>
      <c r="D69" s="65">
        <v>-19742655102</v>
      </c>
      <c r="E69" s="65">
        <v>-22142848017</v>
      </c>
      <c r="F69" s="65">
        <v>-38959216829</v>
      </c>
      <c r="G69" s="65">
        <v>-35141666576</v>
      </c>
      <c r="H69" s="65">
        <v>-46779988372</v>
      </c>
    </row>
    <row r="70" spans="2:11" x14ac:dyDescent="0.35">
      <c r="B70" s="64"/>
    </row>
    <row r="71" spans="2:11" x14ac:dyDescent="0.35">
      <c r="B71" s="66" t="s">
        <v>217</v>
      </c>
    </row>
    <row r="72" spans="2:11" x14ac:dyDescent="0.35">
      <c r="B72" s="63" t="s">
        <v>155</v>
      </c>
      <c r="D72" s="61">
        <v>0</v>
      </c>
      <c r="E72" s="61">
        <v>0</v>
      </c>
      <c r="F72" s="61">
        <v>0</v>
      </c>
      <c r="G72" s="61">
        <v>7166682249</v>
      </c>
      <c r="H72" s="61">
        <v>10053766320</v>
      </c>
    </row>
    <row r="73" spans="2:11" x14ac:dyDescent="0.35">
      <c r="B73" s="63" t="s">
        <v>154</v>
      </c>
      <c r="D73" s="61">
        <v>0</v>
      </c>
      <c r="E73" s="61">
        <v>0</v>
      </c>
      <c r="F73" s="61">
        <v>0</v>
      </c>
      <c r="G73" s="61">
        <v>9758174739</v>
      </c>
      <c r="H73" s="61">
        <v>10481302275</v>
      </c>
    </row>
    <row r="74" spans="2:11" ht="16.2" thickBot="1" x14ac:dyDescent="0.4">
      <c r="B74" s="66" t="s">
        <v>159</v>
      </c>
      <c r="D74" s="65">
        <f>SUM(D72:D73)</f>
        <v>0</v>
      </c>
      <c r="E74" s="65">
        <f t="shared" ref="E74:F74" si="12">SUM(E72:E73)</f>
        <v>0</v>
      </c>
      <c r="F74" s="65">
        <f t="shared" si="12"/>
        <v>0</v>
      </c>
      <c r="G74" s="65">
        <v>16924856988</v>
      </c>
      <c r="H74" s="65">
        <v>20535068595</v>
      </c>
    </row>
    <row r="75" spans="2:11" ht="16.2" thickBot="1" x14ac:dyDescent="0.4">
      <c r="B75" s="66" t="s">
        <v>158</v>
      </c>
      <c r="D75" s="65">
        <v>0</v>
      </c>
      <c r="E75" s="65">
        <v>0</v>
      </c>
      <c r="F75" s="65">
        <v>0</v>
      </c>
      <c r="G75" s="65">
        <v>17063921518</v>
      </c>
      <c r="H75" s="65">
        <v>20539013659</v>
      </c>
    </row>
    <row r="76" spans="2:11" x14ac:dyDescent="0.35">
      <c r="B76" s="63"/>
    </row>
    <row r="77" spans="2:11" ht="16.2" thickBot="1" x14ac:dyDescent="0.4">
      <c r="B77" s="66" t="s">
        <v>24</v>
      </c>
      <c r="D77" s="65">
        <v>0</v>
      </c>
      <c r="E77" s="65">
        <v>0</v>
      </c>
      <c r="F77" s="65">
        <v>0</v>
      </c>
      <c r="G77" s="65">
        <v>-16228870344</v>
      </c>
      <c r="H77" s="65">
        <v>-19379200733</v>
      </c>
    </row>
    <row r="78" spans="2:11" x14ac:dyDescent="0.35">
      <c r="B78" s="64"/>
    </row>
    <row r="79" spans="2:11" ht="24" x14ac:dyDescent="0.55000000000000004">
      <c r="B79" s="58" t="s">
        <v>25</v>
      </c>
      <c r="C79" s="59"/>
      <c r="D79" s="59"/>
      <c r="E79" s="59"/>
      <c r="F79" s="60"/>
      <c r="G79" s="60"/>
      <c r="H79" s="59"/>
      <c r="I79" s="59"/>
      <c r="J79" s="59"/>
      <c r="K79" s="59"/>
    </row>
    <row r="80" spans="2:11" ht="16.2" thickBot="1" x14ac:dyDescent="0.4">
      <c r="E80" s="18">
        <v>2021</v>
      </c>
      <c r="F80" s="18">
        <f t="shared" ref="F80" si="13">E80+1</f>
        <v>2022</v>
      </c>
      <c r="G80" s="18">
        <f t="shared" ref="G80" si="14">F80+1</f>
        <v>2023</v>
      </c>
      <c r="H80" s="18">
        <f>G80+1</f>
        <v>2024</v>
      </c>
    </row>
    <row r="81" spans="2:16" ht="16.2" thickTop="1" x14ac:dyDescent="0.35">
      <c r="B81" s="74" t="s">
        <v>126</v>
      </c>
      <c r="C81" s="75"/>
      <c r="D81" s="75"/>
      <c r="E81" s="61">
        <v>367403720</v>
      </c>
      <c r="F81" s="61">
        <v>524202981</v>
      </c>
      <c r="G81" s="61">
        <v>901974144</v>
      </c>
      <c r="H81" s="61">
        <v>1216037561</v>
      </c>
    </row>
    <row r="82" spans="2:16" x14ac:dyDescent="0.35">
      <c r="B82" s="74" t="s">
        <v>117</v>
      </c>
      <c r="C82" s="75"/>
      <c r="D82" s="75"/>
      <c r="E82" s="61">
        <v>12269386</v>
      </c>
      <c r="F82" s="61">
        <v>23844504</v>
      </c>
      <c r="G82" s="61">
        <v>28442490</v>
      </c>
      <c r="H82" s="61">
        <v>34182551</v>
      </c>
    </row>
    <row r="83" spans="2:16" x14ac:dyDescent="0.35">
      <c r="B83" s="74" t="s">
        <v>118</v>
      </c>
      <c r="C83" s="75"/>
      <c r="D83" s="75"/>
      <c r="E83" s="61">
        <v>52948506</v>
      </c>
      <c r="F83" s="61">
        <v>88329445</v>
      </c>
      <c r="G83" s="61">
        <v>207023678</v>
      </c>
      <c r="H83" s="61">
        <v>406885998</v>
      </c>
    </row>
    <row r="84" spans="2:16" x14ac:dyDescent="0.35">
      <c r="B84" s="74" t="s">
        <v>122</v>
      </c>
      <c r="C84" s="75"/>
      <c r="D84" s="75"/>
      <c r="E84" s="73">
        <v>0</v>
      </c>
      <c r="F84" s="73">
        <v>0</v>
      </c>
      <c r="G84" s="61">
        <v>956438237</v>
      </c>
      <c r="H84" s="61">
        <v>1956868081</v>
      </c>
    </row>
    <row r="85" spans="2:16" x14ac:dyDescent="0.35">
      <c r="B85" s="74" t="s">
        <v>123</v>
      </c>
      <c r="C85" s="75"/>
      <c r="D85" s="75"/>
      <c r="E85" s="61">
        <v>5243401</v>
      </c>
      <c r="F85" s="61">
        <v>7947873</v>
      </c>
      <c r="G85" s="61">
        <v>10487373</v>
      </c>
      <c r="H85" s="61">
        <v>18363385</v>
      </c>
    </row>
    <row r="86" spans="2:16" x14ac:dyDescent="0.35">
      <c r="B86" s="74" t="s">
        <v>29</v>
      </c>
      <c r="C86" s="75"/>
      <c r="D86" s="75"/>
      <c r="E86" s="61">
        <f>E87-SUM(E81:E85)</f>
        <v>470360767</v>
      </c>
      <c r="F86" s="61">
        <f>F87-SUM(F81:F85)</f>
        <v>899457601</v>
      </c>
      <c r="G86" s="61">
        <f>G87-SUM(G81:G85)</f>
        <v>566005648</v>
      </c>
      <c r="H86" s="61">
        <f>H87-SUM(H81:H85)</f>
        <v>953067090</v>
      </c>
    </row>
    <row r="87" spans="2:16" ht="16.2" thickBot="1" x14ac:dyDescent="0.4">
      <c r="B87" s="62" t="s">
        <v>115</v>
      </c>
      <c r="C87" s="75"/>
      <c r="D87" s="75"/>
      <c r="E87" s="65">
        <v>908225780</v>
      </c>
      <c r="F87" s="65">
        <v>1543782404</v>
      </c>
      <c r="G87" s="65">
        <v>2670371570</v>
      </c>
      <c r="H87" s="65">
        <v>4585404666</v>
      </c>
    </row>
    <row r="89" spans="2:16" x14ac:dyDescent="0.35">
      <c r="B89" s="75"/>
      <c r="C89" s="75"/>
      <c r="D89" s="75"/>
      <c r="E89" s="75"/>
      <c r="F89" s="75"/>
      <c r="G89" s="75"/>
      <c r="H89" s="75"/>
    </row>
    <row r="90" spans="2:16" x14ac:dyDescent="0.35">
      <c r="B90" s="75"/>
      <c r="C90" s="75"/>
      <c r="D90" s="75"/>
      <c r="E90" s="75"/>
      <c r="F90" s="75"/>
    </row>
    <row r="91" spans="2:16" ht="24" x14ac:dyDescent="0.55000000000000004">
      <c r="B91" s="58" t="s">
        <v>31</v>
      </c>
      <c r="C91" s="59"/>
      <c r="D91" s="59"/>
      <c r="E91" s="59"/>
      <c r="F91" s="60"/>
      <c r="G91" s="60"/>
      <c r="H91" s="59"/>
      <c r="I91" s="59"/>
      <c r="J91" s="59"/>
      <c r="K91" s="59"/>
    </row>
    <row r="92" spans="2:16" ht="16.2" thickBot="1" x14ac:dyDescent="0.4">
      <c r="E92" s="18">
        <v>2021</v>
      </c>
      <c r="F92" s="18">
        <f t="shared" ref="F92" si="15">E92+1</f>
        <v>2022</v>
      </c>
      <c r="G92" s="18">
        <f t="shared" ref="G92" si="16">F92+1</f>
        <v>2023</v>
      </c>
      <c r="H92" s="18">
        <f>G92+1</f>
        <v>2024</v>
      </c>
    </row>
    <row r="93" spans="2:16" ht="16.2" thickTop="1" x14ac:dyDescent="0.35">
      <c r="B93" s="74" t="s">
        <v>100</v>
      </c>
      <c r="C93" s="75"/>
      <c r="D93" s="75"/>
      <c r="E93" s="61">
        <v>1274327086</v>
      </c>
      <c r="F93" s="61">
        <v>1721218819</v>
      </c>
      <c r="G93" s="61">
        <v>2519751304</v>
      </c>
      <c r="H93" s="61">
        <v>3639052338</v>
      </c>
      <c r="N93" s="75"/>
      <c r="O93" s="75"/>
      <c r="P93" s="75"/>
    </row>
    <row r="94" spans="2:16" x14ac:dyDescent="0.35">
      <c r="B94" s="74" t="s">
        <v>127</v>
      </c>
      <c r="C94" s="75"/>
      <c r="D94" s="75"/>
      <c r="E94" s="61">
        <v>194524229</v>
      </c>
      <c r="F94" s="61">
        <v>290724433</v>
      </c>
      <c r="G94" s="61">
        <v>459245249</v>
      </c>
      <c r="H94" s="61">
        <v>712883597</v>
      </c>
      <c r="N94" s="75"/>
      <c r="O94" s="75"/>
      <c r="P94" s="75"/>
    </row>
    <row r="95" spans="2:16" x14ac:dyDescent="0.35">
      <c r="B95" s="74" t="s">
        <v>136</v>
      </c>
      <c r="C95" s="75"/>
      <c r="D95" s="75"/>
      <c r="E95" s="61">
        <v>71691987</v>
      </c>
      <c r="F95" s="73"/>
      <c r="G95" s="73"/>
      <c r="H95" s="73"/>
      <c r="I95" s="75"/>
      <c r="J95" s="75"/>
      <c r="K95" s="75"/>
      <c r="L95" s="75"/>
      <c r="M95" s="75"/>
      <c r="P95" s="75"/>
    </row>
    <row r="96" spans="2:16" x14ac:dyDescent="0.35">
      <c r="B96" s="74" t="s">
        <v>134</v>
      </c>
      <c r="C96" s="75"/>
      <c r="D96" s="75"/>
      <c r="E96" s="73"/>
      <c r="F96" s="73"/>
      <c r="G96" s="61">
        <v>11775678</v>
      </c>
      <c r="H96" s="61">
        <v>26906001</v>
      </c>
      <c r="I96" s="75"/>
      <c r="J96" s="75"/>
      <c r="K96" s="75"/>
      <c r="L96" s="75"/>
      <c r="M96" s="75"/>
      <c r="P96" s="75"/>
    </row>
    <row r="97" spans="2:16" x14ac:dyDescent="0.35">
      <c r="B97" s="74" t="s">
        <v>123</v>
      </c>
      <c r="C97" s="75"/>
      <c r="D97" s="75"/>
      <c r="E97" s="61">
        <v>19293464</v>
      </c>
      <c r="F97" s="61">
        <v>25508864</v>
      </c>
      <c r="G97" s="61">
        <v>43909974</v>
      </c>
      <c r="H97" s="61">
        <v>398655255</v>
      </c>
      <c r="I97" s="75"/>
      <c r="J97" s="75"/>
      <c r="K97" s="75"/>
      <c r="L97" s="75"/>
      <c r="M97" s="75"/>
      <c r="P97" s="75"/>
    </row>
    <row r="98" spans="2:16" x14ac:dyDescent="0.35">
      <c r="B98" s="74" t="s">
        <v>29</v>
      </c>
      <c r="C98" s="75"/>
      <c r="D98" s="75"/>
      <c r="E98" s="61">
        <f>E99-SUM(E93:E97)</f>
        <v>1002451055</v>
      </c>
      <c r="F98" s="61">
        <f>F99-SUM(F93:F97)</f>
        <v>1356532214</v>
      </c>
      <c r="G98" s="61">
        <f>G99-SUM(G93:G97)</f>
        <v>2943114949</v>
      </c>
      <c r="H98" s="61">
        <f>H99-SUM(H93:H97)</f>
        <v>2807365498</v>
      </c>
      <c r="I98" s="75"/>
      <c r="J98" s="75"/>
      <c r="K98" s="75"/>
      <c r="L98" s="75"/>
      <c r="M98" s="75"/>
      <c r="O98" s="69"/>
      <c r="P98" s="69"/>
    </row>
    <row r="99" spans="2:16" ht="16.2" thickBot="1" x14ac:dyDescent="0.4">
      <c r="B99" s="62" t="s">
        <v>115</v>
      </c>
      <c r="E99" s="65">
        <v>2562287821</v>
      </c>
      <c r="F99" s="65">
        <v>3393984330</v>
      </c>
      <c r="G99" s="65">
        <v>5977797154</v>
      </c>
      <c r="H99" s="65">
        <v>7584862689</v>
      </c>
      <c r="I99" s="75"/>
      <c r="J99" s="75"/>
      <c r="K99" s="75"/>
      <c r="L99" s="75"/>
      <c r="M99" s="75"/>
      <c r="O99" s="69"/>
      <c r="P99" s="69"/>
    </row>
    <row r="101" spans="2:16" x14ac:dyDescent="0.35">
      <c r="B101" s="62"/>
      <c r="E101" s="62"/>
      <c r="F101" s="62"/>
      <c r="G101" s="62"/>
      <c r="H101" s="62"/>
    </row>
    <row r="102" spans="2:16" ht="24" x14ac:dyDescent="0.55000000000000004">
      <c r="B102" s="58" t="s">
        <v>179</v>
      </c>
      <c r="C102" s="58"/>
      <c r="D102" s="58"/>
      <c r="E102" s="58"/>
      <c r="F102" s="58"/>
      <c r="G102" s="58"/>
      <c r="H102" s="85"/>
      <c r="I102" s="86"/>
      <c r="J102" s="85"/>
      <c r="K102" s="86"/>
    </row>
    <row r="103" spans="2:16" x14ac:dyDescent="0.35">
      <c r="B103" s="62"/>
      <c r="E103" s="62"/>
      <c r="F103" s="62"/>
      <c r="G103" s="62"/>
      <c r="H103" s="62"/>
    </row>
    <row r="104" spans="2:16" x14ac:dyDescent="0.35">
      <c r="B104" s="62" t="s">
        <v>182</v>
      </c>
      <c r="E104" s="62"/>
      <c r="I104" s="76"/>
    </row>
    <row r="105" spans="2:16" x14ac:dyDescent="0.35">
      <c r="B105" s="62" t="s">
        <v>183</v>
      </c>
      <c r="E105" s="62"/>
      <c r="F105" s="76"/>
      <c r="G105" s="76"/>
      <c r="H105" s="76"/>
    </row>
    <row r="106" spans="2:16" x14ac:dyDescent="0.35">
      <c r="B106" s="62" t="s">
        <v>184</v>
      </c>
      <c r="E106" s="62"/>
      <c r="F106" s="76"/>
      <c r="G106" s="76"/>
      <c r="H106" s="76"/>
    </row>
    <row r="107" spans="2:16" x14ac:dyDescent="0.35">
      <c r="B107" s="62" t="s">
        <v>25</v>
      </c>
      <c r="E107" s="62"/>
      <c r="F107" s="76"/>
      <c r="G107" s="76"/>
      <c r="H107" s="76"/>
    </row>
    <row r="108" spans="2:16" x14ac:dyDescent="0.35">
      <c r="B108" s="62" t="s">
        <v>31</v>
      </c>
      <c r="E108" s="62"/>
      <c r="F108" s="76"/>
      <c r="G108" s="76"/>
      <c r="H108" s="76"/>
    </row>
    <row r="109" spans="2:16" x14ac:dyDescent="0.35">
      <c r="B109" s="62" t="s">
        <v>180</v>
      </c>
      <c r="E109" s="62"/>
      <c r="F109" s="76"/>
      <c r="G109" s="76"/>
      <c r="H109" s="76"/>
    </row>
    <row r="110" spans="2:16" x14ac:dyDescent="0.35">
      <c r="B110" s="62" t="s">
        <v>181</v>
      </c>
      <c r="E110" s="62"/>
      <c r="F110" s="76"/>
      <c r="G110" s="76"/>
      <c r="H110" s="76"/>
    </row>
    <row r="111" spans="2:16" x14ac:dyDescent="0.35">
      <c r="B111" s="62" t="s">
        <v>189</v>
      </c>
      <c r="E111" s="76"/>
      <c r="F111" s="76"/>
      <c r="G111" s="76"/>
      <c r="H111" s="76"/>
    </row>
    <row r="112" spans="2:16" x14ac:dyDescent="0.35">
      <c r="B112" s="62"/>
      <c r="E112" s="62"/>
      <c r="F112" s="76"/>
      <c r="G112" s="76"/>
      <c r="H112" s="76"/>
    </row>
    <row r="113" spans="2:26" x14ac:dyDescent="0.35">
      <c r="B113" s="62"/>
      <c r="E113" s="62"/>
      <c r="F113" s="76"/>
      <c r="G113" s="76"/>
      <c r="H113" s="76"/>
    </row>
    <row r="114" spans="2:26" x14ac:dyDescent="0.35">
      <c r="B114" s="62"/>
      <c r="E114" s="62"/>
      <c r="F114" s="62"/>
      <c r="G114" s="62"/>
      <c r="H114" s="62"/>
    </row>
    <row r="115" spans="2:26" x14ac:dyDescent="0.35">
      <c r="B115" s="62"/>
      <c r="E115" s="62"/>
      <c r="F115" s="62"/>
      <c r="G115" s="62"/>
      <c r="H115" s="62"/>
    </row>
    <row r="117" spans="2:26" ht="24" x14ac:dyDescent="0.55000000000000004">
      <c r="B117" s="58" t="s">
        <v>187</v>
      </c>
      <c r="C117" s="58"/>
      <c r="D117" s="58"/>
      <c r="E117" s="58"/>
      <c r="F117" s="58"/>
      <c r="G117" s="58"/>
      <c r="H117" s="85" t="s">
        <v>175</v>
      </c>
      <c r="I117" s="86">
        <v>132.26</v>
      </c>
      <c r="J117" s="85" t="s">
        <v>174</v>
      </c>
      <c r="K117" s="86">
        <v>13.56</v>
      </c>
    </row>
    <row r="118" spans="2:26" x14ac:dyDescent="0.35">
      <c r="B118" s="62"/>
    </row>
    <row r="119" spans="2:26" x14ac:dyDescent="0.35">
      <c r="B119" s="66" t="s">
        <v>24</v>
      </c>
    </row>
    <row r="120" spans="2:26" x14ac:dyDescent="0.35">
      <c r="B120" s="63" t="s">
        <v>137</v>
      </c>
      <c r="E120" s="73"/>
      <c r="F120" s="67">
        <f>F10/(F13+F10)</f>
        <v>0.14114488151759713</v>
      </c>
      <c r="G120" s="67">
        <f>G10/(G13+G10)</f>
        <v>0.17351778699550596</v>
      </c>
      <c r="H120" s="67">
        <f>H10/(H13+H10)</f>
        <v>0.2531963188859962</v>
      </c>
    </row>
    <row r="121" spans="2:26" x14ac:dyDescent="0.35">
      <c r="B121" s="63" t="s">
        <v>138</v>
      </c>
      <c r="E121" s="67">
        <f>AVERAGE($F120:$H120)</f>
        <v>0.18928632913303312</v>
      </c>
      <c r="F121" s="73"/>
      <c r="G121" s="73"/>
      <c r="H121" s="73"/>
    </row>
    <row r="122" spans="2:26" x14ac:dyDescent="0.35">
      <c r="B122" s="63"/>
      <c r="E122" s="67"/>
      <c r="F122" s="67"/>
      <c r="G122" s="67"/>
      <c r="H122" s="67"/>
    </row>
    <row r="123" spans="2:26" x14ac:dyDescent="0.35">
      <c r="B123" s="66" t="s">
        <v>25</v>
      </c>
      <c r="E123" s="67"/>
      <c r="F123" s="67"/>
      <c r="G123" s="67"/>
      <c r="H123" s="67"/>
    </row>
    <row r="124" spans="2:26" x14ac:dyDescent="0.35">
      <c r="B124" s="63" t="s">
        <v>137</v>
      </c>
      <c r="E124" s="73"/>
      <c r="F124" s="73"/>
      <c r="G124" s="67" t="e">
        <f>G84/(#REF!+G84)</f>
        <v>#REF!</v>
      </c>
      <c r="H124" s="67" t="e">
        <f>H84/(#REF!+H84)</f>
        <v>#REF!</v>
      </c>
    </row>
    <row r="125" spans="2:26" x14ac:dyDescent="0.35">
      <c r="B125" s="63" t="s">
        <v>138</v>
      </c>
      <c r="E125" s="67" t="e">
        <f>AVERAGE($G124:$H124)</f>
        <v>#REF!</v>
      </c>
      <c r="F125" s="67" t="e">
        <f>AVERAGE($G124:$H124)</f>
        <v>#REF!</v>
      </c>
      <c r="G125" s="73"/>
      <c r="H125" s="73"/>
      <c r="Q125" s="61" t="s">
        <v>103</v>
      </c>
      <c r="V125" s="61" t="s">
        <v>103</v>
      </c>
    </row>
    <row r="126" spans="2:26" x14ac:dyDescent="0.35">
      <c r="E126" s="67"/>
      <c r="F126" s="67"/>
      <c r="G126" s="67"/>
      <c r="H126" s="67"/>
      <c r="Q126" s="61" t="s">
        <v>24</v>
      </c>
      <c r="R126" s="61">
        <v>501922429.303514</v>
      </c>
      <c r="S126" s="61">
        <v>435775269</v>
      </c>
      <c r="T126" s="61">
        <v>671403541</v>
      </c>
      <c r="U126" s="61">
        <v>1400024209</v>
      </c>
      <c r="V126" s="61" t="s">
        <v>24</v>
      </c>
      <c r="W126" s="61">
        <f>R126/50.7</f>
        <v>9899850.6765979081</v>
      </c>
      <c r="X126" s="61">
        <f t="shared" ref="X126:Z126" si="17">S126/50.7</f>
        <v>8595172.9585798811</v>
      </c>
      <c r="Y126" s="61">
        <f t="shared" si="17"/>
        <v>13242673.39250493</v>
      </c>
      <c r="Z126" s="61">
        <f t="shared" si="17"/>
        <v>27613889.723865878</v>
      </c>
    </row>
    <row r="127" spans="2:26" x14ac:dyDescent="0.35">
      <c r="B127" s="66" t="s">
        <v>31</v>
      </c>
      <c r="E127" s="67"/>
      <c r="F127" s="67"/>
      <c r="G127" s="67"/>
      <c r="H127" s="67"/>
      <c r="Q127" s="61" t="s">
        <v>25</v>
      </c>
      <c r="R127" s="61">
        <v>320012469.6786837</v>
      </c>
      <c r="S127" s="61">
        <v>626338781.89469028</v>
      </c>
      <c r="T127" s="61">
        <v>956438237</v>
      </c>
      <c r="U127" s="61">
        <v>1956868081</v>
      </c>
      <c r="V127" s="61" t="s">
        <v>25</v>
      </c>
      <c r="W127" s="61">
        <f t="shared" ref="W127:W128" si="18">R127/50.7</f>
        <v>6311883.0311377449</v>
      </c>
      <c r="X127" s="61">
        <f t="shared" ref="X127:X128" si="19">S127/50.7</f>
        <v>12353822.128100399</v>
      </c>
      <c r="Y127" s="61">
        <f t="shared" ref="Y127:Y128" si="20">T127/50.7</f>
        <v>18864659.50690335</v>
      </c>
      <c r="Z127" s="61">
        <f t="shared" ref="Z127:Z128" si="21">U127/50.7</f>
        <v>38597003.570019722</v>
      </c>
    </row>
    <row r="128" spans="2:26" x14ac:dyDescent="0.35">
      <c r="B128" s="63" t="s">
        <v>139</v>
      </c>
      <c r="E128" s="73"/>
      <c r="F128" s="73"/>
      <c r="G128" s="68">
        <f>G96/G99</f>
        <v>1.9699025739139358E-3</v>
      </c>
      <c r="H128" s="68">
        <f>H96/H99</f>
        <v>3.5473286865193507E-3</v>
      </c>
      <c r="Q128" s="61" t="s">
        <v>31</v>
      </c>
      <c r="R128" s="61">
        <v>7068367.2321243454</v>
      </c>
      <c r="S128" s="61">
        <v>9362698.2214483619</v>
      </c>
      <c r="T128" s="61">
        <v>11775678</v>
      </c>
      <c r="U128" s="61">
        <v>26906001</v>
      </c>
      <c r="V128" s="61" t="s">
        <v>31</v>
      </c>
      <c r="W128" s="61">
        <f t="shared" si="18"/>
        <v>139415.5272608352</v>
      </c>
      <c r="X128" s="61">
        <f t="shared" si="19"/>
        <v>184668.60397334045</v>
      </c>
      <c r="Y128" s="61">
        <f t="shared" si="20"/>
        <v>232261.89349112424</v>
      </c>
      <c r="Z128" s="61">
        <f t="shared" si="21"/>
        <v>530690.35502958577</v>
      </c>
    </row>
    <row r="129" spans="2:26" x14ac:dyDescent="0.35">
      <c r="B129" s="63" t="s">
        <v>138</v>
      </c>
      <c r="E129" s="68">
        <f>AVERAGE($G128:$H128)</f>
        <v>2.7586156302166435E-3</v>
      </c>
      <c r="F129" s="68">
        <f>AVERAGE($G128:$H128)</f>
        <v>2.7586156302166435E-3</v>
      </c>
      <c r="G129" s="73"/>
      <c r="H129" s="73"/>
      <c r="Q129" s="61" t="s">
        <v>115</v>
      </c>
      <c r="R129" s="61">
        <v>829003266.21432209</v>
      </c>
      <c r="S129" s="61">
        <v>1071476749.1161387</v>
      </c>
      <c r="T129" s="61">
        <v>1639617456</v>
      </c>
      <c r="U129" s="61">
        <v>3383798291</v>
      </c>
      <c r="V129" s="61" t="s">
        <v>115</v>
      </c>
      <c r="W129" s="61">
        <f t="shared" ref="W129" si="22">R129/50.7</f>
        <v>16351149.23499649</v>
      </c>
      <c r="X129" s="61">
        <f t="shared" ref="X129" si="23">S129/50.7</f>
        <v>21133663.690653622</v>
      </c>
      <c r="Y129" s="61">
        <f t="shared" ref="Y129" si="24">T129/50.7</f>
        <v>32339594.792899407</v>
      </c>
      <c r="Z129" s="61">
        <f t="shared" ref="Z129" si="25">U129/50.7</f>
        <v>66741583.648915187</v>
      </c>
    </row>
    <row r="131" spans="2:26" x14ac:dyDescent="0.35">
      <c r="B131" s="62" t="s">
        <v>103</v>
      </c>
    </row>
    <row r="132" spans="2:26" x14ac:dyDescent="0.35">
      <c r="B132" s="63" t="s">
        <v>24</v>
      </c>
      <c r="E132" s="61">
        <f>E121*F13</f>
        <v>501922429.303514</v>
      </c>
      <c r="F132" s="61">
        <f>F10</f>
        <v>435775269</v>
      </c>
      <c r="G132" s="61">
        <f>G10</f>
        <v>671403541</v>
      </c>
      <c r="H132" s="61">
        <f>H10</f>
        <v>1400024209</v>
      </c>
    </row>
    <row r="133" spans="2:26" x14ac:dyDescent="0.35">
      <c r="B133" s="63" t="s">
        <v>25</v>
      </c>
      <c r="E133" s="61" t="e">
        <f>E125*#REF!</f>
        <v>#REF!</v>
      </c>
      <c r="F133" s="61" t="e">
        <f>F125*#REF!</f>
        <v>#REF!</v>
      </c>
      <c r="G133" s="61">
        <f>G84</f>
        <v>956438237</v>
      </c>
      <c r="H133" s="61">
        <f>H84</f>
        <v>1956868081</v>
      </c>
    </row>
    <row r="134" spans="2:26" x14ac:dyDescent="0.35">
      <c r="B134" s="63" t="s">
        <v>31</v>
      </c>
      <c r="E134" s="61">
        <f>E129*E99</f>
        <v>7068367.2321243454</v>
      </c>
      <c r="F134" s="61">
        <f>F129*F99</f>
        <v>9362698.2214483619</v>
      </c>
      <c r="G134" s="61">
        <f>G96</f>
        <v>11775678</v>
      </c>
      <c r="H134" s="61">
        <f>H96</f>
        <v>26906001</v>
      </c>
    </row>
    <row r="135" spans="2:26" ht="16.2" thickBot="1" x14ac:dyDescent="0.4">
      <c r="B135" s="62" t="s">
        <v>115</v>
      </c>
      <c r="E135" s="65" t="e">
        <f>SUM(E132:E134)</f>
        <v>#REF!</v>
      </c>
      <c r="F135" s="65" t="e">
        <f>SUM(F132:F134)</f>
        <v>#REF!</v>
      </c>
      <c r="G135" s="65">
        <f>SUM(G132:G134)</f>
        <v>1639617456</v>
      </c>
      <c r="H135" s="65">
        <f>SUM(H132:H134)</f>
        <v>3383798291</v>
      </c>
    </row>
    <row r="136" spans="2:26" x14ac:dyDescent="0.35">
      <c r="B136" s="62"/>
      <c r="E136" s="62"/>
      <c r="F136" s="62"/>
      <c r="G136" s="62"/>
      <c r="H136" s="62"/>
    </row>
    <row r="137" spans="2:26" x14ac:dyDescent="0.35">
      <c r="B137" s="62"/>
      <c r="E137" s="62"/>
      <c r="F137" s="62"/>
      <c r="G137" s="62"/>
      <c r="H137" s="62"/>
    </row>
    <row r="138" spans="2:26" ht="21" x14ac:dyDescent="0.5">
      <c r="B138" s="87" t="s">
        <v>178</v>
      </c>
      <c r="C138" s="88"/>
      <c r="D138" s="88"/>
      <c r="E138" s="88"/>
      <c r="F138" s="88"/>
      <c r="G138" s="87"/>
      <c r="H138" s="87"/>
      <c r="O138" s="68" t="s">
        <v>178</v>
      </c>
      <c r="P138" s="68"/>
      <c r="Q138" s="68"/>
      <c r="R138" s="68"/>
      <c r="S138" s="68"/>
    </row>
    <row r="139" spans="2:26" ht="21" x14ac:dyDescent="0.5">
      <c r="B139" s="89" t="s">
        <v>163</v>
      </c>
      <c r="C139" s="88"/>
      <c r="D139" s="88"/>
      <c r="E139" s="90" t="e">
        <f t="shared" ref="E139:H141" si="26">E132/E$135</f>
        <v>#REF!</v>
      </c>
      <c r="F139" s="90" t="e">
        <f t="shared" si="26"/>
        <v>#REF!</v>
      </c>
      <c r="G139" s="90">
        <f t="shared" si="26"/>
        <v>0.40948791960165615</v>
      </c>
      <c r="H139" s="90">
        <f>H132/H$135</f>
        <v>0.41374339975396601</v>
      </c>
      <c r="O139" s="68" t="s">
        <v>163</v>
      </c>
      <c r="P139" s="68">
        <v>0.60545289718285866</v>
      </c>
      <c r="Q139" s="68">
        <v>0.40670529655400461</v>
      </c>
      <c r="R139" s="68">
        <v>0.40948791960165615</v>
      </c>
      <c r="S139" s="68">
        <v>0.41374339975396601</v>
      </c>
    </row>
    <row r="140" spans="2:26" ht="21" x14ac:dyDescent="0.5">
      <c r="B140" s="89" t="s">
        <v>164</v>
      </c>
      <c r="C140" s="88"/>
      <c r="D140" s="88"/>
      <c r="E140" s="90" t="e">
        <f t="shared" si="26"/>
        <v>#REF!</v>
      </c>
      <c r="F140" s="90" t="e">
        <f t="shared" si="26"/>
        <v>#REF!</v>
      </c>
      <c r="G140" s="90">
        <f t="shared" si="26"/>
        <v>0.58333011367988263</v>
      </c>
      <c r="H140" s="90">
        <f>H133/H$135</f>
        <v>0.57830518036631984</v>
      </c>
      <c r="O140" s="68" t="s">
        <v>164</v>
      </c>
      <c r="P140" s="68">
        <v>0.38602075856713325</v>
      </c>
      <c r="Q140" s="68">
        <v>0.58455657802314165</v>
      </c>
      <c r="R140" s="68">
        <v>0.58333011367988263</v>
      </c>
      <c r="S140" s="68">
        <v>0.57830518036631984</v>
      </c>
    </row>
    <row r="141" spans="2:26" ht="21" x14ac:dyDescent="0.5">
      <c r="B141" s="89" t="s">
        <v>165</v>
      </c>
      <c r="C141" s="88"/>
      <c r="D141" s="88"/>
      <c r="E141" s="90" t="e">
        <f t="shared" si="26"/>
        <v>#REF!</v>
      </c>
      <c r="F141" s="90" t="e">
        <f t="shared" si="26"/>
        <v>#REF!</v>
      </c>
      <c r="G141" s="90">
        <f t="shared" si="26"/>
        <v>7.1819667184611869E-3</v>
      </c>
      <c r="H141" s="90">
        <f t="shared" si="26"/>
        <v>7.9514198797141014E-3</v>
      </c>
      <c r="O141" s="68" t="s">
        <v>165</v>
      </c>
      <c r="P141" s="68">
        <v>8.5263442500080108E-3</v>
      </c>
      <c r="Q141" s="68">
        <v>8.7381254228536941E-3</v>
      </c>
      <c r="R141" s="68">
        <v>7.1819667184611869E-3</v>
      </c>
      <c r="S141" s="68">
        <v>7.9514198797141014E-3</v>
      </c>
    </row>
    <row r="142" spans="2:26" x14ac:dyDescent="0.35">
      <c r="B142" s="62"/>
      <c r="E142" s="62"/>
      <c r="F142" s="62"/>
      <c r="G142" s="62"/>
      <c r="H142" s="62"/>
    </row>
    <row r="143" spans="2:26" ht="21" x14ac:dyDescent="0.5">
      <c r="B143" s="87" t="s">
        <v>162</v>
      </c>
      <c r="C143" s="88"/>
      <c r="D143" s="88"/>
      <c r="E143" s="88"/>
      <c r="F143" s="88"/>
      <c r="G143" s="87"/>
      <c r="H143" s="87"/>
      <c r="O143" s="68" t="s">
        <v>162</v>
      </c>
      <c r="P143" s="68"/>
      <c r="Q143" s="68"/>
      <c r="R143" s="68"/>
      <c r="S143" s="68"/>
    </row>
    <row r="144" spans="2:26" ht="21" x14ac:dyDescent="0.5">
      <c r="B144" s="89" t="s">
        <v>163</v>
      </c>
      <c r="C144" s="88"/>
      <c r="D144" s="88"/>
      <c r="E144" s="90">
        <f>E132/E$17</f>
        <v>1.1448906009032296E-2</v>
      </c>
      <c r="F144" s="90">
        <f>F132/F$17</f>
        <v>8.599671672254984E-3</v>
      </c>
      <c r="G144" s="90">
        <f>G132/G$17</f>
        <v>7.4954608648864513E-3</v>
      </c>
      <c r="H144" s="90">
        <f>H132/H$17</f>
        <v>9.2335804255734653E-3</v>
      </c>
      <c r="O144" s="68" t="s">
        <v>163</v>
      </c>
      <c r="P144" s="68">
        <v>1.1448906009032296E-2</v>
      </c>
      <c r="Q144" s="68">
        <v>8.599671672254984E-3</v>
      </c>
      <c r="R144" s="68">
        <v>7.4954608648864513E-3</v>
      </c>
      <c r="S144" s="68">
        <v>9.2335804255734653E-3</v>
      </c>
    </row>
    <row r="145" spans="2:20" ht="21" x14ac:dyDescent="0.5">
      <c r="B145" s="89" t="s">
        <v>164</v>
      </c>
      <c r="C145" s="88"/>
      <c r="D145" s="88"/>
      <c r="E145" s="91" t="e">
        <f>E133/E$87</f>
        <v>#REF!</v>
      </c>
      <c r="F145" s="91" t="e">
        <f>F133/F$87</f>
        <v>#REF!</v>
      </c>
      <c r="G145" s="91">
        <f>G133/G$87</f>
        <v>0.3581667239664329</v>
      </c>
      <c r="H145" s="91">
        <f>H133/H$87</f>
        <v>0.42676017135626998</v>
      </c>
      <c r="O145" s="68" t="s">
        <v>164</v>
      </c>
      <c r="P145" s="68">
        <v>0.35234902677909419</v>
      </c>
      <c r="Q145" s="68">
        <v>0.4057170105526674</v>
      </c>
      <c r="R145" s="68">
        <v>0.3581667239664329</v>
      </c>
      <c r="S145" s="68">
        <v>0.42676017135626998</v>
      </c>
    </row>
    <row r="146" spans="2:20" ht="21" x14ac:dyDescent="0.5">
      <c r="B146" s="89" t="s">
        <v>165</v>
      </c>
      <c r="C146" s="88"/>
      <c r="D146" s="88"/>
      <c r="E146" s="90">
        <f>E96/E$99</f>
        <v>0</v>
      </c>
      <c r="F146" s="90">
        <f>F96/F$99</f>
        <v>0</v>
      </c>
      <c r="G146" s="90">
        <f>G96/G$99</f>
        <v>1.9699025739139358E-3</v>
      </c>
      <c r="H146" s="90">
        <f>H96/H$99</f>
        <v>3.5473286865193507E-3</v>
      </c>
      <c r="O146" s="68" t="s">
        <v>165</v>
      </c>
      <c r="P146" s="68" t="s">
        <v>188</v>
      </c>
      <c r="Q146" s="68" t="s">
        <v>188</v>
      </c>
      <c r="R146" s="68">
        <v>1.9699025739139358E-3</v>
      </c>
      <c r="S146" s="68">
        <v>3.5473286865193507E-3</v>
      </c>
    </row>
    <row r="148" spans="2:20" ht="24" x14ac:dyDescent="0.55000000000000004">
      <c r="B148" s="58" t="s">
        <v>218</v>
      </c>
      <c r="C148" s="58"/>
      <c r="D148" s="58"/>
      <c r="E148" s="58"/>
      <c r="F148" s="58"/>
      <c r="G148" s="58"/>
      <c r="H148" s="58"/>
      <c r="I148" s="58"/>
      <c r="J148" s="58"/>
      <c r="K148" s="58"/>
    </row>
    <row r="150" spans="2:20" x14ac:dyDescent="0.35">
      <c r="B150" s="63" t="s">
        <v>24</v>
      </c>
      <c r="E150" s="61">
        <f>F9*E17/F17</f>
        <v>1177352249.377342</v>
      </c>
      <c r="F150" s="61">
        <f>F9</f>
        <v>1360863336</v>
      </c>
      <c r="G150" s="61">
        <f>G9</f>
        <v>2670049718</v>
      </c>
      <c r="H150" s="61">
        <f>H9</f>
        <v>3019918265</v>
      </c>
    </row>
    <row r="151" spans="2:20" x14ac:dyDescent="0.35">
      <c r="B151" s="63" t="s">
        <v>25</v>
      </c>
      <c r="E151" s="61">
        <f>E82</f>
        <v>12269386</v>
      </c>
      <c r="F151" s="61">
        <f>F82</f>
        <v>23844504</v>
      </c>
      <c r="G151" s="61">
        <f>G82</f>
        <v>28442490</v>
      </c>
      <c r="H151" s="61">
        <f>H82</f>
        <v>34182551</v>
      </c>
    </row>
    <row r="152" spans="2:20" x14ac:dyDescent="0.35">
      <c r="B152" s="63" t="s">
        <v>31</v>
      </c>
      <c r="E152" s="61">
        <f>E94</f>
        <v>194524229</v>
      </c>
      <c r="F152" s="61">
        <f>F94</f>
        <v>290724433</v>
      </c>
      <c r="G152" s="61">
        <f>G94</f>
        <v>459245249</v>
      </c>
      <c r="H152" s="61">
        <f>H94</f>
        <v>712883597</v>
      </c>
    </row>
    <row r="153" spans="2:20" ht="16.2" thickBot="1" x14ac:dyDescent="0.4">
      <c r="B153" s="62" t="s">
        <v>115</v>
      </c>
      <c r="E153" s="65">
        <f>SUM(E150:E152)</f>
        <v>1384145864.377342</v>
      </c>
      <c r="F153" s="65">
        <f>SUM(F150:F152)</f>
        <v>1675432273</v>
      </c>
      <c r="G153" s="65">
        <f t="shared" ref="G153" si="27">SUM(G150:G152)</f>
        <v>3157737457</v>
      </c>
      <c r="H153" s="65">
        <f>SUM(H150:H152)</f>
        <v>3766984413</v>
      </c>
    </row>
    <row r="154" spans="2:20" x14ac:dyDescent="0.35">
      <c r="B154" s="62"/>
      <c r="E154" s="62"/>
      <c r="F154" s="62"/>
      <c r="G154" s="62"/>
      <c r="H154" s="62"/>
    </row>
    <row r="155" spans="2:20" ht="21" x14ac:dyDescent="0.5">
      <c r="B155" s="87" t="s">
        <v>186</v>
      </c>
      <c r="C155" s="88"/>
      <c r="D155" s="88"/>
      <c r="E155" s="88"/>
      <c r="F155" s="88"/>
      <c r="G155" s="87"/>
      <c r="H155" s="87"/>
      <c r="N155" s="68" t="s">
        <v>186</v>
      </c>
      <c r="O155" s="68"/>
      <c r="P155" s="68"/>
      <c r="Q155" s="68"/>
      <c r="R155" s="68"/>
    </row>
    <row r="156" spans="2:20" ht="21" x14ac:dyDescent="0.5">
      <c r="B156" s="89" t="s">
        <v>219</v>
      </c>
      <c r="C156" s="88"/>
      <c r="D156" s="88"/>
      <c r="E156" s="90" t="s">
        <v>188</v>
      </c>
      <c r="F156" s="90">
        <f>F150/F17</f>
        <v>2.6855534751352807E-2</v>
      </c>
      <c r="G156" s="90">
        <f>G150/G17</f>
        <v>2.980808403059957E-2</v>
      </c>
      <c r="H156" s="90">
        <f>H150/H17</f>
        <v>1.9917268572414937E-2</v>
      </c>
      <c r="N156" s="68" t="s">
        <v>219</v>
      </c>
      <c r="O156" s="68" t="s">
        <v>188</v>
      </c>
      <c r="P156" s="68">
        <v>2.68555347513528E-2</v>
      </c>
      <c r="Q156" s="68">
        <v>2.980808403059957E-2</v>
      </c>
      <c r="R156" s="68">
        <v>1.9917268572414937E-2</v>
      </c>
    </row>
    <row r="157" spans="2:20" ht="21" x14ac:dyDescent="0.5">
      <c r="B157" s="89" t="s">
        <v>25</v>
      </c>
      <c r="C157" s="88"/>
      <c r="D157" s="88"/>
      <c r="E157" s="91">
        <f>E151/E87</f>
        <v>1.3509180503552761E-2</v>
      </c>
      <c r="F157" s="91">
        <f>F151/F87</f>
        <v>1.5445508342508612E-2</v>
      </c>
      <c r="G157" s="91">
        <f>G151/G87</f>
        <v>1.0651135714420447E-2</v>
      </c>
      <c r="H157" s="91">
        <f>H151/H87</f>
        <v>7.4546421722509757E-3</v>
      </c>
      <c r="N157" s="68" t="s">
        <v>25</v>
      </c>
      <c r="O157" s="68">
        <v>1.3509180503552761E-2</v>
      </c>
      <c r="P157" s="68">
        <v>1.5445508342508612E-2</v>
      </c>
      <c r="Q157" s="68">
        <v>1.0651135714420447E-2</v>
      </c>
      <c r="R157" s="68">
        <v>7.4546421722509757E-3</v>
      </c>
    </row>
    <row r="158" spans="2:20" ht="21" x14ac:dyDescent="0.5">
      <c r="B158" s="89" t="s">
        <v>31</v>
      </c>
      <c r="C158" s="88"/>
      <c r="D158" s="88"/>
      <c r="E158" s="92">
        <f>E152/E99</f>
        <v>7.5918180387744977E-2</v>
      </c>
      <c r="F158" s="92">
        <f>F152/F99</f>
        <v>8.5658743450945748E-2</v>
      </c>
      <c r="G158" s="90">
        <f>G152/G99</f>
        <v>7.6825164382284095E-2</v>
      </c>
      <c r="H158" s="90">
        <f>H152/H99</f>
        <v>9.3987673373951044E-2</v>
      </c>
      <c r="N158" s="68" t="s">
        <v>31</v>
      </c>
      <c r="O158" s="68">
        <v>7.5918180387744977E-2</v>
      </c>
      <c r="P158" s="68">
        <v>8.5658743450945748E-2</v>
      </c>
      <c r="Q158" s="68">
        <v>7.6825164382284095E-2</v>
      </c>
      <c r="R158" s="68">
        <v>9.3987673373951044E-2</v>
      </c>
    </row>
    <row r="159" spans="2:20" x14ac:dyDescent="0.35">
      <c r="B159" s="63"/>
      <c r="E159" s="77"/>
      <c r="F159" s="77"/>
      <c r="G159" s="77"/>
      <c r="H159" s="77"/>
    </row>
    <row r="160" spans="2:20" ht="21" x14ac:dyDescent="0.5">
      <c r="B160" s="87" t="s">
        <v>185</v>
      </c>
      <c r="C160" s="88"/>
      <c r="D160" s="88"/>
      <c r="E160" s="88"/>
      <c r="F160" s="88"/>
      <c r="G160" s="87"/>
      <c r="H160" s="87"/>
      <c r="P160" s="68" t="s">
        <v>185</v>
      </c>
      <c r="Q160" s="68"/>
      <c r="R160" s="68"/>
      <c r="S160" s="68"/>
      <c r="T160" s="68"/>
    </row>
    <row r="161" spans="2:20" ht="21" x14ac:dyDescent="0.5">
      <c r="B161" s="89" t="s">
        <v>219</v>
      </c>
      <c r="C161" s="88"/>
      <c r="D161" s="88"/>
      <c r="E161" s="90">
        <f>E150/E$153</f>
        <v>0.85059839405507587</v>
      </c>
      <c r="F161" s="90">
        <f>F150/F$153</f>
        <v>0.81224610384474794</v>
      </c>
      <c r="G161" s="90">
        <f t="shared" ref="G161:H161" si="28">G150/G$153</f>
        <v>0.84555785728198996</v>
      </c>
      <c r="H161" s="90">
        <f t="shared" si="28"/>
        <v>0.80168058423022737</v>
      </c>
      <c r="P161" s="68" t="s">
        <v>219</v>
      </c>
      <c r="Q161" s="68">
        <v>0.85059839405507587</v>
      </c>
      <c r="R161" s="68">
        <v>0.81224610384474794</v>
      </c>
      <c r="S161" s="68">
        <v>0.84555785728198996</v>
      </c>
      <c r="T161" s="68">
        <v>0.80168058423022737</v>
      </c>
    </row>
    <row r="162" spans="2:20" ht="21" x14ac:dyDescent="0.5">
      <c r="B162" s="89" t="s">
        <v>176</v>
      </c>
      <c r="C162" s="88"/>
      <c r="D162" s="88"/>
      <c r="E162" s="91">
        <f t="shared" ref="E162" si="29">E151/E$153</f>
        <v>8.864229064123515E-3</v>
      </c>
      <c r="F162" s="91">
        <f t="shared" ref="F162:H163" si="30">F151/F$153</f>
        <v>1.4231851913240542E-2</v>
      </c>
      <c r="G162" s="91">
        <f t="shared" si="30"/>
        <v>9.0072371079962139E-3</v>
      </c>
      <c r="H162" s="91">
        <f>H151/H$153</f>
        <v>9.0742480595445985E-3</v>
      </c>
      <c r="P162" s="68" t="s">
        <v>176</v>
      </c>
      <c r="Q162" s="68">
        <v>8.864229064123515E-3</v>
      </c>
      <c r="R162" s="68">
        <v>1.4231851913240542E-2</v>
      </c>
      <c r="S162" s="68">
        <v>9.0072371079962139E-3</v>
      </c>
      <c r="T162" s="68">
        <v>9.0742480595445985E-3</v>
      </c>
    </row>
    <row r="163" spans="2:20" ht="21" x14ac:dyDescent="0.5">
      <c r="B163" s="89" t="s">
        <v>177</v>
      </c>
      <c r="C163" s="88"/>
      <c r="D163" s="88"/>
      <c r="E163" s="92">
        <f t="shared" ref="E163" si="31">E152/E$153</f>
        <v>0.14053737688080059</v>
      </c>
      <c r="F163" s="92">
        <f t="shared" si="30"/>
        <v>0.17352204424201156</v>
      </c>
      <c r="G163" s="90">
        <f t="shared" si="30"/>
        <v>0.14543490561001379</v>
      </c>
      <c r="H163" s="90">
        <f t="shared" si="30"/>
        <v>0.18924516771022806</v>
      </c>
      <c r="P163" s="68" t="s">
        <v>177</v>
      </c>
      <c r="Q163" s="68">
        <v>0.14053737688080059</v>
      </c>
      <c r="R163" s="68">
        <v>0.17352204424201156</v>
      </c>
      <c r="S163" s="68">
        <v>0.14543490561001379</v>
      </c>
      <c r="T163" s="68">
        <v>0.18924516771022806</v>
      </c>
    </row>
    <row r="164" spans="2:20" x14ac:dyDescent="0.35">
      <c r="B164" s="63"/>
      <c r="E164" s="77"/>
      <c r="F164" s="77"/>
      <c r="G164" s="77"/>
      <c r="H164" s="77"/>
    </row>
    <row r="166" spans="2:20" ht="24" x14ac:dyDescent="0.55000000000000004">
      <c r="B166" s="58" t="s">
        <v>141</v>
      </c>
      <c r="C166" s="58"/>
      <c r="D166" s="58"/>
      <c r="E166" s="58"/>
      <c r="F166" s="58"/>
      <c r="G166" s="58"/>
      <c r="H166" s="58"/>
      <c r="I166" s="58"/>
      <c r="J166" s="58"/>
      <c r="K166" s="58"/>
    </row>
    <row r="168" spans="2:20" x14ac:dyDescent="0.35">
      <c r="B168" s="62" t="s">
        <v>142</v>
      </c>
    </row>
    <row r="169" spans="2:20" x14ac:dyDescent="0.35">
      <c r="B169" s="63" t="s">
        <v>144</v>
      </c>
      <c r="F169" s="61">
        <f>F6</f>
        <v>40645014953</v>
      </c>
      <c r="G169" s="61">
        <f>G6</f>
        <v>74020921349</v>
      </c>
      <c r="H169" s="61">
        <f>H6</f>
        <v>129269656657</v>
      </c>
    </row>
    <row r="170" spans="2:20" x14ac:dyDescent="0.35">
      <c r="B170" s="63" t="s">
        <v>147</v>
      </c>
      <c r="F170" s="67">
        <f>F6/F17</f>
        <v>0.80209642119386626</v>
      </c>
      <c r="G170" s="67">
        <f>G6/G17</f>
        <v>0.82635983469480612</v>
      </c>
      <c r="H170" s="67">
        <f>H6/H17</f>
        <v>0.85257223671957072</v>
      </c>
    </row>
    <row r="171" spans="2:20" x14ac:dyDescent="0.35">
      <c r="B171" s="63" t="s">
        <v>146</v>
      </c>
      <c r="F171" s="67"/>
      <c r="G171" s="67">
        <f>G169/F169-1</f>
        <v>0.82115620906018472</v>
      </c>
      <c r="H171" s="67">
        <f>H169/G169-1</f>
        <v>0.74639351012004651</v>
      </c>
    </row>
    <row r="173" spans="2:20" x14ac:dyDescent="0.35">
      <c r="B173" s="62" t="s">
        <v>143</v>
      </c>
    </row>
    <row r="174" spans="2:20" x14ac:dyDescent="0.35">
      <c r="B174" s="63" t="s">
        <v>144</v>
      </c>
      <c r="F174" s="61">
        <f>F20</f>
        <v>12301107044</v>
      </c>
      <c r="G174" s="61">
        <f>G20</f>
        <v>16808901957</v>
      </c>
      <c r="H174" s="61">
        <f>H20</f>
        <v>17400508124</v>
      </c>
    </row>
    <row r="175" spans="2:20" x14ac:dyDescent="0.35">
      <c r="B175" s="63" t="s">
        <v>145</v>
      </c>
      <c r="F175" s="67">
        <f>F20/F25</f>
        <v>0.43978351670770793</v>
      </c>
      <c r="G175" s="67">
        <f>G20/G25</f>
        <v>0.5012454349990344</v>
      </c>
      <c r="H175" s="67">
        <f>H20/H25</f>
        <v>0.47724662407965074</v>
      </c>
    </row>
    <row r="176" spans="2:20" x14ac:dyDescent="0.35">
      <c r="B176" s="63" t="s">
        <v>146</v>
      </c>
      <c r="F176" s="67"/>
      <c r="G176" s="67">
        <f>G174/F174-1</f>
        <v>0.36645440909310079</v>
      </c>
      <c r="H176" s="67">
        <f>H174/G174-1</f>
        <v>3.5196003196010572E-2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3A6E5-D272-4D24-AAC4-22265712DF6B}">
  <dimension ref="B2:AA33"/>
  <sheetViews>
    <sheetView tabSelected="1" topLeftCell="P13" zoomScale="116" workbookViewId="0">
      <selection activeCell="Y27" sqref="Y27"/>
    </sheetView>
  </sheetViews>
  <sheetFormatPr defaultRowHeight="15.6" x14ac:dyDescent="0.35"/>
  <cols>
    <col min="1" max="1" width="8.88671875" style="96"/>
    <col min="2" max="2" width="30.5546875" style="96" bestFit="1" customWidth="1"/>
    <col min="3" max="3" width="2.88671875" style="96" customWidth="1"/>
    <col min="4" max="4" width="13.6640625" style="96" customWidth="1"/>
    <col min="5" max="5" width="10.5546875" style="108" customWidth="1"/>
    <col min="6" max="7" width="9.33203125" style="96" bestFit="1" customWidth="1"/>
    <col min="8" max="8" width="9.6640625" style="96" bestFit="1" customWidth="1"/>
    <col min="9" max="9" width="9.21875" style="96" customWidth="1"/>
    <col min="10" max="11" width="8" style="96" bestFit="1" customWidth="1"/>
    <col min="12" max="12" width="9.6640625" style="96" bestFit="1" customWidth="1"/>
    <col min="13" max="13" width="9.21875" style="96" customWidth="1"/>
    <col min="14" max="15" width="6.77734375" style="96" bestFit="1" customWidth="1"/>
    <col min="16" max="16" width="9.6640625" style="96" bestFit="1" customWidth="1"/>
    <col min="17" max="21" width="8.88671875" style="96"/>
    <col min="22" max="22" width="28.77734375" style="96" bestFit="1" customWidth="1"/>
    <col min="23" max="16384" width="8.88671875" style="96"/>
  </cols>
  <sheetData>
    <row r="2" spans="2:27" ht="16.2" thickBot="1" x14ac:dyDescent="0.4">
      <c r="B2" s="97" t="s">
        <v>1</v>
      </c>
      <c r="C2" s="97"/>
      <c r="D2" s="99">
        <v>2021</v>
      </c>
      <c r="E2" s="99">
        <v>2022</v>
      </c>
      <c r="F2" s="99">
        <v>2023</v>
      </c>
      <c r="G2" s="99">
        <v>2024</v>
      </c>
      <c r="H2" s="99" t="s">
        <v>220</v>
      </c>
      <c r="J2" s="99">
        <v>2023</v>
      </c>
      <c r="K2" s="99">
        <v>2024</v>
      </c>
      <c r="L2" s="99" t="s">
        <v>220</v>
      </c>
      <c r="N2" s="99">
        <v>2023</v>
      </c>
      <c r="O2" s="99">
        <v>2024</v>
      </c>
      <c r="P2" s="99" t="s">
        <v>220</v>
      </c>
    </row>
    <row r="3" spans="2:27" x14ac:dyDescent="0.35">
      <c r="D3" s="110" t="s">
        <v>221</v>
      </c>
      <c r="E3" s="110"/>
      <c r="F3" s="110"/>
      <c r="G3" s="110"/>
      <c r="H3" s="110"/>
      <c r="J3" s="106" t="s">
        <v>168</v>
      </c>
      <c r="K3" s="106"/>
      <c r="L3" s="106"/>
      <c r="N3" s="106" t="s">
        <v>222</v>
      </c>
      <c r="O3" s="106"/>
      <c r="P3" s="106"/>
    </row>
    <row r="4" spans="2:27" x14ac:dyDescent="0.35">
      <c r="B4" s="98" t="s">
        <v>192</v>
      </c>
      <c r="D4" s="109">
        <v>6275031704</v>
      </c>
      <c r="E4" s="98">
        <v>11682218059</v>
      </c>
      <c r="F4" s="61">
        <v>16549387747</v>
      </c>
      <c r="G4" s="61">
        <v>27884741744</v>
      </c>
      <c r="H4" s="61">
        <f>AVERAGE(F4:G4)</f>
        <v>22217064745.5</v>
      </c>
      <c r="J4" s="61">
        <v>388554260</v>
      </c>
      <c r="K4" s="61">
        <v>306655673</v>
      </c>
      <c r="L4" s="61">
        <f>AVERAGE(J4:K4)</f>
        <v>347604966.5</v>
      </c>
      <c r="N4" s="61">
        <f>64544383</f>
        <v>64544383</v>
      </c>
      <c r="O4" s="61">
        <f>75468081</f>
        <v>75468081</v>
      </c>
      <c r="P4" s="61">
        <f>AVERAGE(N4:O4)</f>
        <v>70006232</v>
      </c>
    </row>
    <row r="5" spans="2:27" x14ac:dyDescent="0.35">
      <c r="B5" s="98" t="s">
        <v>193</v>
      </c>
      <c r="D5" s="109">
        <v>1146081399</v>
      </c>
      <c r="E5" s="98">
        <v>3027241431</v>
      </c>
      <c r="F5" s="61">
        <v>3570570238</v>
      </c>
      <c r="G5" s="61">
        <v>6178121233</v>
      </c>
      <c r="H5" s="61">
        <f t="shared" ref="H5:H8" si="0">AVERAGE(F5:G5)</f>
        <v>4874345735.5</v>
      </c>
      <c r="J5" s="61">
        <v>375033255</v>
      </c>
      <c r="K5" s="61">
        <v>464126999</v>
      </c>
      <c r="L5" s="61">
        <f t="shared" ref="L5:L8" si="1">AVERAGE(J5:K5)</f>
        <v>419580127</v>
      </c>
      <c r="N5" s="61">
        <f>44873619</f>
        <v>44873619</v>
      </c>
      <c r="O5" s="61">
        <f>53698376</f>
        <v>53698376</v>
      </c>
      <c r="P5" s="61">
        <f t="shared" ref="P5:P6" si="2">AVERAGE(N5:O5)</f>
        <v>49285997.5</v>
      </c>
    </row>
    <row r="6" spans="2:27" x14ac:dyDescent="0.35">
      <c r="B6" s="98" t="s">
        <v>194</v>
      </c>
      <c r="D6" s="109">
        <v>3898327134</v>
      </c>
      <c r="E6" s="98">
        <v>6330143560</v>
      </c>
      <c r="F6" s="61">
        <v>6640610470</v>
      </c>
      <c r="G6" s="61">
        <v>13158738747</v>
      </c>
      <c r="H6" s="61">
        <f t="shared" si="0"/>
        <v>9899674608.5</v>
      </c>
      <c r="J6" s="61">
        <v>1046045780</v>
      </c>
      <c r="K6" s="61">
        <v>1226136677</v>
      </c>
      <c r="L6" s="61">
        <f t="shared" si="1"/>
        <v>1136091228.5</v>
      </c>
      <c r="N6" s="61">
        <f>99848553</f>
        <v>99848553</v>
      </c>
      <c r="O6" s="61">
        <f>126012318</f>
        <v>126012318</v>
      </c>
      <c r="P6" s="61">
        <f t="shared" si="2"/>
        <v>112930435.5</v>
      </c>
    </row>
    <row r="7" spans="2:27" x14ac:dyDescent="0.35">
      <c r="B7" s="98" t="s">
        <v>196</v>
      </c>
      <c r="D7" s="109">
        <v>401795425</v>
      </c>
      <c r="E7" s="98">
        <v>610609330</v>
      </c>
      <c r="F7" s="61">
        <v>2898644538</v>
      </c>
      <c r="G7" s="61">
        <v>7430135893</v>
      </c>
      <c r="H7" s="61">
        <f>AVERAGE(F7:G7)</f>
        <v>5164390215.5</v>
      </c>
      <c r="J7" s="61">
        <v>40630152</v>
      </c>
      <c r="K7" s="61">
        <v>165597590</v>
      </c>
      <c r="L7" s="61">
        <f>AVERAGE(J7:K7)</f>
        <v>103113871</v>
      </c>
      <c r="N7" s="61">
        <f>1363274</f>
        <v>1363274</v>
      </c>
      <c r="O7" s="61">
        <f>12686480</f>
        <v>12686480</v>
      </c>
      <c r="P7" s="61">
        <f>AVERAGE(N7:O7)</f>
        <v>7024877</v>
      </c>
    </row>
    <row r="8" spans="2:27" x14ac:dyDescent="0.35">
      <c r="B8" s="98" t="s">
        <v>195</v>
      </c>
      <c r="C8" s="98"/>
      <c r="D8" s="109">
        <v>1599445041</v>
      </c>
      <c r="E8" s="98">
        <v>2529535193</v>
      </c>
      <c r="F8" s="61">
        <v>1222609089</v>
      </c>
      <c r="G8" s="61">
        <v>2144146451</v>
      </c>
      <c r="H8" s="61">
        <f t="shared" si="0"/>
        <v>1683377770</v>
      </c>
      <c r="J8" s="61">
        <v>8169538</v>
      </c>
      <c r="K8" s="61">
        <v>3014595</v>
      </c>
      <c r="L8" s="61">
        <f t="shared" si="1"/>
        <v>5592066.5</v>
      </c>
      <c r="N8" s="73"/>
      <c r="O8" s="73"/>
      <c r="P8" s="73"/>
    </row>
    <row r="9" spans="2:27" x14ac:dyDescent="0.35">
      <c r="B9" s="98" t="s">
        <v>231</v>
      </c>
      <c r="C9" s="98"/>
      <c r="D9" s="73"/>
      <c r="E9" s="73"/>
      <c r="F9" s="73"/>
      <c r="G9" s="73"/>
      <c r="H9" s="73"/>
      <c r="J9" s="61">
        <v>118983894</v>
      </c>
      <c r="K9" s="61">
        <v>129850899</v>
      </c>
      <c r="L9" s="61">
        <v>124417396.5</v>
      </c>
      <c r="N9" s="61">
        <f>8823084</f>
        <v>8823084</v>
      </c>
      <c r="O9" s="61">
        <f>9043933</f>
        <v>9043933</v>
      </c>
      <c r="P9" s="61">
        <f>AVERAGE(N9:O9)</f>
        <v>8933508.5</v>
      </c>
    </row>
    <row r="10" spans="2:27" ht="16.2" thickBot="1" x14ac:dyDescent="0.4">
      <c r="B10" s="97" t="s">
        <v>115</v>
      </c>
      <c r="C10" s="97"/>
      <c r="D10" s="65">
        <f>SUM(D4:D9)</f>
        <v>13320680703</v>
      </c>
      <c r="E10" s="65">
        <f>SUM(E4:E9)</f>
        <v>24179747573</v>
      </c>
      <c r="F10" s="65">
        <f>SUM(F4:F9)</f>
        <v>30881822082</v>
      </c>
      <c r="G10" s="65">
        <f>SUM(G4:G9)</f>
        <v>56795884068</v>
      </c>
      <c r="H10" s="65">
        <f>SUM(H4:H9)</f>
        <v>43838853075</v>
      </c>
      <c r="J10" s="65">
        <f>SUM(J4:J9)</f>
        <v>1977416879</v>
      </c>
      <c r="K10" s="65">
        <f>SUM(K4:K9)</f>
        <v>2295382433</v>
      </c>
      <c r="L10" s="65">
        <f>SUM(L4:L9)</f>
        <v>2136399656</v>
      </c>
      <c r="N10" s="65">
        <f>SUM(N4:N9)</f>
        <v>219452913</v>
      </c>
      <c r="O10" s="65">
        <f>SUM(O4:O9)</f>
        <v>276909188</v>
      </c>
      <c r="P10" s="65">
        <f>SUM(P4:P9)</f>
        <v>248181050.5</v>
      </c>
    </row>
    <row r="12" spans="2:27" x14ac:dyDescent="0.35">
      <c r="B12" s="100" t="s">
        <v>226</v>
      </c>
      <c r="C12" s="100"/>
      <c r="D12" s="82">
        <v>50.7</v>
      </c>
      <c r="E12" s="82">
        <v>50.7</v>
      </c>
      <c r="F12" s="82">
        <v>50.7</v>
      </c>
      <c r="G12" s="82">
        <v>50.7</v>
      </c>
      <c r="H12" s="82">
        <v>50.7</v>
      </c>
      <c r="J12" s="82">
        <v>3.75</v>
      </c>
      <c r="K12" s="82">
        <v>3.75</v>
      </c>
      <c r="L12" s="82">
        <v>3.75</v>
      </c>
      <c r="N12" s="82">
        <v>3.75</v>
      </c>
      <c r="O12" s="82">
        <v>3.75</v>
      </c>
      <c r="P12" s="82">
        <v>3.75</v>
      </c>
    </row>
    <row r="14" spans="2:27" x14ac:dyDescent="0.35">
      <c r="B14" s="97" t="s">
        <v>1</v>
      </c>
      <c r="C14" s="97"/>
      <c r="D14" s="97"/>
      <c r="E14" s="107"/>
    </row>
    <row r="15" spans="2:27" x14ac:dyDescent="0.35">
      <c r="B15" s="98" t="s">
        <v>192</v>
      </c>
      <c r="C15" s="98"/>
      <c r="D15" s="96">
        <f>D4/D$12</f>
        <v>123767883.70808677</v>
      </c>
      <c r="E15" s="96">
        <f>E4/E$12</f>
        <v>230418502.14990136</v>
      </c>
      <c r="F15" s="96">
        <f>F4/F$12</f>
        <v>326417904.28007889</v>
      </c>
      <c r="G15" s="96">
        <f>G4/G$12</f>
        <v>549994906.19329381</v>
      </c>
      <c r="H15" s="96">
        <f>H4/H$12</f>
        <v>438206405.23668635</v>
      </c>
      <c r="J15" s="61">
        <f>J4/J$12</f>
        <v>103614469.33333333</v>
      </c>
      <c r="K15" s="61">
        <f>K4/K$12</f>
        <v>81774846.13333334</v>
      </c>
      <c r="L15" s="61">
        <f>L4/L$12</f>
        <v>92694657.733333334</v>
      </c>
      <c r="N15" s="61">
        <f>N4/N$12</f>
        <v>17211835.466666665</v>
      </c>
      <c r="O15" s="61">
        <f>O4/O$12</f>
        <v>20124821.600000001</v>
      </c>
      <c r="P15" s="61">
        <f>P4/P$12</f>
        <v>18668328.533333335</v>
      </c>
      <c r="V15" s="96" t="s">
        <v>192</v>
      </c>
      <c r="W15" s="96">
        <v>123767883.70808677</v>
      </c>
      <c r="X15" s="96">
        <v>230418502.14990136</v>
      </c>
      <c r="Y15" s="96">
        <v>326417904.28007889</v>
      </c>
      <c r="Z15" s="96">
        <v>549994906.19329381</v>
      </c>
      <c r="AA15" s="96">
        <f>AVERAGE(W15:Z15)</f>
        <v>307649799.0828402</v>
      </c>
    </row>
    <row r="16" spans="2:27" x14ac:dyDescent="0.35">
      <c r="B16" s="98" t="s">
        <v>193</v>
      </c>
      <c r="C16" s="98"/>
      <c r="D16" s="96">
        <f>D5/D$12</f>
        <v>22605155.798816565</v>
      </c>
      <c r="E16" s="96">
        <f>E5/E$12</f>
        <v>59708903.964497037</v>
      </c>
      <c r="F16" s="96">
        <f>F5/F$12</f>
        <v>70425448.481262326</v>
      </c>
      <c r="G16" s="96">
        <f>G5/G$12</f>
        <v>121856434.57593688</v>
      </c>
      <c r="H16" s="96">
        <f>H5/H$12</f>
        <v>96140941.528599605</v>
      </c>
      <c r="J16" s="61">
        <f>J5/J$12</f>
        <v>100008868</v>
      </c>
      <c r="K16" s="61">
        <f>K5/K$12</f>
        <v>123767199.73333333</v>
      </c>
      <c r="L16" s="61">
        <f>L5/L$12</f>
        <v>111888033.86666666</v>
      </c>
      <c r="N16" s="61">
        <f>N5/N$12</f>
        <v>11966298.4</v>
      </c>
      <c r="O16" s="61">
        <f>O5/O$12</f>
        <v>14319566.933333334</v>
      </c>
      <c r="P16" s="61">
        <f>P5/P$12</f>
        <v>13142932.666666666</v>
      </c>
      <c r="V16" s="96" t="s">
        <v>193</v>
      </c>
      <c r="W16" s="96">
        <v>22605155.798816565</v>
      </c>
      <c r="X16" s="96">
        <v>59708903.964497037</v>
      </c>
      <c r="Y16" s="96">
        <v>70425448.481262326</v>
      </c>
      <c r="Z16" s="96">
        <v>121856434.57593688</v>
      </c>
      <c r="AA16" s="96">
        <f t="shared" ref="AA16:AA20" si="3">AVERAGE(W16:Z16)</f>
        <v>68648985.705128193</v>
      </c>
    </row>
    <row r="17" spans="2:27" x14ac:dyDescent="0.35">
      <c r="B17" s="98" t="s">
        <v>194</v>
      </c>
      <c r="C17" s="98"/>
      <c r="D17" s="96">
        <f>D6/D$12</f>
        <v>76890081.538461536</v>
      </c>
      <c r="E17" s="96">
        <f>E6/E$12</f>
        <v>124854902.56410256</v>
      </c>
      <c r="F17" s="96">
        <f>F6/F$12</f>
        <v>130978510.25641026</v>
      </c>
      <c r="G17" s="96">
        <f>G6/G$12</f>
        <v>259541198.16568047</v>
      </c>
      <c r="H17" s="96">
        <f>H6/H$12</f>
        <v>195259854.21104535</v>
      </c>
      <c r="J17" s="61">
        <f>J6/J$12</f>
        <v>278945541.33333331</v>
      </c>
      <c r="K17" s="61">
        <f>K6/K$12</f>
        <v>326969780.53333336</v>
      </c>
      <c r="L17" s="61">
        <f>L6/L$12</f>
        <v>302957660.93333334</v>
      </c>
      <c r="N17" s="61">
        <f>N6/N$12</f>
        <v>26626280.800000001</v>
      </c>
      <c r="O17" s="61">
        <f>O6/O$12</f>
        <v>33603284.799999997</v>
      </c>
      <c r="P17" s="61">
        <f>P6/P$12</f>
        <v>30114782.800000001</v>
      </c>
      <c r="V17" s="96" t="s">
        <v>194</v>
      </c>
      <c r="W17" s="96">
        <v>76890081.538461536</v>
      </c>
      <c r="X17" s="96">
        <v>124854902.56410256</v>
      </c>
      <c r="Y17" s="96">
        <v>130978510.25641026</v>
      </c>
      <c r="Z17" s="96">
        <v>259541198.16568047</v>
      </c>
      <c r="AA17" s="96">
        <f t="shared" si="3"/>
        <v>148066173.13116372</v>
      </c>
    </row>
    <row r="18" spans="2:27" x14ac:dyDescent="0.35">
      <c r="B18" s="98" t="s">
        <v>196</v>
      </c>
      <c r="C18" s="98"/>
      <c r="D18" s="96">
        <f>D7/D$12</f>
        <v>7924959.0729783038</v>
      </c>
      <c r="E18" s="96">
        <f>E7/E$12</f>
        <v>12043576.528599605</v>
      </c>
      <c r="F18" s="96">
        <f>F7/F$12</f>
        <v>57172476.09467455</v>
      </c>
      <c r="G18" s="96">
        <f>G7/G$12</f>
        <v>146551003.8067061</v>
      </c>
      <c r="H18" s="96">
        <f>H7/H$12</f>
        <v>101861739.95069033</v>
      </c>
      <c r="J18" s="61">
        <f>J7/J$12</f>
        <v>10834707.199999999</v>
      </c>
      <c r="K18" s="61">
        <f>K7/K$12</f>
        <v>44159357.333333336</v>
      </c>
      <c r="L18" s="61">
        <f>L7/L$12</f>
        <v>27497032.266666666</v>
      </c>
      <c r="N18" s="61">
        <f>N7/N$12</f>
        <v>363539.73333333334</v>
      </c>
      <c r="O18" s="61">
        <f>O7/O$12</f>
        <v>3383061.3333333335</v>
      </c>
      <c r="P18" s="61">
        <f>P7/P$12</f>
        <v>1873300.5333333334</v>
      </c>
      <c r="V18" s="96" t="s">
        <v>196</v>
      </c>
      <c r="W18" s="96">
        <v>7924959.0729783038</v>
      </c>
      <c r="X18" s="96">
        <v>12043576.528599605</v>
      </c>
      <c r="Y18" s="96">
        <v>57172476.09467455</v>
      </c>
      <c r="Z18" s="96">
        <v>146551003.8067061</v>
      </c>
      <c r="AA18" s="96">
        <f t="shared" si="3"/>
        <v>55923003.875739641</v>
      </c>
    </row>
    <row r="19" spans="2:27" x14ac:dyDescent="0.35">
      <c r="B19" s="98" t="s">
        <v>195</v>
      </c>
      <c r="C19" s="98"/>
      <c r="D19" s="96">
        <f>D8/D$12</f>
        <v>31547239.467455618</v>
      </c>
      <c r="E19" s="96">
        <f>E8/E$12</f>
        <v>49892212.879684418</v>
      </c>
      <c r="F19" s="96">
        <f>F8/F$12</f>
        <v>24114577.692307692</v>
      </c>
      <c r="G19" s="96">
        <f>G8/G$12</f>
        <v>42290857.021696247</v>
      </c>
      <c r="H19" s="96">
        <f>H8/H$12</f>
        <v>33202717.357001971</v>
      </c>
      <c r="J19" s="61">
        <f>J8/J$12</f>
        <v>2178543.4666666668</v>
      </c>
      <c r="K19" s="61">
        <f>K8/K$12</f>
        <v>803892</v>
      </c>
      <c r="L19" s="61">
        <f>L8/L$12</f>
        <v>1491217.7333333334</v>
      </c>
      <c r="N19" s="73"/>
      <c r="O19" s="73"/>
      <c r="P19" s="73"/>
      <c r="V19" s="96" t="s">
        <v>195</v>
      </c>
      <c r="W19" s="96">
        <v>31547239.467455618</v>
      </c>
      <c r="X19" s="96">
        <v>49892212.879684418</v>
      </c>
      <c r="Y19" s="96">
        <v>24114577.692307692</v>
      </c>
      <c r="Z19" s="96">
        <v>42290857.021696247</v>
      </c>
      <c r="AA19" s="96">
        <f t="shared" si="3"/>
        <v>36961221.765285999</v>
      </c>
    </row>
    <row r="20" spans="2:27" x14ac:dyDescent="0.35">
      <c r="B20" s="98" t="s">
        <v>231</v>
      </c>
      <c r="C20" s="98"/>
      <c r="D20" s="73"/>
      <c r="E20" s="73"/>
      <c r="F20" s="73"/>
      <c r="G20" s="73"/>
      <c r="H20" s="73"/>
      <c r="J20" s="61">
        <f>J9/J$12</f>
        <v>31729038.399999999</v>
      </c>
      <c r="K20" s="61">
        <f>K9/K$12</f>
        <v>34626906.399999999</v>
      </c>
      <c r="L20" s="61">
        <f>L9/L$12</f>
        <v>33177972.399999999</v>
      </c>
      <c r="N20" s="61">
        <f>N9/N$12</f>
        <v>2352822.4</v>
      </c>
      <c r="O20" s="61">
        <f>O9/O$12</f>
        <v>2411715.4666666668</v>
      </c>
      <c r="P20" s="61">
        <f>P9/P$12</f>
        <v>2382268.9333333331</v>
      </c>
      <c r="V20" s="96" t="s">
        <v>115</v>
      </c>
      <c r="W20" s="96">
        <v>262735319.5857988</v>
      </c>
      <c r="X20" s="96">
        <v>476918098.08678496</v>
      </c>
      <c r="Y20" s="96">
        <v>609108916.80473375</v>
      </c>
      <c r="Z20" s="96">
        <v>1120234399.7633135</v>
      </c>
      <c r="AA20" s="96">
        <f t="shared" si="3"/>
        <v>617249183.56015778</v>
      </c>
    </row>
    <row r="21" spans="2:27" ht="16.2" thickBot="1" x14ac:dyDescent="0.4">
      <c r="B21" s="97" t="s">
        <v>115</v>
      </c>
      <c r="C21" s="97"/>
      <c r="D21" s="65">
        <f>D10/D$12</f>
        <v>262735319.5857988</v>
      </c>
      <c r="E21" s="65">
        <f>E10/E$12</f>
        <v>476918098.08678496</v>
      </c>
      <c r="F21" s="65">
        <f>F10/F$12</f>
        <v>609108916.80473375</v>
      </c>
      <c r="G21" s="65">
        <f>G10/G$12</f>
        <v>1120234399.7633135</v>
      </c>
      <c r="H21" s="65">
        <f>H10/H$12</f>
        <v>864671658.28402364</v>
      </c>
      <c r="J21" s="65">
        <f>J10/J$12</f>
        <v>527311167.73333335</v>
      </c>
      <c r="K21" s="65">
        <f>K10/K$12</f>
        <v>612101982.13333333</v>
      </c>
      <c r="L21" s="65">
        <f>L10/L$12</f>
        <v>569706574.93333328</v>
      </c>
      <c r="N21" s="65">
        <f>N10/N$12</f>
        <v>58520776.799999997</v>
      </c>
      <c r="O21" s="65">
        <f>O10/O$12</f>
        <v>73842450.13333334</v>
      </c>
      <c r="P21" s="65">
        <f>P10/P$12</f>
        <v>66181613.466666669</v>
      </c>
    </row>
    <row r="22" spans="2:27" x14ac:dyDescent="0.35">
      <c r="B22" s="97" t="s">
        <v>224</v>
      </c>
      <c r="C22" s="97"/>
      <c r="D22" s="97"/>
      <c r="E22" s="107"/>
    </row>
    <row r="23" spans="2:27" x14ac:dyDescent="0.35">
      <c r="B23" s="98" t="s">
        <v>192</v>
      </c>
      <c r="C23" s="98"/>
      <c r="D23" s="68">
        <f t="shared" ref="D23:F23" si="4">D15/D$21</f>
        <v>0.47107440257064165</v>
      </c>
      <c r="E23" s="68">
        <f t="shared" si="4"/>
        <v>0.48314061276821585</v>
      </c>
      <c r="F23" s="68">
        <f t="shared" si="4"/>
        <v>0.53589414844294736</v>
      </c>
      <c r="G23" s="68">
        <f>G15/G$21</f>
        <v>0.49096412885508461</v>
      </c>
      <c r="H23" s="68">
        <f>H15/H$21</f>
        <v>0.5067893703215911</v>
      </c>
      <c r="I23" s="101"/>
      <c r="J23" s="68">
        <f>J15/J$21</f>
        <v>0.19649587506125457</v>
      </c>
      <c r="K23" s="68">
        <f>K15/K$21</f>
        <v>0.13359676740193996</v>
      </c>
      <c r="L23" s="68">
        <f>L15/L$21</f>
        <v>0.16270596445930155</v>
      </c>
      <c r="M23" s="101"/>
      <c r="N23" s="68">
        <f>N15/N$21</f>
        <v>0.29411495212187044</v>
      </c>
      <c r="O23" s="68">
        <f>O15/O$21</f>
        <v>0.27253729478994393</v>
      </c>
      <c r="P23" s="68">
        <f>P15/P$21</f>
        <v>0.28207726520200221</v>
      </c>
      <c r="Q23" s="67"/>
      <c r="V23" s="98" t="s">
        <v>192</v>
      </c>
      <c r="W23" s="68">
        <v>0.5067893703215911</v>
      </c>
      <c r="X23" s="68">
        <v>0.16270596445930155</v>
      </c>
      <c r="Y23" s="68">
        <v>0.28207726520200221</v>
      </c>
      <c r="Z23" s="111">
        <f>AVERAGE(W23:Y23)</f>
        <v>0.31719086666096491</v>
      </c>
    </row>
    <row r="24" spans="2:27" x14ac:dyDescent="0.35">
      <c r="B24" s="98" t="s">
        <v>193</v>
      </c>
      <c r="C24" s="98"/>
      <c r="D24" s="68">
        <f t="shared" ref="D24:F24" si="5">D16/D$21</f>
        <v>8.6037750213612332E-2</v>
      </c>
      <c r="E24" s="68">
        <f t="shared" si="5"/>
        <v>0.12519739595546192</v>
      </c>
      <c r="F24" s="68">
        <f t="shared" si="5"/>
        <v>0.11562045233338637</v>
      </c>
      <c r="G24" s="68">
        <f>G16/G$21</f>
        <v>0.10877762243480746</v>
      </c>
      <c r="H24" s="68">
        <f>H16/H$21</f>
        <v>0.11118780245370277</v>
      </c>
      <c r="I24" s="101"/>
      <c r="J24" s="68">
        <f>J16/J$21</f>
        <v>0.18965816413464529</v>
      </c>
      <c r="K24" s="68">
        <f>K16/K$21</f>
        <v>0.20220029234666537</v>
      </c>
      <c r="L24" s="68">
        <f>L16/L$21</f>
        <v>0.19639589709801003</v>
      </c>
      <c r="M24" s="101"/>
      <c r="N24" s="68">
        <f>N16/N$21</f>
        <v>0.20447948667694379</v>
      </c>
      <c r="O24" s="68">
        <f>O16/O$21</f>
        <v>0.19392052819858038</v>
      </c>
      <c r="P24" s="68">
        <f>P16/P$21</f>
        <v>0.1985888825948055</v>
      </c>
      <c r="Q24" s="67"/>
      <c r="V24" s="98" t="s">
        <v>193</v>
      </c>
      <c r="W24" s="68">
        <v>0.11118780245370277</v>
      </c>
      <c r="X24" s="68">
        <v>0.19639589709801003</v>
      </c>
      <c r="Y24" s="68">
        <v>0.1985888825948055</v>
      </c>
      <c r="Z24" s="111">
        <f t="shared" ref="Z24:Z28" si="6">AVERAGE(W24:Y24)</f>
        <v>0.16872419404883945</v>
      </c>
    </row>
    <row r="25" spans="2:27" x14ac:dyDescent="0.35">
      <c r="B25" s="98" t="s">
        <v>194</v>
      </c>
      <c r="C25" s="98"/>
      <c r="D25" s="68">
        <f t="shared" ref="D25:F25" si="7">D17/D$21</f>
        <v>0.29265224660193556</v>
      </c>
      <c r="E25" s="68">
        <f t="shared" si="7"/>
        <v>0.26179527064494557</v>
      </c>
      <c r="F25" s="68">
        <f t="shared" si="7"/>
        <v>0.21503298776760305</v>
      </c>
      <c r="G25" s="68">
        <f>G17/G$21</f>
        <v>0.23168472439385643</v>
      </c>
      <c r="H25" s="68">
        <f>H17/H$21</f>
        <v>0.2258196534376373</v>
      </c>
      <c r="I25" s="101"/>
      <c r="J25" s="68">
        <f>J17/J$21</f>
        <v>0.52899608125576225</v>
      </c>
      <c r="K25" s="68">
        <f>K17/K$21</f>
        <v>0.53417533364907477</v>
      </c>
      <c r="L25" s="68">
        <f>L17/L$21</f>
        <v>0.53177841763329703</v>
      </c>
      <c r="M25" s="101"/>
      <c r="N25" s="68">
        <f>N17/N$21</f>
        <v>0.4549885058942007</v>
      </c>
      <c r="O25" s="68">
        <f>O17/O$21</f>
        <v>0.45506730531454948</v>
      </c>
      <c r="P25" s="68">
        <f>P17/P$21</f>
        <v>0.45503246630830102</v>
      </c>
      <c r="Q25" s="67"/>
      <c r="V25" s="98" t="s">
        <v>194</v>
      </c>
      <c r="W25" s="68">
        <v>0.2258196534376373</v>
      </c>
      <c r="X25" s="68">
        <v>0.53177841763329703</v>
      </c>
      <c r="Y25" s="68">
        <v>0.45503246630830102</v>
      </c>
      <c r="Z25" s="111">
        <f t="shared" si="6"/>
        <v>0.40421017912641183</v>
      </c>
    </row>
    <row r="26" spans="2:27" x14ac:dyDescent="0.35">
      <c r="B26" s="98" t="s">
        <v>196</v>
      </c>
      <c r="C26" s="98"/>
      <c r="D26" s="68">
        <f t="shared" ref="D26:F26" si="8">D18/D$21</f>
        <v>3.0163280237586521E-2</v>
      </c>
      <c r="E26" s="68">
        <f t="shared" si="8"/>
        <v>2.5252924090978891E-2</v>
      </c>
      <c r="F26" s="68">
        <f t="shared" si="8"/>
        <v>9.3862484224644382E-2</v>
      </c>
      <c r="G26" s="68">
        <f>G18/G$21</f>
        <v>0.1308217314498375</v>
      </c>
      <c r="H26" s="68">
        <f>H18/H$21</f>
        <v>0.11780395364506237</v>
      </c>
      <c r="I26" s="101"/>
      <c r="J26" s="68">
        <f>J18/J$21</f>
        <v>2.0547084649417516E-2</v>
      </c>
      <c r="K26" s="68">
        <f>K18/K$21</f>
        <v>7.2143790777194641E-2</v>
      </c>
      <c r="L26" s="68">
        <f>L18/L$21</f>
        <v>4.826525351209849E-2</v>
      </c>
      <c r="M26" s="101"/>
      <c r="N26" s="68">
        <f>N18/N$21</f>
        <v>6.2121481158010422E-3</v>
      </c>
      <c r="O26" s="68">
        <f>O18/O$21</f>
        <v>4.5814586694031975E-2</v>
      </c>
      <c r="P26" s="68">
        <f>P18/P$21</f>
        <v>2.830545275655524E-2</v>
      </c>
      <c r="Q26" s="67"/>
      <c r="V26" s="98" t="s">
        <v>196</v>
      </c>
      <c r="W26" s="68">
        <v>0.11780395364506237</v>
      </c>
      <c r="X26" s="68">
        <v>4.826525351209849E-2</v>
      </c>
      <c r="Y26" s="68">
        <v>2.830545275655524E-2</v>
      </c>
      <c r="Z26" s="111">
        <f t="shared" si="6"/>
        <v>6.4791553304572036E-2</v>
      </c>
    </row>
    <row r="27" spans="2:27" x14ac:dyDescent="0.35">
      <c r="B27" s="98" t="s">
        <v>195</v>
      </c>
      <c r="C27" s="98"/>
      <c r="D27" s="68">
        <f t="shared" ref="D27:F27" si="9">D19/D$21</f>
        <v>0.12007232037622394</v>
      </c>
      <c r="E27" s="68">
        <f t="shared" si="9"/>
        <v>0.10461379654039783</v>
      </c>
      <c r="F27" s="68">
        <f t="shared" si="9"/>
        <v>3.9589927231418728E-2</v>
      </c>
      <c r="G27" s="68">
        <f>G19/G$21</f>
        <v>3.7751792866414016E-2</v>
      </c>
      <c r="H27" s="68">
        <f>H19/H$21</f>
        <v>3.8399220142006418E-2</v>
      </c>
      <c r="I27" s="101"/>
      <c r="J27" s="68">
        <f>J19/J$21</f>
        <v>4.1314191695033062E-3</v>
      </c>
      <c r="K27" s="68">
        <f>K19/K$21</f>
        <v>1.3133301695874746E-3</v>
      </c>
      <c r="L27" s="68">
        <f>L19/L$21</f>
        <v>2.6175189105160581E-3</v>
      </c>
      <c r="M27" s="101"/>
      <c r="N27" s="73"/>
      <c r="O27" s="73"/>
      <c r="P27" s="73" t="s">
        <v>188</v>
      </c>
      <c r="Q27" s="67"/>
      <c r="V27" s="98" t="s">
        <v>195</v>
      </c>
      <c r="W27" s="68">
        <v>3.8399220142006418E-2</v>
      </c>
      <c r="X27" s="68">
        <v>2.6175189105160581E-3</v>
      </c>
      <c r="Y27" s="73">
        <v>0</v>
      </c>
      <c r="Z27" s="111">
        <f t="shared" si="6"/>
        <v>1.3672246350840826E-2</v>
      </c>
    </row>
    <row r="28" spans="2:27" x14ac:dyDescent="0.35">
      <c r="B28" s="98" t="s">
        <v>231</v>
      </c>
      <c r="C28" s="98"/>
      <c r="D28" s="73"/>
      <c r="E28" s="73"/>
      <c r="F28" s="73"/>
      <c r="G28" s="73"/>
      <c r="H28" s="73" t="s">
        <v>188</v>
      </c>
      <c r="I28" s="101"/>
      <c r="J28" s="68">
        <f>J20/J$21</f>
        <v>6.0171375729416936E-2</v>
      </c>
      <c r="K28" s="68">
        <f>K20/K$21</f>
        <v>5.6570485655537815E-2</v>
      </c>
      <c r="L28" s="68">
        <f>L20/L$21</f>
        <v>5.8236948386776941E-2</v>
      </c>
      <c r="M28" s="101"/>
      <c r="N28" s="68">
        <f>N20/N$21</f>
        <v>4.0204907191184108E-2</v>
      </c>
      <c r="O28" s="68">
        <f>O20/O$21</f>
        <v>3.2660285002894161E-2</v>
      </c>
      <c r="P28" s="68">
        <f>P20/P$21</f>
        <v>3.5995933138336038E-2</v>
      </c>
      <c r="Q28" s="67"/>
      <c r="V28" s="98" t="s">
        <v>231</v>
      </c>
      <c r="W28" s="73" t="s">
        <v>188</v>
      </c>
      <c r="X28" s="68">
        <v>5.8236948386776941E-2</v>
      </c>
      <c r="Y28" s="68">
        <v>3.5995933138336038E-2</v>
      </c>
      <c r="Z28" s="111">
        <f t="shared" si="6"/>
        <v>4.7116440762556486E-2</v>
      </c>
    </row>
    <row r="29" spans="2:27" x14ac:dyDescent="0.35">
      <c r="B29" s="97"/>
      <c r="C29" s="97"/>
      <c r="D29" s="97"/>
      <c r="E29" s="107"/>
      <c r="F29" s="67"/>
      <c r="G29" s="68">
        <f>AVERAGE(D23:G23)</f>
        <v>0.49526832315922237</v>
      </c>
      <c r="H29" s="67"/>
      <c r="J29" s="67"/>
      <c r="K29" s="67"/>
      <c r="L29" s="67"/>
      <c r="N29" s="67"/>
      <c r="O29" s="67"/>
      <c r="P29" s="67"/>
      <c r="Q29" s="67"/>
    </row>
    <row r="30" spans="2:27" x14ac:dyDescent="0.35">
      <c r="G30" s="68">
        <f t="shared" ref="G30:G33" si="10">AVERAGE(D24:G24)</f>
        <v>0.10890830523431702</v>
      </c>
    </row>
    <row r="31" spans="2:27" x14ac:dyDescent="0.35">
      <c r="G31" s="68">
        <f t="shared" si="10"/>
        <v>0.25029130735208516</v>
      </c>
    </row>
    <row r="32" spans="2:27" x14ac:dyDescent="0.35">
      <c r="G32" s="68">
        <f t="shared" si="10"/>
        <v>7.0025105000761825E-2</v>
      </c>
    </row>
    <row r="33" spans="7:7" x14ac:dyDescent="0.35">
      <c r="G33" s="68">
        <f t="shared" si="10"/>
        <v>7.5506959253613629E-2</v>
      </c>
    </row>
  </sheetData>
  <mergeCells count="3">
    <mergeCell ref="J3:L3"/>
    <mergeCell ref="N3:P3"/>
    <mergeCell ref="D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2932-A570-4F12-87E0-2CE836007EB9}">
  <dimension ref="B2:N263"/>
  <sheetViews>
    <sheetView topLeftCell="A3" zoomScale="74" zoomScaleNormal="44" workbookViewId="0">
      <selection activeCell="D93" sqref="D93:E96"/>
    </sheetView>
  </sheetViews>
  <sheetFormatPr defaultRowHeight="14.4" x14ac:dyDescent="0.3"/>
  <cols>
    <col min="2" max="2" width="42" bestFit="1" customWidth="1"/>
    <col min="3" max="3" width="16.88671875" customWidth="1"/>
    <col min="4" max="4" width="15.44140625" bestFit="1" customWidth="1"/>
    <col min="5" max="5" width="13" bestFit="1" customWidth="1"/>
    <col min="6" max="7" width="14.6640625" bestFit="1" customWidth="1"/>
    <col min="10" max="10" width="12.5546875" bestFit="1" customWidth="1"/>
  </cols>
  <sheetData>
    <row r="2" spans="2:12" ht="24" x14ac:dyDescent="0.55000000000000004">
      <c r="B2" s="58" t="s">
        <v>166</v>
      </c>
      <c r="C2" s="59"/>
      <c r="D2" s="59"/>
      <c r="E2" s="59"/>
      <c r="F2" s="59"/>
      <c r="G2" s="60"/>
      <c r="H2" s="60"/>
      <c r="I2" s="59"/>
      <c r="J2" s="59"/>
      <c r="K2" s="59"/>
      <c r="L2" s="59"/>
    </row>
    <row r="3" spans="2:12" s="61" customFormat="1" ht="16.2" thickBot="1" x14ac:dyDescent="0.4">
      <c r="B3" s="94" t="s">
        <v>205</v>
      </c>
      <c r="D3" s="81" t="s">
        <v>167</v>
      </c>
      <c r="E3" s="81" t="s">
        <v>171</v>
      </c>
      <c r="F3" s="81" t="s">
        <v>168</v>
      </c>
      <c r="G3" s="81" t="s">
        <v>169</v>
      </c>
      <c r="J3" s="61" t="s">
        <v>204</v>
      </c>
      <c r="K3" s="69">
        <v>50.7</v>
      </c>
    </row>
    <row r="4" spans="2:12" s="61" customFormat="1" ht="15.6" x14ac:dyDescent="0.35">
      <c r="J4" s="61" t="s">
        <v>197</v>
      </c>
      <c r="K4" s="69">
        <v>3.75</v>
      </c>
    </row>
    <row r="5" spans="2:12" s="61" customFormat="1" ht="15.6" x14ac:dyDescent="0.35">
      <c r="B5" s="63" t="s">
        <v>11</v>
      </c>
      <c r="D5" s="83">
        <f>'Cost time-series'!H32+'Cost time-series'!H40+'Cost time-series'!H49+'Cost time-series'!H57</f>
        <v>161060387592</v>
      </c>
      <c r="E5" s="83">
        <f>1143914626</f>
        <v>1143914626</v>
      </c>
      <c r="F5" s="83">
        <f>8689119832</f>
        <v>8689119832</v>
      </c>
      <c r="G5" s="83">
        <f>61098588</f>
        <v>61098588</v>
      </c>
      <c r="J5" s="61" t="s">
        <v>203</v>
      </c>
      <c r="K5" s="69">
        <v>0.38400000000000001</v>
      </c>
    </row>
    <row r="6" spans="2:12" s="61" customFormat="1" ht="15.6" x14ac:dyDescent="0.35">
      <c r="B6" s="63" t="s">
        <v>24</v>
      </c>
      <c r="D6" s="83">
        <f>-'Cost time-series'!H17</f>
        <v>-151623113080</v>
      </c>
      <c r="E6" s="83">
        <f>-948713371</f>
        <v>-948713371</v>
      </c>
      <c r="F6" s="83">
        <f>-7408197361</f>
        <v>-7408197361</v>
      </c>
      <c r="G6" s="83">
        <f>-51804213</f>
        <v>-51804213</v>
      </c>
    </row>
    <row r="7" spans="2:12" s="61" customFormat="1" ht="15.6" x14ac:dyDescent="0.35"/>
    <row r="8" spans="2:12" s="61" customFormat="1" ht="15.6" x14ac:dyDescent="0.35">
      <c r="B8" s="93" t="s">
        <v>170</v>
      </c>
      <c r="D8" s="82">
        <v>1</v>
      </c>
      <c r="E8" s="82">
        <v>13.56</v>
      </c>
      <c r="F8" s="82">
        <v>13.56</v>
      </c>
      <c r="G8" s="82">
        <v>132.26</v>
      </c>
    </row>
    <row r="9" spans="2:12" s="61" customFormat="1" ht="15.6" x14ac:dyDescent="0.35"/>
    <row r="10" spans="2:12" s="61" customFormat="1" ht="16.2" thickBot="1" x14ac:dyDescent="0.4">
      <c r="B10" s="62"/>
      <c r="D10" s="81" t="s">
        <v>167</v>
      </c>
      <c r="E10" s="81" t="s">
        <v>172</v>
      </c>
      <c r="F10" s="81" t="s">
        <v>198</v>
      </c>
      <c r="G10" s="81" t="s">
        <v>199</v>
      </c>
    </row>
    <row r="11" spans="2:12" s="61" customFormat="1" ht="15.6" x14ac:dyDescent="0.35">
      <c r="B11" s="64"/>
    </row>
    <row r="12" spans="2:12" s="61" customFormat="1" ht="15.6" x14ac:dyDescent="0.35">
      <c r="B12" s="63" t="s">
        <v>11</v>
      </c>
      <c r="D12" s="61">
        <f t="shared" ref="D12:G13" si="0">D5*D$8</f>
        <v>161060387592</v>
      </c>
      <c r="E12" s="61">
        <f>E5*E$8</f>
        <v>15511482328.560001</v>
      </c>
      <c r="F12" s="61">
        <f t="shared" si="0"/>
        <v>117824464921.92</v>
      </c>
      <c r="G12" s="61">
        <f t="shared" si="0"/>
        <v>8080899248.8799992</v>
      </c>
    </row>
    <row r="13" spans="2:12" s="61" customFormat="1" ht="15.6" x14ac:dyDescent="0.35">
      <c r="B13" s="63" t="s">
        <v>24</v>
      </c>
      <c r="D13" s="61">
        <f t="shared" si="0"/>
        <v>-151623113080</v>
      </c>
      <c r="E13" s="61">
        <f t="shared" si="0"/>
        <v>-12864553310.76</v>
      </c>
      <c r="F13" s="61">
        <f t="shared" si="0"/>
        <v>-100455156215.16</v>
      </c>
      <c r="G13" s="61">
        <f t="shared" si="0"/>
        <v>-6851625211.3799992</v>
      </c>
    </row>
    <row r="14" spans="2:12" s="61" customFormat="1" ht="16.2" thickBot="1" x14ac:dyDescent="0.4">
      <c r="B14" s="66" t="s">
        <v>27</v>
      </c>
      <c r="D14" s="65">
        <f>SUM(D12:D13)</f>
        <v>9437274512</v>
      </c>
      <c r="E14" s="65">
        <f t="shared" ref="E14" si="1">SUM(E12:E13)</f>
        <v>2646929017.8000011</v>
      </c>
      <c r="F14" s="65">
        <f>SUM(F12:F13)</f>
        <v>17369308706.759995</v>
      </c>
      <c r="G14" s="65">
        <f>SUM(G12:G13)</f>
        <v>1229274037.5</v>
      </c>
    </row>
    <row r="15" spans="2:12" s="61" customFormat="1" ht="15.6" x14ac:dyDescent="0.35">
      <c r="B15" s="66" t="s">
        <v>173</v>
      </c>
      <c r="D15" s="84">
        <f>D14/D12</f>
        <v>5.8594634305156469E-2</v>
      </c>
      <c r="E15" s="84">
        <f t="shared" ref="E15:G15" si="2">E14/E12</f>
        <v>0.17064320235380928</v>
      </c>
      <c r="F15" s="84">
        <f>F14/F12</f>
        <v>0.14741682653318477</v>
      </c>
      <c r="G15" s="84">
        <f t="shared" si="2"/>
        <v>0.15212094590467459</v>
      </c>
    </row>
    <row r="16" spans="2:12" s="61" customFormat="1" ht="15.6" x14ac:dyDescent="0.35"/>
    <row r="17" spans="2:7" s="61" customFormat="1" ht="15.6" x14ac:dyDescent="0.35">
      <c r="B17" s="93" t="s">
        <v>214</v>
      </c>
      <c r="D17" s="82">
        <v>50.7</v>
      </c>
      <c r="E17" s="82">
        <v>3.75</v>
      </c>
      <c r="F17" s="82">
        <v>3.75</v>
      </c>
      <c r="G17" s="82">
        <v>0.38400000000000001</v>
      </c>
    </row>
    <row r="18" spans="2:7" s="61" customFormat="1" ht="15.6" x14ac:dyDescent="0.35"/>
    <row r="19" spans="2:7" s="61" customFormat="1" ht="16.2" thickBot="1" x14ac:dyDescent="0.4">
      <c r="D19" s="81" t="s">
        <v>215</v>
      </c>
      <c r="E19" s="81" t="s">
        <v>200</v>
      </c>
      <c r="F19" s="81" t="s">
        <v>201</v>
      </c>
      <c r="G19" s="81" t="s">
        <v>202</v>
      </c>
    </row>
    <row r="20" spans="2:7" s="61" customFormat="1" ht="15.6" x14ac:dyDescent="0.35">
      <c r="B20" s="64"/>
    </row>
    <row r="21" spans="2:7" s="61" customFormat="1" ht="15.6" x14ac:dyDescent="0.35">
      <c r="B21" s="63" t="s">
        <v>11</v>
      </c>
      <c r="D21" s="61">
        <f>D5/D$17</f>
        <v>3176733483.0769229</v>
      </c>
      <c r="E21" s="61">
        <f t="shared" ref="E21:G21" si="3">E5/E$17</f>
        <v>305043900.26666665</v>
      </c>
      <c r="F21" s="61">
        <f t="shared" si="3"/>
        <v>2317098621.8666668</v>
      </c>
      <c r="G21" s="61">
        <f t="shared" si="3"/>
        <v>159110906.25</v>
      </c>
    </row>
    <row r="22" spans="2:7" s="61" customFormat="1" ht="15.6" x14ac:dyDescent="0.35">
      <c r="B22" s="63" t="s">
        <v>24</v>
      </c>
      <c r="D22" s="61">
        <f>D6/D$17</f>
        <v>-2990593946.3510847</v>
      </c>
      <c r="E22" s="61">
        <f t="shared" ref="E22:G22" si="4">E6/E$17</f>
        <v>-252990232.26666668</v>
      </c>
      <c r="F22" s="61">
        <f t="shared" si="4"/>
        <v>-1975519296.2666667</v>
      </c>
      <c r="G22" s="61">
        <f t="shared" si="4"/>
        <v>-134906804.6875</v>
      </c>
    </row>
    <row r="23" spans="2:7" s="61" customFormat="1" ht="16.2" thickBot="1" x14ac:dyDescent="0.4">
      <c r="B23" s="66" t="s">
        <v>27</v>
      </c>
      <c r="D23" s="65">
        <f>SUM(D21:D22)</f>
        <v>186139536.72583818</v>
      </c>
      <c r="E23" s="65">
        <f>SUM(E21:E22)</f>
        <v>52053667.99999997</v>
      </c>
      <c r="F23" s="65">
        <f>SUM(F21:F22)</f>
        <v>341579325.60000014</v>
      </c>
      <c r="G23" s="65">
        <f>SUM(G21:G22)</f>
        <v>24204101.5625</v>
      </c>
    </row>
    <row r="24" spans="2:7" s="61" customFormat="1" ht="15.6" x14ac:dyDescent="0.35">
      <c r="B24" s="66" t="s">
        <v>173</v>
      </c>
      <c r="D24" s="84">
        <f t="shared" ref="D24" si="5">D23/D21</f>
        <v>5.8594634305156441E-2</v>
      </c>
      <c r="E24" s="84">
        <f t="shared" ref="E24:G24" si="6">E23/E21</f>
        <v>0.17064320235380914</v>
      </c>
      <c r="F24" s="84">
        <f t="shared" si="6"/>
        <v>0.14741682653318486</v>
      </c>
      <c r="G24" s="84">
        <f t="shared" si="6"/>
        <v>0.15212094590467459</v>
      </c>
    </row>
    <row r="25" spans="2:7" s="61" customFormat="1" ht="15.6" x14ac:dyDescent="0.35">
      <c r="B25" s="66"/>
      <c r="E25" s="84"/>
      <c r="F25" s="84"/>
      <c r="G25" s="84"/>
    </row>
    <row r="26" spans="2:7" s="61" customFormat="1" ht="16.2" thickBot="1" x14ac:dyDescent="0.4">
      <c r="B26" s="94" t="s">
        <v>206</v>
      </c>
      <c r="D26" s="81" t="s">
        <v>167</v>
      </c>
      <c r="E26" s="81" t="s">
        <v>171</v>
      </c>
      <c r="F26" s="81" t="s">
        <v>168</v>
      </c>
      <c r="G26" s="81" t="s">
        <v>169</v>
      </c>
    </row>
    <row r="27" spans="2:7" s="61" customFormat="1" ht="15.6" x14ac:dyDescent="0.35">
      <c r="B27" s="64"/>
    </row>
    <row r="28" spans="2:7" s="61" customFormat="1" ht="15.6" x14ac:dyDescent="0.35">
      <c r="B28" s="63" t="s">
        <v>11</v>
      </c>
      <c r="D28" s="83">
        <f>'Cost time-series'!H66+'Cost time-series'!H74</f>
        <v>70921447985</v>
      </c>
      <c r="E28" s="83">
        <v>0</v>
      </c>
      <c r="F28" s="83">
        <f>339347923</f>
        <v>339347923</v>
      </c>
      <c r="G28" s="83">
        <v>0</v>
      </c>
    </row>
    <row r="29" spans="2:7" s="61" customFormat="1" ht="15.6" x14ac:dyDescent="0.35">
      <c r="B29" s="63" t="s">
        <v>24</v>
      </c>
      <c r="D29" s="83">
        <f>-'Cost time-series'!H25</f>
        <v>-36460201594</v>
      </c>
      <c r="E29" s="83">
        <v>0</v>
      </c>
      <c r="F29" s="83">
        <f>-312478225</f>
        <v>-312478225</v>
      </c>
      <c r="G29" s="83">
        <v>0</v>
      </c>
    </row>
    <row r="30" spans="2:7" s="61" customFormat="1" ht="15.6" x14ac:dyDescent="0.35"/>
    <row r="31" spans="2:7" s="61" customFormat="1" ht="16.2" thickBot="1" x14ac:dyDescent="0.4">
      <c r="B31" s="66"/>
      <c r="D31" s="81" t="s">
        <v>215</v>
      </c>
      <c r="E31" s="81" t="s">
        <v>200</v>
      </c>
      <c r="F31" s="81" t="s">
        <v>201</v>
      </c>
      <c r="G31" s="81" t="s">
        <v>202</v>
      </c>
    </row>
    <row r="32" spans="2:7" s="61" customFormat="1" ht="15.6" x14ac:dyDescent="0.35">
      <c r="B32" s="63" t="s">
        <v>11</v>
      </c>
      <c r="D32" s="61">
        <f>D28/D$17</f>
        <v>1398845127.90927</v>
      </c>
      <c r="E32" s="61">
        <f t="shared" ref="E32:G32" si="7">E28/E$17</f>
        <v>0</v>
      </c>
      <c r="F32" s="61">
        <f>F28/F$17</f>
        <v>90492779.466666669</v>
      </c>
      <c r="G32" s="61">
        <f t="shared" si="7"/>
        <v>0</v>
      </c>
    </row>
    <row r="33" spans="2:7" s="61" customFormat="1" ht="15.6" x14ac:dyDescent="0.35">
      <c r="B33" s="63" t="s">
        <v>24</v>
      </c>
      <c r="D33" s="61">
        <f>D29/D$17</f>
        <v>-719136126.11439836</v>
      </c>
      <c r="E33" s="61">
        <f t="shared" ref="E33:G33" si="8">E29/E$17</f>
        <v>0</v>
      </c>
      <c r="F33" s="61">
        <f t="shared" si="8"/>
        <v>-83327526.666666672</v>
      </c>
      <c r="G33" s="61">
        <f t="shared" si="8"/>
        <v>0</v>
      </c>
    </row>
    <row r="34" spans="2:7" s="61" customFormat="1" ht="16.2" thickBot="1" x14ac:dyDescent="0.4">
      <c r="B34" s="66" t="s">
        <v>27</v>
      </c>
      <c r="D34" s="65">
        <f>SUM(D32:D33)</f>
        <v>679709001.79487169</v>
      </c>
      <c r="E34" s="65">
        <f>SUM(E32:E33)</f>
        <v>0</v>
      </c>
      <c r="F34" s="65">
        <f>SUM(F32:F33)</f>
        <v>7165252.799999997</v>
      </c>
      <c r="G34" s="65">
        <f>SUM(G32:G33)</f>
        <v>0</v>
      </c>
    </row>
    <row r="35" spans="2:7" s="61" customFormat="1" ht="15.6" x14ac:dyDescent="0.35">
      <c r="B35" s="66" t="s">
        <v>173</v>
      </c>
      <c r="D35" s="84">
        <f t="shared" ref="D35:F35" si="9">D34/D32</f>
        <v>0.48590725894779541</v>
      </c>
      <c r="E35" s="95" t="s">
        <v>216</v>
      </c>
      <c r="F35" s="84">
        <f t="shared" si="9"/>
        <v>7.9180381487114593E-2</v>
      </c>
      <c r="G35" s="95" t="s">
        <v>216</v>
      </c>
    </row>
    <row r="36" spans="2:7" s="61" customFormat="1" ht="15.6" x14ac:dyDescent="0.35">
      <c r="B36" s="66"/>
    </row>
    <row r="37" spans="2:7" s="61" customFormat="1" ht="15.6" x14ac:dyDescent="0.35">
      <c r="B37" s="66"/>
    </row>
    <row r="38" spans="2:7" s="61" customFormat="1" ht="16.2" thickBot="1" x14ac:dyDescent="0.4">
      <c r="B38" s="97" t="s">
        <v>225</v>
      </c>
      <c r="C38" s="99"/>
      <c r="D38" s="99"/>
      <c r="E38" s="99"/>
    </row>
    <row r="39" spans="2:7" s="61" customFormat="1" ht="15.6" x14ac:dyDescent="0.35">
      <c r="B39" s="96"/>
      <c r="C39" s="100" t="s">
        <v>168</v>
      </c>
      <c r="D39" s="100" t="s">
        <v>222</v>
      </c>
      <c r="E39" s="100"/>
    </row>
    <row r="40" spans="2:7" s="61" customFormat="1" ht="15.6" x14ac:dyDescent="0.35">
      <c r="B40" s="63" t="s">
        <v>207</v>
      </c>
      <c r="C40" s="61">
        <v>46108991</v>
      </c>
      <c r="D40" s="61">
        <f>11598916</f>
        <v>11598916</v>
      </c>
      <c r="E40" s="61">
        <f>321070</f>
        <v>321070</v>
      </c>
    </row>
    <row r="41" spans="2:7" s="61" customFormat="1" ht="15.6" x14ac:dyDescent="0.35">
      <c r="B41" s="63" t="s">
        <v>210</v>
      </c>
      <c r="C41" s="61">
        <v>52777895</v>
      </c>
      <c r="D41" s="61">
        <f>4489057</f>
        <v>4489057</v>
      </c>
      <c r="E41" s="61">
        <v>0</v>
      </c>
    </row>
    <row r="42" spans="2:7" s="61" customFormat="1" ht="15.6" x14ac:dyDescent="0.35">
      <c r="B42" s="63" t="s">
        <v>227</v>
      </c>
      <c r="C42" s="61">
        <v>13379503</v>
      </c>
      <c r="D42" s="61">
        <f>2981143+8231289</f>
        <v>11212432</v>
      </c>
      <c r="E42" s="61">
        <f>1801+6545</f>
        <v>8346</v>
      </c>
    </row>
    <row r="43" spans="2:7" s="61" customFormat="1" ht="15.6" x14ac:dyDescent="0.35">
      <c r="B43" s="63" t="s">
        <v>211</v>
      </c>
      <c r="C43" s="61">
        <v>1208510</v>
      </c>
      <c r="D43" s="61">
        <v>0</v>
      </c>
      <c r="E43" s="61">
        <v>0</v>
      </c>
    </row>
    <row r="44" spans="2:7" s="61" customFormat="1" ht="15.6" x14ac:dyDescent="0.35">
      <c r="B44" s="63" t="s">
        <v>29</v>
      </c>
      <c r="C44" s="61">
        <v>14427574</v>
      </c>
      <c r="D44" s="96">
        <f>453330+318715+557930</f>
        <v>1329975</v>
      </c>
      <c r="E44" s="96">
        <f>1551711</f>
        <v>1551711</v>
      </c>
    </row>
    <row r="45" spans="2:7" s="61" customFormat="1" ht="16.2" thickBot="1" x14ac:dyDescent="0.4">
      <c r="B45" s="103" t="s">
        <v>115</v>
      </c>
      <c r="C45" s="65">
        <f>SUM(C40:C44)</f>
        <v>127902473</v>
      </c>
      <c r="D45" s="65">
        <f>SUM(D40:D44)</f>
        <v>28630380</v>
      </c>
      <c r="E45" s="65">
        <f>SUM(E40:E44)</f>
        <v>1881127</v>
      </c>
    </row>
    <row r="46" spans="2:7" s="61" customFormat="1" ht="15.6" x14ac:dyDescent="0.35">
      <c r="B46" s="98"/>
      <c r="C46" s="96"/>
      <c r="D46" s="96"/>
      <c r="E46" s="96"/>
    </row>
    <row r="47" spans="2:7" s="61" customFormat="1" ht="15.6" x14ac:dyDescent="0.35">
      <c r="B47" s="104" t="s">
        <v>223</v>
      </c>
      <c r="C47" s="82">
        <v>50.7</v>
      </c>
      <c r="D47" s="82">
        <v>3.75</v>
      </c>
      <c r="E47" s="82">
        <v>3.75</v>
      </c>
    </row>
    <row r="48" spans="2:7" s="61" customFormat="1" ht="15.6" x14ac:dyDescent="0.35">
      <c r="B48" s="98"/>
      <c r="C48" s="96"/>
      <c r="D48" s="96"/>
      <c r="E48" s="96"/>
    </row>
    <row r="49" spans="2:14" s="61" customFormat="1" ht="15.6" x14ac:dyDescent="0.35">
      <c r="B49" s="103"/>
      <c r="C49" s="96"/>
      <c r="D49" s="96"/>
      <c r="E49" s="96"/>
    </row>
    <row r="50" spans="2:14" s="61" customFormat="1" ht="15.6" x14ac:dyDescent="0.35">
      <c r="B50" s="63" t="s">
        <v>207</v>
      </c>
      <c r="C50" s="61">
        <f t="shared" ref="C50:E54" si="10">C40/C$47</f>
        <v>909447.55424063106</v>
      </c>
      <c r="D50" s="61">
        <f t="shared" si="10"/>
        <v>3093044.2666666666</v>
      </c>
      <c r="E50" s="61">
        <f t="shared" si="10"/>
        <v>85618.666666666672</v>
      </c>
    </row>
    <row r="51" spans="2:14" s="61" customFormat="1" ht="15.6" x14ac:dyDescent="0.35">
      <c r="B51" s="63" t="s">
        <v>210</v>
      </c>
      <c r="C51" s="61">
        <f t="shared" si="10"/>
        <v>1040984.1222879684</v>
      </c>
      <c r="D51" s="61">
        <f t="shared" si="10"/>
        <v>1197081.8666666667</v>
      </c>
      <c r="E51" s="61">
        <f t="shared" si="10"/>
        <v>0</v>
      </c>
      <c r="N51"/>
    </row>
    <row r="52" spans="2:14" s="61" customFormat="1" ht="15.6" x14ac:dyDescent="0.35">
      <c r="B52" s="63" t="s">
        <v>227</v>
      </c>
      <c r="C52" s="61">
        <f t="shared" si="10"/>
        <v>263895.52268244576</v>
      </c>
      <c r="D52" s="61">
        <f t="shared" si="10"/>
        <v>2989981.8666666667</v>
      </c>
      <c r="E52" s="61">
        <f t="shared" si="10"/>
        <v>2225.6</v>
      </c>
      <c r="N52"/>
    </row>
    <row r="53" spans="2:14" s="61" customFormat="1" ht="15.6" x14ac:dyDescent="0.35">
      <c r="B53" s="63" t="s">
        <v>211</v>
      </c>
      <c r="C53" s="61">
        <f t="shared" si="10"/>
        <v>23836.489151873768</v>
      </c>
      <c r="D53" s="61">
        <f t="shared" si="10"/>
        <v>0</v>
      </c>
      <c r="E53" s="61">
        <f t="shared" si="10"/>
        <v>0</v>
      </c>
      <c r="N53"/>
    </row>
    <row r="54" spans="2:14" s="61" customFormat="1" ht="15.6" x14ac:dyDescent="0.35">
      <c r="B54" s="63" t="s">
        <v>29</v>
      </c>
      <c r="C54" s="61">
        <f t="shared" si="10"/>
        <v>284567.53451676527</v>
      </c>
      <c r="D54" s="61">
        <f t="shared" si="10"/>
        <v>354660</v>
      </c>
      <c r="E54" s="61">
        <f t="shared" si="10"/>
        <v>413789.6</v>
      </c>
      <c r="N54"/>
    </row>
    <row r="55" spans="2:14" s="61" customFormat="1" ht="16.2" thickBot="1" x14ac:dyDescent="0.4">
      <c r="B55" s="103" t="s">
        <v>115</v>
      </c>
      <c r="C55" s="65">
        <f>SUM(C50:C53)</f>
        <v>2238163.6883629188</v>
      </c>
      <c r="D55" s="65">
        <f>SUM(D50:D53)</f>
        <v>7280108</v>
      </c>
      <c r="E55" s="65">
        <f>SUM(E50:E53)</f>
        <v>87844.266666666677</v>
      </c>
      <c r="N55"/>
    </row>
    <row r="56" spans="2:14" s="61" customFormat="1" ht="15.6" x14ac:dyDescent="0.35">
      <c r="B56" s="103"/>
      <c r="C56" s="96"/>
      <c r="D56" s="96"/>
      <c r="E56" s="96"/>
      <c r="N56"/>
    </row>
    <row r="57" spans="2:14" s="61" customFormat="1" ht="15.6" x14ac:dyDescent="0.35">
      <c r="B57" s="63" t="s">
        <v>207</v>
      </c>
      <c r="C57" s="68">
        <f t="shared" ref="C57:E61" si="11">C50/C$55</f>
        <v>0.40633647975311266</v>
      </c>
      <c r="D57" s="68">
        <f t="shared" si="11"/>
        <v>0.42486241504475847</v>
      </c>
      <c r="E57" s="68">
        <f t="shared" si="11"/>
        <v>0.97466425431673021</v>
      </c>
      <c r="N57"/>
    </row>
    <row r="58" spans="2:14" s="61" customFormat="1" ht="15.6" x14ac:dyDescent="0.35">
      <c r="B58" s="63" t="s">
        <v>210</v>
      </c>
      <c r="C58" s="68">
        <f t="shared" si="11"/>
        <v>0.46510634038986903</v>
      </c>
      <c r="D58" s="68">
        <f t="shared" si="11"/>
        <v>0.16443188297023434</v>
      </c>
      <c r="E58" s="68">
        <f t="shared" si="11"/>
        <v>0</v>
      </c>
      <c r="N58"/>
    </row>
    <row r="59" spans="2:14" s="61" customFormat="1" ht="15.6" x14ac:dyDescent="0.35">
      <c r="B59" s="63" t="s">
        <v>227</v>
      </c>
      <c r="C59" s="68">
        <f t="shared" si="11"/>
        <v>0.11790715936217755</v>
      </c>
      <c r="D59" s="68">
        <f t="shared" si="11"/>
        <v>0.41070570198500717</v>
      </c>
      <c r="E59" s="68">
        <f t="shared" si="11"/>
        <v>2.5335745683269781E-2</v>
      </c>
    </row>
    <row r="60" spans="2:14" s="61" customFormat="1" ht="15.6" x14ac:dyDescent="0.35">
      <c r="B60" s="63" t="s">
        <v>211</v>
      </c>
      <c r="C60" s="68">
        <f t="shared" si="11"/>
        <v>1.0650020494840892E-2</v>
      </c>
      <c r="D60" s="68">
        <f t="shared" si="11"/>
        <v>0</v>
      </c>
      <c r="E60" s="68">
        <f t="shared" si="11"/>
        <v>0</v>
      </c>
    </row>
    <row r="61" spans="2:14" s="61" customFormat="1" ht="15.6" x14ac:dyDescent="0.35">
      <c r="B61" s="63" t="s">
        <v>29</v>
      </c>
      <c r="C61" s="68">
        <f t="shared" si="11"/>
        <v>0.1271433077019086</v>
      </c>
      <c r="D61" s="68">
        <f t="shared" si="11"/>
        <v>4.871631025254021E-2</v>
      </c>
      <c r="E61" s="68">
        <f t="shared" si="11"/>
        <v>4.7104906865483152</v>
      </c>
    </row>
    <row r="62" spans="2:14" s="61" customFormat="1" ht="15.6" x14ac:dyDescent="0.35">
      <c r="B62" s="103" t="s">
        <v>115</v>
      </c>
      <c r="C62" s="68"/>
      <c r="D62" s="68"/>
      <c r="E62" s="68"/>
    </row>
    <row r="63" spans="2:14" s="61" customFormat="1" ht="15.6" x14ac:dyDescent="0.35">
      <c r="B63" s="103"/>
      <c r="C63" s="68"/>
      <c r="D63" s="68"/>
      <c r="E63" s="68"/>
    </row>
    <row r="64" spans="2:14" s="61" customFormat="1" ht="15.6" x14ac:dyDescent="0.35">
      <c r="B64" s="103"/>
      <c r="C64" s="68"/>
      <c r="D64" s="68"/>
      <c r="E64" s="68"/>
    </row>
    <row r="65" spans="2:5" s="61" customFormat="1" ht="15.6" x14ac:dyDescent="0.35">
      <c r="B65" s="98"/>
      <c r="C65" s="68"/>
      <c r="D65" s="68"/>
      <c r="E65" s="68"/>
    </row>
    <row r="66" spans="2:5" s="61" customFormat="1" ht="16.2" thickBot="1" x14ac:dyDescent="0.4">
      <c r="B66" s="97" t="s">
        <v>228</v>
      </c>
      <c r="C66" s="99"/>
      <c r="D66" s="99"/>
      <c r="E66" s="99"/>
    </row>
    <row r="67" spans="2:5" s="61" customFormat="1" ht="15.6" x14ac:dyDescent="0.35">
      <c r="B67" s="96"/>
      <c r="C67" s="100" t="s">
        <v>168</v>
      </c>
      <c r="D67" s="100" t="s">
        <v>222</v>
      </c>
      <c r="E67" s="100"/>
    </row>
    <row r="68" spans="2:5" s="61" customFormat="1" ht="15.6" x14ac:dyDescent="0.35">
      <c r="B68" s="63" t="s">
        <v>213</v>
      </c>
      <c r="C68" s="61">
        <v>104142626</v>
      </c>
      <c r="D68" s="61">
        <f>27027469</f>
        <v>27027469</v>
      </c>
      <c r="E68" s="61">
        <f>321070</f>
        <v>321070</v>
      </c>
    </row>
    <row r="69" spans="2:5" s="61" customFormat="1" ht="15.6" x14ac:dyDescent="0.35">
      <c r="B69" s="63" t="s">
        <v>208</v>
      </c>
      <c r="C69" s="61">
        <v>12296252</v>
      </c>
      <c r="D69" s="61">
        <f>512255</f>
        <v>512255</v>
      </c>
      <c r="E69" s="61">
        <v>0</v>
      </c>
    </row>
    <row r="70" spans="2:5" s="61" customFormat="1" ht="15.6" x14ac:dyDescent="0.35">
      <c r="B70" s="63" t="s">
        <v>212</v>
      </c>
      <c r="C70" s="61">
        <v>6044277</v>
      </c>
      <c r="D70" s="61">
        <f>3580181</f>
        <v>3580181</v>
      </c>
      <c r="E70" s="61">
        <f>1801+6545</f>
        <v>8346</v>
      </c>
    </row>
    <row r="71" spans="2:5" s="61" customFormat="1" ht="15.6" x14ac:dyDescent="0.35">
      <c r="B71" s="63" t="s">
        <v>209</v>
      </c>
      <c r="C71" s="61">
        <v>33983284</v>
      </c>
      <c r="D71" s="61">
        <f>50253455-SUM(D68:D70)</f>
        <v>19133550</v>
      </c>
      <c r="E71" s="61">
        <v>0</v>
      </c>
    </row>
    <row r="72" spans="2:5" s="61" customFormat="1" ht="16.2" thickBot="1" x14ac:dyDescent="0.4">
      <c r="B72" s="103" t="s">
        <v>115</v>
      </c>
      <c r="C72" s="65">
        <f>SUM(C68:C71)</f>
        <v>156466439</v>
      </c>
      <c r="D72" s="65">
        <f>SUM(D68:D71)</f>
        <v>50253455</v>
      </c>
      <c r="E72" s="65">
        <f>SUM(E68:E71)</f>
        <v>329416</v>
      </c>
    </row>
    <row r="73" spans="2:5" s="61" customFormat="1" ht="15.6" x14ac:dyDescent="0.35">
      <c r="B73" s="98"/>
      <c r="C73" s="96"/>
      <c r="D73" s="96"/>
      <c r="E73" s="96"/>
    </row>
    <row r="74" spans="2:5" s="61" customFormat="1" ht="15.6" x14ac:dyDescent="0.35">
      <c r="B74" s="104" t="s">
        <v>223</v>
      </c>
      <c r="C74" s="82">
        <v>50.7</v>
      </c>
      <c r="D74" s="82">
        <v>3.75</v>
      </c>
      <c r="E74" s="82">
        <v>3.75</v>
      </c>
    </row>
    <row r="75" spans="2:5" s="61" customFormat="1" ht="15.6" x14ac:dyDescent="0.35">
      <c r="B75" s="98"/>
      <c r="C75" s="96"/>
      <c r="D75" s="96"/>
      <c r="E75" s="96"/>
    </row>
    <row r="76" spans="2:5" s="61" customFormat="1" ht="15.6" x14ac:dyDescent="0.35">
      <c r="B76" s="103"/>
      <c r="C76" s="96"/>
      <c r="D76" s="96"/>
      <c r="E76" s="96"/>
    </row>
    <row r="77" spans="2:5" s="61" customFormat="1" ht="15.6" x14ac:dyDescent="0.35">
      <c r="B77" s="63" t="s">
        <v>213</v>
      </c>
      <c r="C77" s="61">
        <f t="shared" ref="C77:E80" si="12">C68/C$74</f>
        <v>2054095.1873767257</v>
      </c>
      <c r="D77" s="61">
        <f t="shared" si="12"/>
        <v>7207325.0666666664</v>
      </c>
      <c r="E77" s="61">
        <f t="shared" si="12"/>
        <v>85618.666666666672</v>
      </c>
    </row>
    <row r="78" spans="2:5" s="61" customFormat="1" ht="15.6" x14ac:dyDescent="0.35">
      <c r="B78" s="63" t="s">
        <v>208</v>
      </c>
      <c r="C78" s="61">
        <f t="shared" si="12"/>
        <v>242529.6252465483</v>
      </c>
      <c r="D78" s="61">
        <f t="shared" si="12"/>
        <v>136601.33333333334</v>
      </c>
      <c r="E78" s="61">
        <f t="shared" si="12"/>
        <v>0</v>
      </c>
    </row>
    <row r="79" spans="2:5" s="61" customFormat="1" ht="15.6" x14ac:dyDescent="0.35">
      <c r="B79" s="63" t="s">
        <v>212</v>
      </c>
      <c r="C79" s="61">
        <f t="shared" si="12"/>
        <v>119216.50887573964</v>
      </c>
      <c r="D79" s="61">
        <f t="shared" si="12"/>
        <v>954714.93333333335</v>
      </c>
      <c r="E79" s="61">
        <f t="shared" si="12"/>
        <v>2225.6</v>
      </c>
    </row>
    <row r="80" spans="2:5" s="61" customFormat="1" ht="15.6" x14ac:dyDescent="0.35">
      <c r="B80" s="63" t="s">
        <v>209</v>
      </c>
      <c r="C80" s="61">
        <f t="shared" si="12"/>
        <v>670281.73570019717</v>
      </c>
      <c r="D80" s="61">
        <f t="shared" si="12"/>
        <v>5102280</v>
      </c>
      <c r="E80" s="61">
        <f t="shared" si="12"/>
        <v>0</v>
      </c>
    </row>
    <row r="81" spans="2:6" s="61" customFormat="1" ht="16.2" thickBot="1" x14ac:dyDescent="0.4">
      <c r="B81" s="103" t="s">
        <v>115</v>
      </c>
      <c r="C81" s="65">
        <f>SUM(C77:C80)</f>
        <v>3086123.0571992109</v>
      </c>
      <c r="D81" s="65">
        <f>SUM(D77:D80)</f>
        <v>13400921.333333332</v>
      </c>
      <c r="E81" s="65">
        <f>SUM(E77:E80)</f>
        <v>87844.266666666677</v>
      </c>
    </row>
    <row r="82" spans="2:6" s="61" customFormat="1" ht="15.6" x14ac:dyDescent="0.35">
      <c r="B82" s="103"/>
      <c r="C82" s="96"/>
      <c r="D82" s="96"/>
      <c r="E82" s="96"/>
    </row>
    <row r="83" spans="2:6" s="61" customFormat="1" ht="15.6" x14ac:dyDescent="0.35">
      <c r="B83" s="63" t="s">
        <v>213</v>
      </c>
      <c r="C83" s="68">
        <f t="shared" ref="C83:E86" si="13">C77/C$45</f>
        <v>1.6059855131782524E-2</v>
      </c>
      <c r="D83" s="68">
        <f t="shared" si="13"/>
        <v>0.25173696844633797</v>
      </c>
      <c r="E83" s="68">
        <f t="shared" si="13"/>
        <v>4.5514559445835753E-2</v>
      </c>
    </row>
    <row r="84" spans="2:6" s="61" customFormat="1" ht="15.6" x14ac:dyDescent="0.35">
      <c r="B84" s="63" t="s">
        <v>208</v>
      </c>
      <c r="C84" s="68">
        <f t="shared" si="13"/>
        <v>1.8962074740067638E-3</v>
      </c>
      <c r="D84" s="68">
        <f t="shared" si="13"/>
        <v>4.7712022450744048E-3</v>
      </c>
      <c r="E84" s="68">
        <f t="shared" si="13"/>
        <v>0</v>
      </c>
    </row>
    <row r="85" spans="2:6" s="61" customFormat="1" ht="15.6" x14ac:dyDescent="0.35">
      <c r="B85" s="63" t="s">
        <v>212</v>
      </c>
      <c r="C85" s="68">
        <f t="shared" si="13"/>
        <v>9.3208916199563749E-4</v>
      </c>
      <c r="D85" s="68">
        <f t="shared" si="13"/>
        <v>3.3346219412153572E-2</v>
      </c>
      <c r="E85" s="68">
        <f t="shared" si="13"/>
        <v>1.1831205442269447E-3</v>
      </c>
    </row>
    <row r="86" spans="2:6" s="61" customFormat="1" ht="15.6" x14ac:dyDescent="0.35">
      <c r="B86" s="63" t="s">
        <v>209</v>
      </c>
      <c r="C86" s="68">
        <f t="shared" si="13"/>
        <v>5.2405690052622919E-3</v>
      </c>
      <c r="D86" s="68">
        <f t="shared" si="13"/>
        <v>0.17821209498441865</v>
      </c>
      <c r="E86" s="68">
        <f t="shared" si="13"/>
        <v>0</v>
      </c>
    </row>
    <row r="87" spans="2:6" s="61" customFormat="1" ht="15.6" x14ac:dyDescent="0.35">
      <c r="B87" s="103" t="s">
        <v>115</v>
      </c>
      <c r="C87" s="68"/>
      <c r="D87" s="68"/>
      <c r="E87" s="68"/>
    </row>
    <row r="88" spans="2:6" s="61" customFormat="1" ht="15.6" x14ac:dyDescent="0.35">
      <c r="B88" s="103"/>
      <c r="C88" s="68"/>
      <c r="D88" s="68"/>
      <c r="E88" s="68"/>
    </row>
    <row r="89" spans="2:6" s="61" customFormat="1" ht="15.6" x14ac:dyDescent="0.35">
      <c r="B89" s="103"/>
      <c r="C89" s="68"/>
      <c r="D89" s="68"/>
      <c r="E89" s="68"/>
    </row>
    <row r="90" spans="2:6" s="61" customFormat="1" ht="15.6" x14ac:dyDescent="0.35">
      <c r="B90" s="75"/>
      <c r="C90" s="75"/>
      <c r="D90" s="75"/>
      <c r="E90" s="75"/>
    </row>
    <row r="91" spans="2:6" s="61" customFormat="1" ht="15.6" x14ac:dyDescent="0.35">
      <c r="B91" s="102" t="s">
        <v>230</v>
      </c>
      <c r="C91" s="75"/>
      <c r="D91" s="75"/>
      <c r="E91" s="75"/>
    </row>
    <row r="92" spans="2:6" s="61" customFormat="1" ht="15.6" x14ac:dyDescent="0.35">
      <c r="B92" s="63" t="s">
        <v>213</v>
      </c>
      <c r="C92" s="61">
        <v>95761141.992110446</v>
      </c>
      <c r="D92" s="61">
        <f>C50+C77</f>
        <v>2963542.7416173569</v>
      </c>
      <c r="E92" s="61">
        <f>D50+D77</f>
        <v>10300369.333333332</v>
      </c>
      <c r="F92" s="61">
        <f>E50+E77</f>
        <v>171237.33333333334</v>
      </c>
    </row>
    <row r="93" spans="2:6" s="61" customFormat="1" ht="15.6" x14ac:dyDescent="0.35">
      <c r="B93" s="63" t="s">
        <v>208</v>
      </c>
      <c r="C93" s="61">
        <v>14735032.504930966</v>
      </c>
      <c r="D93" s="61">
        <f t="shared" ref="D93:F94" si="14">C78</f>
        <v>242529.6252465483</v>
      </c>
      <c r="E93" s="61">
        <f t="shared" si="14"/>
        <v>136601.33333333334</v>
      </c>
      <c r="F93" s="61">
        <f t="shared" si="14"/>
        <v>0</v>
      </c>
    </row>
    <row r="94" spans="2:6" s="61" customFormat="1" ht="15.6" x14ac:dyDescent="0.35">
      <c r="B94" s="63" t="s">
        <v>212</v>
      </c>
      <c r="C94" s="61">
        <v>8225219.7238658769</v>
      </c>
      <c r="D94" s="61">
        <f t="shared" si="14"/>
        <v>119216.50887573964</v>
      </c>
      <c r="E94" s="61">
        <f t="shared" si="14"/>
        <v>954714.93333333335</v>
      </c>
      <c r="F94" s="61">
        <f t="shared" si="14"/>
        <v>2225.6</v>
      </c>
    </row>
    <row r="95" spans="2:6" s="61" customFormat="1" ht="15.6" x14ac:dyDescent="0.35">
      <c r="B95" s="63" t="s">
        <v>210</v>
      </c>
      <c r="C95" s="61">
        <v>39127693.925049305</v>
      </c>
      <c r="D95" s="61">
        <f t="shared" ref="D95:F96" si="15">C51</f>
        <v>1040984.1222879684</v>
      </c>
      <c r="E95" s="61">
        <f t="shared" si="15"/>
        <v>1197081.8666666667</v>
      </c>
      <c r="F95" s="61">
        <f t="shared" si="15"/>
        <v>0</v>
      </c>
    </row>
    <row r="96" spans="2:6" s="61" customFormat="1" ht="15.6" x14ac:dyDescent="0.35">
      <c r="B96" s="63" t="s">
        <v>227</v>
      </c>
      <c r="C96" s="61">
        <v>8025364.8520710059</v>
      </c>
      <c r="D96" s="61">
        <f t="shared" si="15"/>
        <v>263895.52268244576</v>
      </c>
      <c r="E96" s="61">
        <f t="shared" si="15"/>
        <v>2989981.8666666667</v>
      </c>
      <c r="F96" s="61">
        <f t="shared" si="15"/>
        <v>2225.6</v>
      </c>
    </row>
    <row r="97" spans="2:6" s="61" customFormat="1" ht="15.6" x14ac:dyDescent="0.35">
      <c r="B97" s="63" t="s">
        <v>29</v>
      </c>
      <c r="C97" s="61">
        <v>74170268.007889539</v>
      </c>
      <c r="D97" s="61">
        <f>C80+C54</f>
        <v>954849.27021696244</v>
      </c>
      <c r="E97" s="61">
        <f>D80+D54</f>
        <v>5456940</v>
      </c>
      <c r="F97" s="61">
        <f>E80+E54</f>
        <v>413789.6</v>
      </c>
    </row>
    <row r="98" spans="2:6" s="61" customFormat="1" ht="16.2" thickBot="1" x14ac:dyDescent="0.4">
      <c r="B98" s="103" t="s">
        <v>229</v>
      </c>
      <c r="C98" s="65">
        <f>SUM(C92:C97)</f>
        <v>240044721.00591713</v>
      </c>
      <c r="D98" s="65">
        <f>SUM(D92:D97)</f>
        <v>5585017.7909270218</v>
      </c>
      <c r="E98" s="65">
        <f>SUM(E92:E97)</f>
        <v>21035689.333333336</v>
      </c>
      <c r="F98" s="65">
        <f>SUM(F92:F97)</f>
        <v>589478.1333333333</v>
      </c>
    </row>
    <row r="99" spans="2:6" s="61" customFormat="1" ht="15.6" x14ac:dyDescent="0.35">
      <c r="B99" s="103"/>
      <c r="C99" s="62"/>
      <c r="D99" s="62"/>
      <c r="E99" s="62"/>
      <c r="F99" s="62"/>
    </row>
    <row r="100" spans="2:6" s="61" customFormat="1" ht="15.6" x14ac:dyDescent="0.35">
      <c r="B100" s="102" t="s">
        <v>230</v>
      </c>
    </row>
    <row r="101" spans="2:6" s="61" customFormat="1" ht="15.6" x14ac:dyDescent="0.35">
      <c r="B101" s="63" t="s">
        <v>213</v>
      </c>
      <c r="C101" s="68">
        <f>C92/C$98</f>
        <v>0.39893042259300476</v>
      </c>
      <c r="D101" s="68">
        <f t="shared" ref="D101:F101" si="16">D92/D$98</f>
        <v>0.53062368868935283</v>
      </c>
      <c r="E101" s="68">
        <f t="shared" si="16"/>
        <v>0.48966160177176971</v>
      </c>
      <c r="F101" s="68">
        <f t="shared" si="16"/>
        <v>0.29048971225621945</v>
      </c>
    </row>
    <row r="102" spans="2:6" s="61" customFormat="1" ht="15.6" x14ac:dyDescent="0.35">
      <c r="B102" s="63" t="s">
        <v>208</v>
      </c>
      <c r="C102" s="68">
        <f t="shared" ref="C102:F102" si="17">C93/C$98</f>
        <v>6.1384530529074811E-2</v>
      </c>
      <c r="D102" s="68">
        <f t="shared" si="17"/>
        <v>4.3425040765410407E-2</v>
      </c>
      <c r="E102" s="68">
        <f t="shared" si="17"/>
        <v>6.4937892535270368E-3</v>
      </c>
      <c r="F102" s="68">
        <f t="shared" si="17"/>
        <v>0</v>
      </c>
    </row>
    <row r="103" spans="2:6" s="61" customFormat="1" ht="15.6" x14ac:dyDescent="0.35">
      <c r="B103" s="63" t="s">
        <v>212</v>
      </c>
      <c r="C103" s="68">
        <f t="shared" ref="C103:F103" si="18">C94/C$98</f>
        <v>3.4265363926345722E-2</v>
      </c>
      <c r="D103" s="68">
        <f t="shared" si="18"/>
        <v>2.1345770656166819E-2</v>
      </c>
      <c r="E103" s="68">
        <f t="shared" si="18"/>
        <v>4.5385483603833404E-2</v>
      </c>
      <c r="F103" s="68">
        <f t="shared" si="18"/>
        <v>3.7755429322116783E-3</v>
      </c>
    </row>
    <row r="104" spans="2:6" s="61" customFormat="1" ht="15.6" x14ac:dyDescent="0.35">
      <c r="B104" s="63" t="s">
        <v>210</v>
      </c>
      <c r="C104" s="68">
        <f t="shared" ref="C104:F104" si="19">C95/C$98</f>
        <v>0.16300168469059897</v>
      </c>
      <c r="D104" s="68">
        <f t="shared" si="19"/>
        <v>0.18638868509587719</v>
      </c>
      <c r="E104" s="68">
        <f t="shared" si="19"/>
        <v>5.6907185103259747E-2</v>
      </c>
      <c r="F104" s="68">
        <f t="shared" si="19"/>
        <v>0</v>
      </c>
    </row>
    <row r="105" spans="2:6" s="61" customFormat="1" ht="15.6" x14ac:dyDescent="0.35">
      <c r="B105" s="63" t="s">
        <v>227</v>
      </c>
      <c r="C105" s="68">
        <f t="shared" ref="C105:F105" si="20">C96/C$98</f>
        <v>3.3432790433550838E-2</v>
      </c>
      <c r="D105" s="68">
        <f t="shared" si="20"/>
        <v>4.725061451212377E-2</v>
      </c>
      <c r="E105" s="68">
        <f t="shared" si="20"/>
        <v>0.14213852559272758</v>
      </c>
      <c r="F105" s="68">
        <f t="shared" si="20"/>
        <v>3.7755429322116783E-3</v>
      </c>
    </row>
    <row r="106" spans="2:6" s="61" customFormat="1" ht="15.6" x14ac:dyDescent="0.35">
      <c r="B106" s="63" t="s">
        <v>29</v>
      </c>
      <c r="C106" s="68">
        <f t="shared" ref="C106:F106" si="21">C97/C$98</f>
        <v>0.30898520782742495</v>
      </c>
      <c r="D106" s="68">
        <f t="shared" si="21"/>
        <v>0.17096620028106893</v>
      </c>
      <c r="E106" s="68">
        <f t="shared" si="21"/>
        <v>0.25941341467488233</v>
      </c>
      <c r="F106" s="68">
        <f t="shared" si="21"/>
        <v>0.70195920187935723</v>
      </c>
    </row>
    <row r="107" spans="2:6" s="61" customFormat="1" ht="15.6" x14ac:dyDescent="0.35">
      <c r="B107" s="103" t="s">
        <v>229</v>
      </c>
      <c r="C107" s="67"/>
      <c r="D107" s="67"/>
      <c r="E107" s="67"/>
      <c r="F107" s="67"/>
    </row>
    <row r="108" spans="2:6" s="61" customFormat="1" ht="15.6" x14ac:dyDescent="0.35">
      <c r="C108" s="67"/>
      <c r="D108" s="67"/>
      <c r="E108" s="67"/>
      <c r="F108" s="67"/>
    </row>
    <row r="109" spans="2:6" s="61" customFormat="1" ht="15.6" x14ac:dyDescent="0.35">
      <c r="C109" s="67"/>
      <c r="D109" s="67"/>
      <c r="E109" s="67"/>
      <c r="F109" s="67"/>
    </row>
    <row r="110" spans="2:6" s="61" customFormat="1" ht="15.6" x14ac:dyDescent="0.35"/>
    <row r="111" spans="2:6" s="61" customFormat="1" ht="15.6" x14ac:dyDescent="0.35"/>
    <row r="112" spans="2:6" s="61" customFormat="1" ht="15.6" x14ac:dyDescent="0.35"/>
    <row r="113" spans="2:13" s="61" customFormat="1" ht="15.6" x14ac:dyDescent="0.35"/>
    <row r="114" spans="2:13" s="61" customFormat="1" ht="15.6" x14ac:dyDescent="0.35"/>
    <row r="115" spans="2:13" s="61" customFormat="1" ht="15.6" x14ac:dyDescent="0.35"/>
    <row r="116" spans="2:13" s="61" customFormat="1" ht="24" x14ac:dyDescent="0.55000000000000004">
      <c r="B116" s="58" t="s">
        <v>25</v>
      </c>
      <c r="C116" s="59"/>
      <c r="D116" s="59"/>
      <c r="E116" s="59"/>
      <c r="F116" s="60"/>
      <c r="G116" s="60"/>
      <c r="H116" s="59"/>
    </row>
    <row r="117" spans="2:13" s="61" customFormat="1" ht="16.2" thickBot="1" x14ac:dyDescent="0.4">
      <c r="E117" s="18">
        <v>2021</v>
      </c>
      <c r="F117" s="18">
        <f t="shared" ref="F117:G117" si="22">E117+1</f>
        <v>2022</v>
      </c>
      <c r="G117" s="18">
        <f t="shared" si="22"/>
        <v>2023</v>
      </c>
      <c r="H117" s="18">
        <f>G117+1</f>
        <v>2024</v>
      </c>
    </row>
    <row r="118" spans="2:13" s="61" customFormat="1" ht="16.2" thickTop="1" x14ac:dyDescent="0.35">
      <c r="E118" s="26"/>
      <c r="F118" s="26"/>
      <c r="G118" s="26"/>
      <c r="H118" s="26"/>
    </row>
    <row r="119" spans="2:13" s="61" customFormat="1" ht="15.6" x14ac:dyDescent="0.35">
      <c r="M119" s="75"/>
    </row>
    <row r="120" spans="2:13" s="61" customFormat="1" ht="15.6" x14ac:dyDescent="0.35">
      <c r="M120" s="75"/>
    </row>
    <row r="121" spans="2:13" s="61" customFormat="1" ht="15.6" x14ac:dyDescent="0.35">
      <c r="M121" s="75"/>
    </row>
    <row r="122" spans="2:13" s="61" customFormat="1" ht="15.6" x14ac:dyDescent="0.35">
      <c r="B122" s="74" t="s">
        <v>119</v>
      </c>
      <c r="C122" s="75"/>
      <c r="D122" s="75"/>
      <c r="E122" s="61">
        <v>38459092</v>
      </c>
      <c r="F122" s="61">
        <v>82540518</v>
      </c>
      <c r="G122" s="61">
        <v>120741673</v>
      </c>
      <c r="H122" s="61">
        <v>160897007</v>
      </c>
      <c r="M122" s="75"/>
    </row>
    <row r="123" spans="2:13" s="61" customFormat="1" ht="15.6" x14ac:dyDescent="0.35">
      <c r="B123" s="74" t="s">
        <v>120</v>
      </c>
      <c r="C123" s="75"/>
      <c r="D123" s="75"/>
      <c r="E123" s="61">
        <v>15065784</v>
      </c>
      <c r="F123" s="61">
        <v>21969449</v>
      </c>
      <c r="G123" s="61">
        <v>28785160</v>
      </c>
      <c r="H123" s="61">
        <v>55776645</v>
      </c>
      <c r="M123" s="75"/>
    </row>
    <row r="124" spans="2:13" s="61" customFormat="1" ht="15.6" x14ac:dyDescent="0.35">
      <c r="B124" s="74" t="s">
        <v>121</v>
      </c>
      <c r="C124" s="75"/>
      <c r="D124" s="75"/>
      <c r="E124" s="61">
        <v>4825356</v>
      </c>
      <c r="F124" s="61">
        <v>6038309</v>
      </c>
      <c r="G124" s="61">
        <v>9112914</v>
      </c>
      <c r="H124" s="61">
        <v>11778482</v>
      </c>
      <c r="M124" s="75"/>
    </row>
    <row r="125" spans="2:13" s="61" customFormat="1" ht="15.6" x14ac:dyDescent="0.35">
      <c r="M125" s="75"/>
    </row>
    <row r="126" spans="2:13" s="61" customFormat="1" ht="15.6" x14ac:dyDescent="0.35">
      <c r="M126" s="75"/>
    </row>
    <row r="127" spans="2:13" s="61" customFormat="1" ht="15.6" x14ac:dyDescent="0.35">
      <c r="B127" s="74" t="s">
        <v>124</v>
      </c>
      <c r="C127" s="75"/>
      <c r="D127" s="75"/>
      <c r="E127" s="61">
        <v>22415409</v>
      </c>
      <c r="F127" s="61">
        <v>36293445</v>
      </c>
      <c r="G127" s="61">
        <v>59861885</v>
      </c>
      <c r="H127" s="61">
        <v>105981107</v>
      </c>
      <c r="M127" s="75"/>
    </row>
    <row r="128" spans="2:13" s="61" customFormat="1" ht="15.6" x14ac:dyDescent="0.35">
      <c r="B128" s="74" t="s">
        <v>125</v>
      </c>
      <c r="C128" s="75"/>
      <c r="D128" s="75"/>
      <c r="E128" s="73">
        <v>0</v>
      </c>
      <c r="F128" s="73">
        <v>0</v>
      </c>
      <c r="G128" s="61">
        <v>138065806</v>
      </c>
      <c r="H128" s="61">
        <v>248648491</v>
      </c>
    </row>
    <row r="129" spans="2:10" s="61" customFormat="1" ht="15.6" x14ac:dyDescent="0.35">
      <c r="B129" s="74" t="s">
        <v>29</v>
      </c>
      <c r="C129" s="75"/>
      <c r="D129" s="75"/>
      <c r="E129" s="61">
        <v>378031600</v>
      </c>
      <c r="F129" s="61">
        <v>739895705</v>
      </c>
      <c r="G129" s="61">
        <v>183017463</v>
      </c>
      <c r="H129" s="61">
        <v>335447200</v>
      </c>
    </row>
    <row r="130" spans="2:10" s="61" customFormat="1" ht="15.6" x14ac:dyDescent="0.35">
      <c r="B130" s="74" t="s">
        <v>110</v>
      </c>
      <c r="C130" s="75"/>
      <c r="D130" s="75"/>
      <c r="E130" s="61">
        <v>8614760</v>
      </c>
      <c r="F130" s="61">
        <v>10855548</v>
      </c>
      <c r="G130" s="61">
        <v>16730355</v>
      </c>
      <c r="H130" s="61">
        <v>23383269</v>
      </c>
    </row>
    <row r="131" spans="2:10" s="61" customFormat="1" ht="15.6" x14ac:dyDescent="0.35">
      <c r="B131" s="74" t="s">
        <v>111</v>
      </c>
      <c r="C131" s="75"/>
      <c r="D131" s="75"/>
      <c r="E131" s="61">
        <v>2948766</v>
      </c>
      <c r="F131" s="61">
        <v>601819</v>
      </c>
      <c r="G131" s="61">
        <v>7500183</v>
      </c>
      <c r="H131" s="61">
        <v>7995187</v>
      </c>
    </row>
    <row r="132" spans="2:10" s="61" customFormat="1" ht="15.6" x14ac:dyDescent="0.35">
      <c r="B132" s="74" t="s">
        <v>106</v>
      </c>
      <c r="C132" s="75"/>
      <c r="D132" s="75"/>
      <c r="E132" s="73"/>
      <c r="F132" s="61">
        <v>1262808</v>
      </c>
      <c r="G132" s="61">
        <v>2190209</v>
      </c>
      <c r="H132" s="61">
        <v>3159702</v>
      </c>
    </row>
    <row r="133" spans="2:10" s="61" customFormat="1" ht="16.2" thickBot="1" x14ac:dyDescent="0.4">
      <c r="B133" s="62" t="s">
        <v>115</v>
      </c>
      <c r="C133" s="75"/>
      <c r="D133" s="75"/>
      <c r="E133" s="65">
        <f>SUM(E119:E132)</f>
        <v>470360767</v>
      </c>
      <c r="F133" s="65">
        <f>SUM(F119:F132)</f>
        <v>899457601</v>
      </c>
      <c r="G133" s="65">
        <f>SUM(G119:G132)</f>
        <v>566005648</v>
      </c>
      <c r="H133" s="65">
        <f>SUM(H119:H132)</f>
        <v>953067090</v>
      </c>
      <c r="J133" s="61">
        <f>H133+H156</f>
        <v>3760432588</v>
      </c>
    </row>
    <row r="134" spans="2:10" s="61" customFormat="1" ht="15.6" x14ac:dyDescent="0.35">
      <c r="B134" s="75"/>
      <c r="C134" s="75"/>
      <c r="D134" s="75"/>
      <c r="E134" s="75"/>
      <c r="F134" s="75"/>
      <c r="G134" s="75"/>
      <c r="H134" s="75"/>
    </row>
    <row r="135" spans="2:10" s="61" customFormat="1" ht="15.6" x14ac:dyDescent="0.35">
      <c r="B135" s="75"/>
      <c r="C135" s="75"/>
      <c r="D135" s="75"/>
      <c r="E135" s="75"/>
      <c r="F135" s="75"/>
    </row>
    <row r="136" spans="2:10" s="61" customFormat="1" ht="24" x14ac:dyDescent="0.55000000000000004">
      <c r="B136" s="58" t="s">
        <v>31</v>
      </c>
      <c r="C136" s="59"/>
      <c r="D136" s="59"/>
      <c r="E136" s="59"/>
      <c r="F136" s="60"/>
      <c r="G136" s="60"/>
      <c r="H136" s="59"/>
    </row>
    <row r="137" spans="2:10" s="61" customFormat="1" ht="16.2" thickBot="1" x14ac:dyDescent="0.4">
      <c r="E137" s="18">
        <v>2021</v>
      </c>
      <c r="F137" s="18">
        <f t="shared" ref="F137:G137" si="23">E137+1</f>
        <v>2022</v>
      </c>
      <c r="G137" s="18">
        <f t="shared" si="23"/>
        <v>2023</v>
      </c>
      <c r="H137" s="18">
        <f>G137+1</f>
        <v>2024</v>
      </c>
    </row>
    <row r="138" spans="2:10" s="61" customFormat="1" ht="16.2" thickTop="1" x14ac:dyDescent="0.35"/>
    <row r="139" spans="2:10" s="61" customFormat="1" ht="15.6" x14ac:dyDescent="0.35"/>
    <row r="140" spans="2:10" s="61" customFormat="1" ht="15.6" x14ac:dyDescent="0.35"/>
    <row r="141" spans="2:10" s="61" customFormat="1" ht="15.6" x14ac:dyDescent="0.35">
      <c r="B141" s="74" t="s">
        <v>130</v>
      </c>
      <c r="C141" s="75"/>
      <c r="D141" s="75"/>
      <c r="E141" s="61">
        <v>118787546</v>
      </c>
      <c r="F141" s="61">
        <v>177444173</v>
      </c>
      <c r="G141" s="61">
        <v>291259618</v>
      </c>
      <c r="H141" s="61">
        <v>395975978</v>
      </c>
    </row>
    <row r="142" spans="2:10" s="61" customFormat="1" ht="15.6" x14ac:dyDescent="0.35">
      <c r="B142" s="74" t="s">
        <v>131</v>
      </c>
      <c r="C142" s="75"/>
      <c r="D142" s="75"/>
      <c r="E142" s="61">
        <v>94650735</v>
      </c>
      <c r="F142" s="61">
        <v>152854330</v>
      </c>
      <c r="G142" s="61">
        <v>287036524</v>
      </c>
      <c r="H142" s="61">
        <v>50096087</v>
      </c>
    </row>
    <row r="143" spans="2:10" s="61" customFormat="1" ht="15.6" x14ac:dyDescent="0.35">
      <c r="B143" s="74" t="s">
        <v>124</v>
      </c>
      <c r="C143" s="75"/>
      <c r="D143" s="75"/>
      <c r="E143" s="61">
        <v>59934228</v>
      </c>
      <c r="F143" s="73"/>
      <c r="G143" s="61">
        <v>218550065</v>
      </c>
      <c r="H143" s="61">
        <v>276856866</v>
      </c>
    </row>
    <row r="144" spans="2:10" s="61" customFormat="1" ht="15.6" x14ac:dyDescent="0.35">
      <c r="B144" s="74" t="s">
        <v>132</v>
      </c>
      <c r="C144" s="75"/>
      <c r="D144" s="75"/>
      <c r="E144" s="61">
        <v>12757725</v>
      </c>
      <c r="F144" s="61">
        <v>15020462</v>
      </c>
      <c r="G144" s="61">
        <v>21703666</v>
      </c>
      <c r="H144" s="61">
        <v>33515391</v>
      </c>
    </row>
    <row r="145" spans="2:8" s="61" customFormat="1" ht="15.6" x14ac:dyDescent="0.35"/>
    <row r="146" spans="2:8" s="61" customFormat="1" ht="15.6" x14ac:dyDescent="0.35">
      <c r="B146" s="74" t="s">
        <v>120</v>
      </c>
      <c r="C146" s="75"/>
      <c r="D146" s="75"/>
      <c r="E146" s="61">
        <v>17849970</v>
      </c>
      <c r="F146" s="61">
        <v>22321215</v>
      </c>
      <c r="G146" s="61">
        <v>32894835</v>
      </c>
      <c r="H146" s="61">
        <v>47222476</v>
      </c>
    </row>
    <row r="147" spans="2:8" s="61" customFormat="1" ht="15.6" x14ac:dyDescent="0.35">
      <c r="B147" s="74" t="s">
        <v>136</v>
      </c>
      <c r="C147" s="75"/>
      <c r="D147" s="75"/>
      <c r="E147" s="61">
        <v>71691987</v>
      </c>
      <c r="F147" s="73"/>
      <c r="G147" s="73"/>
      <c r="H147" s="73"/>
    </row>
    <row r="148" spans="2:8" s="61" customFormat="1" ht="15.6" x14ac:dyDescent="0.35">
      <c r="B148" s="74" t="s">
        <v>133</v>
      </c>
      <c r="C148" s="75"/>
      <c r="D148" s="75"/>
      <c r="E148" s="73"/>
      <c r="F148" s="73"/>
      <c r="G148" s="61">
        <v>217107823</v>
      </c>
      <c r="H148" s="61">
        <v>403878006</v>
      </c>
    </row>
    <row r="149" spans="2:8" s="61" customFormat="1" ht="15.6" x14ac:dyDescent="0.35"/>
    <row r="150" spans="2:8" s="61" customFormat="1" ht="15.6" x14ac:dyDescent="0.35">
      <c r="B150" s="74" t="s">
        <v>135</v>
      </c>
      <c r="C150" s="75"/>
      <c r="D150" s="75"/>
      <c r="E150" s="73"/>
      <c r="F150" s="73"/>
      <c r="G150" s="61">
        <v>201698083</v>
      </c>
      <c r="H150" s="61">
        <v>130099216</v>
      </c>
    </row>
    <row r="151" spans="2:8" s="61" customFormat="1" ht="15.6" x14ac:dyDescent="0.35">
      <c r="B151" s="74" t="s">
        <v>29</v>
      </c>
      <c r="C151" s="75"/>
      <c r="D151" s="75"/>
      <c r="E151" s="61">
        <v>501768280</v>
      </c>
      <c r="F151" s="61">
        <v>703135421</v>
      </c>
      <c r="G151" s="61">
        <v>1239002512</v>
      </c>
      <c r="H151" s="61">
        <v>814544132</v>
      </c>
    </row>
    <row r="152" spans="2:8" s="61" customFormat="1" ht="15.6" x14ac:dyDescent="0.35">
      <c r="B152" s="74" t="s">
        <v>128</v>
      </c>
      <c r="C152" s="75"/>
      <c r="D152" s="75"/>
      <c r="E152" s="61">
        <v>136733816</v>
      </c>
      <c r="F152" s="61">
        <v>193482966</v>
      </c>
      <c r="G152" s="61">
        <v>307874621</v>
      </c>
      <c r="H152" s="61">
        <v>469249256</v>
      </c>
    </row>
    <row r="153" spans="2:8" s="61" customFormat="1" ht="15.6" x14ac:dyDescent="0.35">
      <c r="B153" s="74" t="s">
        <v>129</v>
      </c>
      <c r="C153" s="75"/>
      <c r="D153" s="75"/>
      <c r="E153" s="73"/>
      <c r="F153" s="73"/>
      <c r="G153" s="73"/>
      <c r="H153" s="61">
        <v>1472753</v>
      </c>
    </row>
    <row r="154" spans="2:8" s="61" customFormat="1" ht="15.6" x14ac:dyDescent="0.35">
      <c r="B154" s="74" t="s">
        <v>105</v>
      </c>
      <c r="C154" s="75"/>
      <c r="D154" s="75"/>
      <c r="E154" s="61">
        <v>20024896</v>
      </c>
      <c r="F154" s="61">
        <v>60581149</v>
      </c>
      <c r="G154" s="61">
        <v>77967594</v>
      </c>
      <c r="H154" s="61">
        <v>120937603</v>
      </c>
    </row>
    <row r="155" spans="2:8" s="61" customFormat="1" ht="15.6" x14ac:dyDescent="0.35">
      <c r="B155" s="74" t="s">
        <v>106</v>
      </c>
      <c r="C155" s="75"/>
      <c r="D155" s="75"/>
      <c r="E155" s="61">
        <v>39943859</v>
      </c>
      <c r="F155" s="61">
        <v>31692498</v>
      </c>
      <c r="G155" s="61">
        <v>48019608</v>
      </c>
      <c r="H155" s="61">
        <v>63517734</v>
      </c>
    </row>
    <row r="156" spans="2:8" s="61" customFormat="1" ht="16.2" thickBot="1" x14ac:dyDescent="0.4">
      <c r="B156" s="62" t="s">
        <v>115</v>
      </c>
      <c r="E156" s="65">
        <f>SUM(E139:E155)</f>
        <v>1074143042</v>
      </c>
      <c r="F156" s="65">
        <f>SUM(F139:F155)</f>
        <v>1356532214</v>
      </c>
      <c r="G156" s="65">
        <f t="shared" ref="G156:H156" si="24">SUM(G139:G155)</f>
        <v>2943114949</v>
      </c>
      <c r="H156" s="65">
        <f t="shared" si="24"/>
        <v>2807365498</v>
      </c>
    </row>
    <row r="157" spans="2:8" s="61" customFormat="1" ht="15.6" x14ac:dyDescent="0.35"/>
    <row r="158" spans="2:8" s="61" customFormat="1" ht="15.6" x14ac:dyDescent="0.35"/>
    <row r="159" spans="2:8" s="61" customFormat="1" ht="15.6" x14ac:dyDescent="0.35"/>
    <row r="160" spans="2:8" s="61" customFormat="1" ht="15.6" x14ac:dyDescent="0.35"/>
    <row r="161" s="61" customFormat="1" ht="15.6" x14ac:dyDescent="0.35"/>
    <row r="162" s="61" customFormat="1" ht="15.6" x14ac:dyDescent="0.35"/>
    <row r="163" s="61" customFormat="1" ht="15.6" x14ac:dyDescent="0.35"/>
    <row r="164" s="61" customFormat="1" ht="15.6" x14ac:dyDescent="0.35"/>
    <row r="165" s="61" customFormat="1" ht="15.6" x14ac:dyDescent="0.35"/>
    <row r="166" s="61" customFormat="1" ht="15.6" x14ac:dyDescent="0.35"/>
    <row r="167" s="61" customFormat="1" ht="15.6" x14ac:dyDescent="0.35"/>
    <row r="168" s="61" customFormat="1" ht="15.6" x14ac:dyDescent="0.35"/>
    <row r="169" s="61" customFormat="1" ht="15.6" x14ac:dyDescent="0.35"/>
    <row r="170" s="61" customFormat="1" ht="15.6" x14ac:dyDescent="0.35"/>
    <row r="171" s="61" customFormat="1" ht="15.6" x14ac:dyDescent="0.35"/>
    <row r="172" s="61" customFormat="1" ht="15.6" x14ac:dyDescent="0.35"/>
    <row r="173" s="61" customFormat="1" ht="15.6" x14ac:dyDescent="0.35"/>
    <row r="174" s="61" customFormat="1" ht="15.6" x14ac:dyDescent="0.35"/>
    <row r="175" s="61" customFormat="1" ht="15.6" x14ac:dyDescent="0.35"/>
    <row r="176" s="61" customFormat="1" ht="15.6" x14ac:dyDescent="0.35"/>
    <row r="177" s="61" customFormat="1" ht="15.6" x14ac:dyDescent="0.35"/>
    <row r="178" s="61" customFormat="1" ht="15.6" x14ac:dyDescent="0.35"/>
    <row r="179" s="61" customFormat="1" ht="15.6" x14ac:dyDescent="0.35"/>
    <row r="180" s="61" customFormat="1" ht="15.6" x14ac:dyDescent="0.35"/>
    <row r="181" s="61" customFormat="1" ht="15.6" x14ac:dyDescent="0.35"/>
    <row r="182" s="61" customFormat="1" ht="15.6" x14ac:dyDescent="0.35"/>
    <row r="183" s="61" customFormat="1" ht="15.6" x14ac:dyDescent="0.35"/>
    <row r="184" s="61" customFormat="1" ht="15.6" x14ac:dyDescent="0.35"/>
    <row r="185" s="61" customFormat="1" ht="15.6" x14ac:dyDescent="0.35"/>
    <row r="186" s="61" customFormat="1" ht="15.6" x14ac:dyDescent="0.35"/>
    <row r="187" s="61" customFormat="1" ht="15.6" x14ac:dyDescent="0.35"/>
    <row r="188" s="61" customFormat="1" ht="15.6" x14ac:dyDescent="0.35"/>
    <row r="189" s="61" customFormat="1" ht="15.6" x14ac:dyDescent="0.35"/>
    <row r="190" s="61" customFormat="1" ht="15.6" x14ac:dyDescent="0.35"/>
    <row r="191" s="61" customFormat="1" ht="15.6" x14ac:dyDescent="0.35"/>
    <row r="192" s="61" customFormat="1" ht="15.6" x14ac:dyDescent="0.35"/>
    <row r="193" s="61" customFormat="1" ht="15.6" x14ac:dyDescent="0.35"/>
    <row r="194" s="61" customFormat="1" ht="15.6" x14ac:dyDescent="0.35"/>
    <row r="195" s="61" customFormat="1" ht="15.6" x14ac:dyDescent="0.35"/>
    <row r="196" s="61" customFormat="1" ht="15.6" x14ac:dyDescent="0.35"/>
    <row r="197" s="61" customFormat="1" ht="15.6" x14ac:dyDescent="0.35"/>
    <row r="198" s="61" customFormat="1" ht="15.6" x14ac:dyDescent="0.35"/>
    <row r="199" s="61" customFormat="1" ht="15.6" x14ac:dyDescent="0.35"/>
    <row r="200" s="61" customFormat="1" ht="15.6" x14ac:dyDescent="0.35"/>
    <row r="201" s="61" customFormat="1" ht="15.6" x14ac:dyDescent="0.35"/>
    <row r="202" s="61" customFormat="1" ht="15.6" x14ac:dyDescent="0.35"/>
    <row r="203" s="61" customFormat="1" ht="15.6" x14ac:dyDescent="0.35"/>
    <row r="204" s="61" customFormat="1" ht="15.6" x14ac:dyDescent="0.35"/>
    <row r="205" s="61" customFormat="1" ht="15.6" x14ac:dyDescent="0.35"/>
    <row r="206" s="61" customFormat="1" ht="15.6" x14ac:dyDescent="0.35"/>
    <row r="207" s="61" customFormat="1" ht="15.6" x14ac:dyDescent="0.35"/>
    <row r="208" s="61" customFormat="1" ht="15.6" x14ac:dyDescent="0.35"/>
    <row r="209" s="61" customFormat="1" ht="15.6" x14ac:dyDescent="0.35"/>
    <row r="210" s="61" customFormat="1" ht="15.6" x14ac:dyDescent="0.35"/>
    <row r="211" s="61" customFormat="1" ht="15.6" x14ac:dyDescent="0.35"/>
    <row r="212" s="61" customFormat="1" ht="15.6" x14ac:dyDescent="0.35"/>
    <row r="213" s="61" customFormat="1" ht="15.6" x14ac:dyDescent="0.35"/>
    <row r="214" s="61" customFormat="1" ht="15.6" x14ac:dyDescent="0.35"/>
    <row r="215" s="61" customFormat="1" ht="15.6" x14ac:dyDescent="0.35"/>
    <row r="216" s="61" customFormat="1" ht="15.6" x14ac:dyDescent="0.35"/>
    <row r="217" s="61" customFormat="1" ht="15.6" x14ac:dyDescent="0.35"/>
    <row r="218" s="61" customFormat="1" ht="15.6" x14ac:dyDescent="0.35"/>
    <row r="219" s="61" customFormat="1" ht="15.6" x14ac:dyDescent="0.35"/>
    <row r="220" s="61" customFormat="1" ht="15.6" x14ac:dyDescent="0.35"/>
    <row r="221" s="61" customFormat="1" ht="15.6" x14ac:dyDescent="0.35"/>
    <row r="222" s="61" customFormat="1" ht="15.6" x14ac:dyDescent="0.35"/>
    <row r="223" s="61" customFormat="1" ht="15.6" x14ac:dyDescent="0.35"/>
    <row r="224" s="61" customFormat="1" ht="15.6" x14ac:dyDescent="0.35"/>
    <row r="225" s="61" customFormat="1" ht="15.6" x14ac:dyDescent="0.35"/>
    <row r="226" s="61" customFormat="1" ht="15.6" x14ac:dyDescent="0.35"/>
    <row r="227" s="61" customFormat="1" ht="15.6" x14ac:dyDescent="0.35"/>
    <row r="228" s="61" customFormat="1" ht="15.6" x14ac:dyDescent="0.35"/>
    <row r="229" s="61" customFormat="1" ht="15.6" x14ac:dyDescent="0.35"/>
    <row r="230" s="61" customFormat="1" ht="15.6" x14ac:dyDescent="0.35"/>
    <row r="231" s="61" customFormat="1" ht="15.6" x14ac:dyDescent="0.35"/>
    <row r="232" s="61" customFormat="1" ht="15.6" x14ac:dyDescent="0.35"/>
    <row r="233" s="61" customFormat="1" ht="15.6" x14ac:dyDescent="0.35"/>
    <row r="234" s="61" customFormat="1" ht="15.6" x14ac:dyDescent="0.35"/>
    <row r="235" s="61" customFormat="1" ht="15.6" x14ac:dyDescent="0.35"/>
    <row r="236" s="61" customFormat="1" ht="15.6" x14ac:dyDescent="0.35"/>
    <row r="237" s="61" customFormat="1" ht="15.6" x14ac:dyDescent="0.35"/>
    <row r="238" s="61" customFormat="1" ht="15.6" x14ac:dyDescent="0.35"/>
    <row r="239" s="61" customFormat="1" ht="15.6" x14ac:dyDescent="0.35"/>
    <row r="240" s="61" customFormat="1" ht="15.6" x14ac:dyDescent="0.35"/>
    <row r="241" s="61" customFormat="1" ht="15.6" x14ac:dyDescent="0.35"/>
    <row r="242" s="61" customFormat="1" ht="15.6" x14ac:dyDescent="0.35"/>
    <row r="243" s="61" customFormat="1" ht="15.6" x14ac:dyDescent="0.35"/>
    <row r="244" s="61" customFormat="1" ht="15.6" x14ac:dyDescent="0.35"/>
    <row r="245" s="61" customFormat="1" ht="15.6" x14ac:dyDescent="0.35"/>
    <row r="246" s="61" customFormat="1" ht="15.6" x14ac:dyDescent="0.35"/>
    <row r="247" s="61" customFormat="1" ht="15.6" x14ac:dyDescent="0.35"/>
    <row r="248" s="61" customFormat="1" ht="15.6" x14ac:dyDescent="0.35"/>
    <row r="249" s="61" customFormat="1" ht="15.6" x14ac:dyDescent="0.35"/>
    <row r="250" s="61" customFormat="1" ht="15.6" x14ac:dyDescent="0.35"/>
    <row r="251" s="61" customFormat="1" ht="15.6" x14ac:dyDescent="0.35"/>
    <row r="252" s="61" customFormat="1" ht="15.6" x14ac:dyDescent="0.35"/>
    <row r="253" s="61" customFormat="1" ht="15.6" x14ac:dyDescent="0.35"/>
    <row r="254" s="61" customFormat="1" ht="15.6" x14ac:dyDescent="0.35"/>
    <row r="255" s="61" customFormat="1" ht="15.6" x14ac:dyDescent="0.35"/>
    <row r="256" s="61" customFormat="1" ht="15.6" x14ac:dyDescent="0.35"/>
    <row r="257" s="61" customFormat="1" ht="15.6" x14ac:dyDescent="0.35"/>
    <row r="258" s="61" customFormat="1" ht="15.6" x14ac:dyDescent="0.35"/>
    <row r="259" s="61" customFormat="1" ht="15.6" x14ac:dyDescent="0.35"/>
    <row r="260" s="61" customFormat="1" ht="15.6" x14ac:dyDescent="0.35"/>
    <row r="261" s="61" customFormat="1" ht="15.6" x14ac:dyDescent="0.35"/>
    <row r="262" s="61" customFormat="1" ht="15.6" x14ac:dyDescent="0.35"/>
    <row r="263" s="61" customFormat="1" ht="15.6" x14ac:dyDescent="0.3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7EEBD-2812-4393-A08E-E36270B31753}">
  <dimension ref="B2:S98"/>
  <sheetViews>
    <sheetView topLeftCell="A43" zoomScale="54" workbookViewId="0">
      <selection activeCell="B2" sqref="B2:E63"/>
    </sheetView>
  </sheetViews>
  <sheetFormatPr defaultRowHeight="15.6" x14ac:dyDescent="0.35"/>
  <cols>
    <col min="1" max="1" width="8.88671875" style="75"/>
    <col min="2" max="2" width="39.88671875" style="75" bestFit="1" customWidth="1"/>
    <col min="3" max="3" width="19.77734375" style="75" bestFit="1" customWidth="1"/>
    <col min="4" max="4" width="9" style="75" bestFit="1" customWidth="1"/>
    <col min="5" max="5" width="9.44140625" style="75" bestFit="1" customWidth="1"/>
    <col min="6" max="6" width="8.88671875" style="75"/>
    <col min="7" max="7" width="48.6640625" style="75" bestFit="1" customWidth="1"/>
    <col min="8" max="8" width="7.109375" style="75" bestFit="1" customWidth="1"/>
    <col min="9" max="11" width="9" style="75" bestFit="1" customWidth="1"/>
    <col min="12" max="12" width="50.33203125" style="75" bestFit="1" customWidth="1"/>
    <col min="13" max="13" width="9.21875" style="75" customWidth="1"/>
    <col min="14" max="15" width="9" style="75" bestFit="1" customWidth="1"/>
    <col min="16" max="16384" width="8.88671875" style="75"/>
  </cols>
  <sheetData>
    <row r="2" spans="2:5" ht="16.2" thickBot="1" x14ac:dyDescent="0.4">
      <c r="B2" s="97" t="s">
        <v>225</v>
      </c>
      <c r="C2" s="99"/>
      <c r="D2" s="99"/>
      <c r="E2" s="99"/>
    </row>
    <row r="3" spans="2:5" x14ac:dyDescent="0.35">
      <c r="B3" s="96"/>
      <c r="C3" s="100" t="s">
        <v>168</v>
      </c>
      <c r="D3" s="100" t="s">
        <v>222</v>
      </c>
      <c r="E3" s="100"/>
    </row>
    <row r="4" spans="2:5" x14ac:dyDescent="0.35">
      <c r="B4" s="63" t="s">
        <v>207</v>
      </c>
      <c r="C4" s="61">
        <v>46108991</v>
      </c>
      <c r="D4" s="61">
        <f>11598916</f>
        <v>11598916</v>
      </c>
      <c r="E4" s="61">
        <f>321070</f>
        <v>321070</v>
      </c>
    </row>
    <row r="5" spans="2:5" x14ac:dyDescent="0.35">
      <c r="B5" s="63" t="s">
        <v>210</v>
      </c>
      <c r="C5" s="61">
        <v>52777895</v>
      </c>
      <c r="D5" s="61">
        <f>4489057</f>
        <v>4489057</v>
      </c>
      <c r="E5" s="61">
        <v>0</v>
      </c>
    </row>
    <row r="6" spans="2:5" x14ac:dyDescent="0.35">
      <c r="B6" s="63" t="s">
        <v>227</v>
      </c>
      <c r="C6" s="61">
        <v>13379503</v>
      </c>
      <c r="D6" s="61">
        <f>2981143+8231289</f>
        <v>11212432</v>
      </c>
      <c r="E6" s="61">
        <f>1801+6545</f>
        <v>8346</v>
      </c>
    </row>
    <row r="7" spans="2:5" x14ac:dyDescent="0.35">
      <c r="B7" s="63" t="s">
        <v>211</v>
      </c>
      <c r="C7" s="61">
        <v>1208510</v>
      </c>
      <c r="D7" s="61">
        <v>0</v>
      </c>
      <c r="E7" s="61">
        <v>0</v>
      </c>
    </row>
    <row r="8" spans="2:5" x14ac:dyDescent="0.35">
      <c r="B8" s="63" t="s">
        <v>29</v>
      </c>
      <c r="C8" s="61">
        <v>14427574</v>
      </c>
      <c r="D8" s="96">
        <f>453330+318715+557930</f>
        <v>1329975</v>
      </c>
      <c r="E8" s="96">
        <f>1551711</f>
        <v>1551711</v>
      </c>
    </row>
    <row r="9" spans="2:5" ht="16.2" thickBot="1" x14ac:dyDescent="0.4">
      <c r="B9" s="103" t="s">
        <v>115</v>
      </c>
      <c r="C9" s="65">
        <f>SUM(C4:C8)</f>
        <v>127902473</v>
      </c>
      <c r="D9" s="65">
        <f t="shared" ref="D9:E9" si="0">SUM(D4:D8)</f>
        <v>28630380</v>
      </c>
      <c r="E9" s="65">
        <f t="shared" si="0"/>
        <v>1881127</v>
      </c>
    </row>
    <row r="10" spans="2:5" x14ac:dyDescent="0.35">
      <c r="B10" s="98"/>
      <c r="C10" s="96"/>
      <c r="D10" s="96"/>
      <c r="E10" s="96"/>
    </row>
    <row r="11" spans="2:5" x14ac:dyDescent="0.35">
      <c r="B11" s="104" t="s">
        <v>223</v>
      </c>
      <c r="C11" s="82">
        <v>50.7</v>
      </c>
      <c r="D11" s="82">
        <v>3.75</v>
      </c>
      <c r="E11" s="82">
        <v>3.75</v>
      </c>
    </row>
    <row r="12" spans="2:5" x14ac:dyDescent="0.35">
      <c r="B12" s="98"/>
      <c r="C12" s="96"/>
      <c r="D12" s="96"/>
      <c r="E12" s="96"/>
    </row>
    <row r="13" spans="2:5" x14ac:dyDescent="0.35">
      <c r="B13" s="103"/>
      <c r="C13" s="96"/>
      <c r="D13" s="96"/>
      <c r="E13" s="96"/>
    </row>
    <row r="14" spans="2:5" x14ac:dyDescent="0.35">
      <c r="B14" s="63" t="s">
        <v>207</v>
      </c>
      <c r="C14" s="61">
        <f t="shared" ref="C14:E18" si="1">C4/C$11</f>
        <v>909447.55424063106</v>
      </c>
      <c r="D14" s="61">
        <f t="shared" si="1"/>
        <v>3093044.2666666666</v>
      </c>
      <c r="E14" s="61">
        <f t="shared" si="1"/>
        <v>85618.666666666672</v>
      </c>
    </row>
    <row r="15" spans="2:5" x14ac:dyDescent="0.35">
      <c r="B15" s="63" t="s">
        <v>210</v>
      </c>
      <c r="C15" s="61">
        <f t="shared" si="1"/>
        <v>1040984.1222879684</v>
      </c>
      <c r="D15" s="61">
        <f t="shared" si="1"/>
        <v>1197081.8666666667</v>
      </c>
      <c r="E15" s="61">
        <f t="shared" si="1"/>
        <v>0</v>
      </c>
    </row>
    <row r="16" spans="2:5" x14ac:dyDescent="0.35">
      <c r="B16" s="63" t="s">
        <v>227</v>
      </c>
      <c r="C16" s="61">
        <f t="shared" si="1"/>
        <v>263895.52268244576</v>
      </c>
      <c r="D16" s="61">
        <f t="shared" si="1"/>
        <v>2989981.8666666667</v>
      </c>
      <c r="E16" s="61">
        <f t="shared" si="1"/>
        <v>2225.6</v>
      </c>
    </row>
    <row r="17" spans="2:5" x14ac:dyDescent="0.35">
      <c r="B17" s="63" t="s">
        <v>211</v>
      </c>
      <c r="C17" s="61">
        <f t="shared" si="1"/>
        <v>23836.489151873768</v>
      </c>
      <c r="D17" s="61">
        <f t="shared" si="1"/>
        <v>0</v>
      </c>
      <c r="E17" s="61">
        <f t="shared" si="1"/>
        <v>0</v>
      </c>
    </row>
    <row r="18" spans="2:5" x14ac:dyDescent="0.35">
      <c r="B18" s="63" t="s">
        <v>29</v>
      </c>
      <c r="C18" s="61">
        <f t="shared" si="1"/>
        <v>284567.53451676527</v>
      </c>
      <c r="D18" s="61">
        <f t="shared" si="1"/>
        <v>354660</v>
      </c>
      <c r="E18" s="61">
        <f t="shared" si="1"/>
        <v>413789.6</v>
      </c>
    </row>
    <row r="19" spans="2:5" ht="16.2" thickBot="1" x14ac:dyDescent="0.4">
      <c r="B19" s="103" t="s">
        <v>115</v>
      </c>
      <c r="C19" s="65">
        <f>SUM(C14:C17)</f>
        <v>2238163.6883629188</v>
      </c>
      <c r="D19" s="65">
        <f>SUM(D14:D17)</f>
        <v>7280108</v>
      </c>
      <c r="E19" s="65">
        <f>SUM(E14:E17)</f>
        <v>87844.266666666677</v>
      </c>
    </row>
    <row r="20" spans="2:5" x14ac:dyDescent="0.35">
      <c r="B20" s="103"/>
      <c r="C20" s="96"/>
      <c r="D20" s="96"/>
      <c r="E20" s="96"/>
    </row>
    <row r="21" spans="2:5" x14ac:dyDescent="0.35">
      <c r="B21" s="63" t="s">
        <v>207</v>
      </c>
      <c r="C21" s="68">
        <f t="shared" ref="C21:E25" si="2">C14/C$19</f>
        <v>0.40633647975311266</v>
      </c>
      <c r="D21" s="68">
        <f t="shared" si="2"/>
        <v>0.42486241504475847</v>
      </c>
      <c r="E21" s="68">
        <f t="shared" si="2"/>
        <v>0.97466425431673021</v>
      </c>
    </row>
    <row r="22" spans="2:5" x14ac:dyDescent="0.35">
      <c r="B22" s="63" t="s">
        <v>210</v>
      </c>
      <c r="C22" s="68">
        <f t="shared" si="2"/>
        <v>0.46510634038986903</v>
      </c>
      <c r="D22" s="68">
        <f t="shared" si="2"/>
        <v>0.16443188297023434</v>
      </c>
      <c r="E22" s="68">
        <f t="shared" si="2"/>
        <v>0</v>
      </c>
    </row>
    <row r="23" spans="2:5" x14ac:dyDescent="0.35">
      <c r="B23" s="63" t="s">
        <v>227</v>
      </c>
      <c r="C23" s="68">
        <f t="shared" si="2"/>
        <v>0.11790715936217755</v>
      </c>
      <c r="D23" s="68">
        <f t="shared" si="2"/>
        <v>0.41070570198500717</v>
      </c>
      <c r="E23" s="68">
        <f t="shared" si="2"/>
        <v>2.5335745683269781E-2</v>
      </c>
    </row>
    <row r="24" spans="2:5" x14ac:dyDescent="0.35">
      <c r="B24" s="63" t="s">
        <v>211</v>
      </c>
      <c r="C24" s="68">
        <f t="shared" si="2"/>
        <v>1.0650020494840892E-2</v>
      </c>
      <c r="D24" s="68">
        <f t="shared" si="2"/>
        <v>0</v>
      </c>
      <c r="E24" s="68">
        <f t="shared" si="2"/>
        <v>0</v>
      </c>
    </row>
    <row r="25" spans="2:5" x14ac:dyDescent="0.35">
      <c r="B25" s="63" t="s">
        <v>29</v>
      </c>
      <c r="C25" s="68">
        <f t="shared" si="2"/>
        <v>0.1271433077019086</v>
      </c>
      <c r="D25" s="68">
        <f t="shared" si="2"/>
        <v>4.871631025254021E-2</v>
      </c>
      <c r="E25" s="68">
        <f t="shared" si="2"/>
        <v>4.7104906865483152</v>
      </c>
    </row>
    <row r="26" spans="2:5" x14ac:dyDescent="0.35">
      <c r="B26" s="103" t="s">
        <v>115</v>
      </c>
      <c r="C26" s="68"/>
      <c r="D26" s="68"/>
      <c r="E26" s="68"/>
    </row>
    <row r="27" spans="2:5" x14ac:dyDescent="0.35">
      <c r="B27" s="103"/>
      <c r="C27" s="68"/>
      <c r="D27" s="68"/>
      <c r="E27" s="68"/>
    </row>
    <row r="28" spans="2:5" x14ac:dyDescent="0.35">
      <c r="B28" s="103"/>
      <c r="C28" s="68"/>
      <c r="D28" s="68"/>
      <c r="E28" s="68"/>
    </row>
    <row r="29" spans="2:5" x14ac:dyDescent="0.35">
      <c r="B29" s="98"/>
      <c r="C29" s="68"/>
      <c r="D29" s="68"/>
      <c r="E29" s="68"/>
    </row>
    <row r="30" spans="2:5" ht="16.2" thickBot="1" x14ac:dyDescent="0.4">
      <c r="B30" s="97" t="s">
        <v>228</v>
      </c>
      <c r="C30" s="99"/>
      <c r="D30" s="99"/>
      <c r="E30" s="99"/>
    </row>
    <row r="31" spans="2:5" x14ac:dyDescent="0.35">
      <c r="B31" s="96"/>
      <c r="C31" s="100" t="s">
        <v>168</v>
      </c>
      <c r="D31" s="100" t="s">
        <v>222</v>
      </c>
      <c r="E31" s="100"/>
    </row>
    <row r="32" spans="2:5" x14ac:dyDescent="0.35">
      <c r="B32" s="63" t="s">
        <v>213</v>
      </c>
      <c r="C32" s="61">
        <v>104142626</v>
      </c>
      <c r="D32" s="61">
        <f>27027469</f>
        <v>27027469</v>
      </c>
      <c r="E32" s="61">
        <f>321070</f>
        <v>321070</v>
      </c>
    </row>
    <row r="33" spans="2:19" x14ac:dyDescent="0.35">
      <c r="B33" s="63" t="s">
        <v>208</v>
      </c>
      <c r="C33" s="61">
        <v>12296252</v>
      </c>
      <c r="D33" s="61">
        <f>512255</f>
        <v>512255</v>
      </c>
      <c r="E33" s="61">
        <v>0</v>
      </c>
    </row>
    <row r="34" spans="2:19" x14ac:dyDescent="0.35">
      <c r="B34" s="63" t="s">
        <v>212</v>
      </c>
      <c r="C34" s="61">
        <v>6044277</v>
      </c>
      <c r="D34" s="61">
        <f>3580181</f>
        <v>3580181</v>
      </c>
      <c r="E34" s="61">
        <f>1801+6545</f>
        <v>8346</v>
      </c>
    </row>
    <row r="35" spans="2:19" x14ac:dyDescent="0.35">
      <c r="B35" s="63" t="s">
        <v>209</v>
      </c>
      <c r="C35" s="61">
        <v>33983284</v>
      </c>
      <c r="D35" s="61">
        <f>50253455-SUM(D32:D34)</f>
        <v>19133550</v>
      </c>
      <c r="E35" s="61">
        <v>0</v>
      </c>
    </row>
    <row r="36" spans="2:19" ht="16.2" thickBot="1" x14ac:dyDescent="0.4">
      <c r="B36" s="103" t="s">
        <v>115</v>
      </c>
      <c r="C36" s="65">
        <f>SUM(C32:C35)</f>
        <v>156466439</v>
      </c>
      <c r="D36" s="65">
        <f>SUM(D32:D35)</f>
        <v>50253455</v>
      </c>
      <c r="E36" s="65">
        <f>SUM(E32:E35)</f>
        <v>329416</v>
      </c>
    </row>
    <row r="37" spans="2:19" x14ac:dyDescent="0.35">
      <c r="B37" s="98"/>
      <c r="C37" s="96"/>
      <c r="D37" s="96"/>
      <c r="E37" s="96"/>
    </row>
    <row r="38" spans="2:19" x14ac:dyDescent="0.35">
      <c r="B38" s="104" t="s">
        <v>223</v>
      </c>
      <c r="C38" s="82">
        <v>50.7</v>
      </c>
      <c r="D38" s="82">
        <v>3.75</v>
      </c>
      <c r="E38" s="82">
        <v>3.75</v>
      </c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</row>
    <row r="39" spans="2:19" x14ac:dyDescent="0.35">
      <c r="B39" s="98"/>
      <c r="C39" s="96"/>
      <c r="D39" s="96"/>
      <c r="E39" s="96"/>
      <c r="G39" s="96"/>
      <c r="H39" s="61"/>
      <c r="I39" s="61"/>
      <c r="J39" s="61"/>
      <c r="K39" s="61"/>
      <c r="L39" s="61"/>
      <c r="M39" s="61"/>
      <c r="N39" s="61"/>
      <c r="O39" s="61"/>
      <c r="P39" s="61"/>
      <c r="Q39" s="61"/>
    </row>
    <row r="40" spans="2:19" x14ac:dyDescent="0.35">
      <c r="B40" s="103"/>
      <c r="C40" s="96"/>
      <c r="D40" s="96"/>
      <c r="E40" s="96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</row>
    <row r="41" spans="2:19" x14ac:dyDescent="0.35">
      <c r="B41" s="63" t="s">
        <v>213</v>
      </c>
      <c r="C41" s="61">
        <f t="shared" ref="C41:D44" si="3">C32/C$11</f>
        <v>2054095.1873767257</v>
      </c>
      <c r="D41" s="61">
        <f t="shared" si="3"/>
        <v>7207325.0666666664</v>
      </c>
      <c r="E41" s="61">
        <v>1176170</v>
      </c>
      <c r="I41" s="96"/>
      <c r="J41" s="96"/>
      <c r="K41" s="61"/>
      <c r="L41" s="61"/>
      <c r="M41" s="61"/>
      <c r="N41" s="61"/>
      <c r="O41" s="61"/>
      <c r="P41" s="61"/>
      <c r="Q41" s="61"/>
      <c r="R41" s="96"/>
      <c r="S41" s="96"/>
    </row>
    <row r="42" spans="2:19" x14ac:dyDescent="0.35">
      <c r="B42" s="63" t="s">
        <v>208</v>
      </c>
      <c r="C42" s="61">
        <f t="shared" si="3"/>
        <v>242529.6252465483</v>
      </c>
      <c r="D42" s="61">
        <f t="shared" si="3"/>
        <v>136601.33333333334</v>
      </c>
      <c r="E42" s="75">
        <v>0</v>
      </c>
      <c r="I42" s="96"/>
      <c r="J42" s="96"/>
      <c r="K42" s="61"/>
      <c r="L42" s="61"/>
      <c r="M42" s="61"/>
      <c r="N42" s="61"/>
      <c r="O42" s="61"/>
      <c r="P42" s="61"/>
      <c r="Q42" s="61"/>
      <c r="R42" s="96"/>
      <c r="S42" s="96"/>
    </row>
    <row r="43" spans="2:19" x14ac:dyDescent="0.35">
      <c r="B43" s="63" t="s">
        <v>212</v>
      </c>
      <c r="C43" s="61">
        <f t="shared" si="3"/>
        <v>119216.50887573964</v>
      </c>
      <c r="D43" s="61">
        <f t="shared" si="3"/>
        <v>954714.93333333335</v>
      </c>
      <c r="E43" s="61">
        <v>49166</v>
      </c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2:19" x14ac:dyDescent="0.35">
      <c r="B44" s="63" t="s">
        <v>209</v>
      </c>
      <c r="C44" s="61">
        <f t="shared" si="3"/>
        <v>670281.73570019717</v>
      </c>
      <c r="D44" s="61">
        <f t="shared" si="3"/>
        <v>5102280</v>
      </c>
      <c r="E44" s="61">
        <v>441263</v>
      </c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2:19" ht="16.2" thickBot="1" x14ac:dyDescent="0.4">
      <c r="B45" s="103" t="s">
        <v>115</v>
      </c>
      <c r="C45" s="65">
        <f>SUM(C41:C44)</f>
        <v>3086123.0571992109</v>
      </c>
      <c r="D45" s="65">
        <f>SUM(D41:D44)</f>
        <v>13400921.333333332</v>
      </c>
      <c r="E45" s="65">
        <f>SUM(E41:E44)</f>
        <v>1666599</v>
      </c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2:19" x14ac:dyDescent="0.35">
      <c r="B46" s="103"/>
      <c r="C46" s="96"/>
      <c r="D46" s="96"/>
      <c r="E46" s="96"/>
      <c r="F46" s="96"/>
      <c r="G46" s="6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2:19" x14ac:dyDescent="0.35">
      <c r="B47" s="63" t="s">
        <v>213</v>
      </c>
      <c r="C47" s="68">
        <f t="shared" ref="C47:E50" si="4">C41/C$45</f>
        <v>0.66559082360147537</v>
      </c>
      <c r="D47" s="68">
        <f t="shared" si="4"/>
        <v>0.53782310091913088</v>
      </c>
      <c r="E47" s="68">
        <f t="shared" si="4"/>
        <v>0.70573065266449819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2:19" x14ac:dyDescent="0.35">
      <c r="B48" s="63" t="s">
        <v>208</v>
      </c>
      <c r="C48" s="68">
        <f t="shared" si="4"/>
        <v>7.858715312106003E-2</v>
      </c>
      <c r="D48" s="68">
        <f t="shared" si="4"/>
        <v>1.0193428491633065E-2</v>
      </c>
      <c r="E48" s="68">
        <f t="shared" si="4"/>
        <v>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2:19" x14ac:dyDescent="0.35">
      <c r="B49" s="63" t="s">
        <v>212</v>
      </c>
      <c r="C49" s="68">
        <f t="shared" si="4"/>
        <v>3.8629862343834642E-2</v>
      </c>
      <c r="D49" s="68">
        <f t="shared" si="4"/>
        <v>7.1242484720702298E-2</v>
      </c>
      <c r="E49" s="68">
        <f t="shared" si="4"/>
        <v>2.9500797732387934E-2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2:19" x14ac:dyDescent="0.35">
      <c r="B50" s="63" t="s">
        <v>209</v>
      </c>
      <c r="C50" s="68">
        <f t="shared" si="4"/>
        <v>0.21719216093362997</v>
      </c>
      <c r="D50" s="68">
        <f t="shared" si="4"/>
        <v>0.38074098586853383</v>
      </c>
      <c r="E50" s="68">
        <f t="shared" si="4"/>
        <v>0.26476854960311391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2:19" x14ac:dyDescent="0.35">
      <c r="B51" s="103" t="s">
        <v>115</v>
      </c>
      <c r="C51" s="68"/>
      <c r="D51" s="68"/>
      <c r="E51" s="68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2:19" x14ac:dyDescent="0.35">
      <c r="B52" s="103"/>
      <c r="C52" s="68"/>
      <c r="D52" s="68"/>
      <c r="E52" s="68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2:19" x14ac:dyDescent="0.35">
      <c r="B53" s="103"/>
      <c r="C53" s="68"/>
      <c r="D53" s="68"/>
      <c r="E53" s="68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2:19" x14ac:dyDescent="0.35"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2:19" x14ac:dyDescent="0.35">
      <c r="B55" s="102" t="s">
        <v>230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2:19" x14ac:dyDescent="0.35">
      <c r="B56" s="63" t="s">
        <v>213</v>
      </c>
      <c r="C56" s="61">
        <f>C14+C41</f>
        <v>2963542.7416173569</v>
      </c>
      <c r="D56" s="61">
        <f t="shared" ref="D56:E56" si="5">D14+D41</f>
        <v>10300369.333333332</v>
      </c>
      <c r="E56" s="61">
        <f t="shared" si="5"/>
        <v>1261788.6666666667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2:19" x14ac:dyDescent="0.35">
      <c r="B57" s="63" t="s">
        <v>208</v>
      </c>
      <c r="C57" s="61">
        <f>C42</f>
        <v>242529.6252465483</v>
      </c>
      <c r="D57" s="61">
        <f t="shared" ref="D57:E57" si="6">D42</f>
        <v>136601.33333333334</v>
      </c>
      <c r="E57" s="61">
        <f t="shared" si="6"/>
        <v>0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2:19" x14ac:dyDescent="0.35">
      <c r="B58" s="63" t="s">
        <v>212</v>
      </c>
      <c r="C58" s="61">
        <f>C43</f>
        <v>119216.50887573964</v>
      </c>
      <c r="D58" s="61">
        <f t="shared" ref="D58:E58" si="7">D43</f>
        <v>954714.93333333335</v>
      </c>
      <c r="E58" s="61">
        <f t="shared" si="7"/>
        <v>49166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2:19" x14ac:dyDescent="0.35">
      <c r="B59" s="63" t="s">
        <v>210</v>
      </c>
      <c r="C59" s="61">
        <f>C15</f>
        <v>1040984.1222879684</v>
      </c>
      <c r="D59" s="61">
        <f t="shared" ref="D59:E59" si="8">D15</f>
        <v>1197081.8666666667</v>
      </c>
      <c r="E59" s="61">
        <f t="shared" si="8"/>
        <v>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2:19" x14ac:dyDescent="0.35">
      <c r="B60" s="63" t="s">
        <v>227</v>
      </c>
      <c r="C60" s="61">
        <f>C16</f>
        <v>263895.52268244576</v>
      </c>
      <c r="D60" s="61">
        <f>D16</f>
        <v>2989981.8666666667</v>
      </c>
      <c r="E60" s="61">
        <f>E16</f>
        <v>2225.6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2:19" x14ac:dyDescent="0.35">
      <c r="B61" s="63" t="s">
        <v>211</v>
      </c>
      <c r="C61" s="61">
        <f>C17</f>
        <v>23836.489151873768</v>
      </c>
      <c r="D61" s="61">
        <f>D17</f>
        <v>0</v>
      </c>
      <c r="E61" s="61">
        <f>E17</f>
        <v>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2:19" x14ac:dyDescent="0.35">
      <c r="B62" s="63" t="s">
        <v>29</v>
      </c>
      <c r="C62" s="61">
        <f>C44+C18</f>
        <v>954849.27021696244</v>
      </c>
      <c r="D62" s="61">
        <f t="shared" ref="D62:E62" si="9">D44+D18</f>
        <v>5456940</v>
      </c>
      <c r="E62" s="61">
        <f t="shared" si="9"/>
        <v>855052.6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2:19" ht="16.2" thickBot="1" x14ac:dyDescent="0.4">
      <c r="B63" s="103" t="s">
        <v>229</v>
      </c>
      <c r="C63" s="65">
        <f>SUM(C56:C62)</f>
        <v>5608854.2800788954</v>
      </c>
      <c r="D63" s="65">
        <f t="shared" ref="D63:E63" si="10">SUM(D56:D62)</f>
        <v>21035689.333333336</v>
      </c>
      <c r="E63" s="65">
        <f t="shared" si="10"/>
        <v>2168232.8666666667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2:19" x14ac:dyDescent="0.35"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6:19" x14ac:dyDescent="0.35"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6:19" x14ac:dyDescent="0.35"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6:19" x14ac:dyDescent="0.35">
      <c r="J67" s="96"/>
    </row>
    <row r="73" spans="6:19" x14ac:dyDescent="0.35">
      <c r="G73" s="69"/>
    </row>
    <row r="98" spans="3:5" x14ac:dyDescent="0.35">
      <c r="C98" s="61"/>
      <c r="D98" s="61"/>
      <c r="E98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Financial statement</vt:lpstr>
      <vt:lpstr>WC</vt:lpstr>
      <vt:lpstr>Cost time-series</vt:lpstr>
      <vt:lpstr>inv</vt:lpstr>
      <vt:lpstr>Costs peer</vt:lpstr>
      <vt:lpstr>Costs peer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Ahmed</dc:creator>
  <cp:lastModifiedBy>Marwan Ahmed</cp:lastModifiedBy>
  <dcterms:created xsi:type="dcterms:W3CDTF">2025-05-17T14:19:34Z</dcterms:created>
  <dcterms:modified xsi:type="dcterms:W3CDTF">2025-06-22T16:51:47Z</dcterms:modified>
</cp:coreProperties>
</file>